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0"/>
  <workbookPr codeName="DieseArbeitsmappe" defaultThemeVersion="166925"/>
  <mc:AlternateContent xmlns:mc="http://schemas.openxmlformats.org/markup-compatibility/2006">
    <mc:Choice Requires="x15">
      <x15ac:absPath xmlns:x15ac="http://schemas.microsoft.com/office/spreadsheetml/2010/11/ac" url="C:\DATA\81 Arbeitsprogramme\TAB Programm\"/>
    </mc:Choice>
  </mc:AlternateContent>
  <xr:revisionPtr revIDLastSave="0" documentId="13_ncr:1_{895CC60E-683B-4295-BBB2-997EB8504431}" xr6:coauthVersionLast="36" xr6:coauthVersionMax="36" xr10:uidLastSave="{00000000-0000-0000-0000-000000000000}"/>
  <bookViews>
    <workbookView xWindow="0" yWindow="0" windowWidth="20490" windowHeight="9450" tabRatio="903" xr2:uid="{00000000-000D-0000-FFFF-FFFF00000000}"/>
  </bookViews>
  <sheets>
    <sheet name="Hinweise" sheetId="20" r:id="rId1"/>
    <sheet name="Übersicht" sheetId="9" r:id="rId2"/>
    <sheet name="Bil_EZFH_mQS" sheetId="14" r:id="rId3"/>
    <sheet name="Bil_EZFH_oQS" sheetId="17" r:id="rId4"/>
    <sheet name="Bil_MFH_mQS" sheetId="18" r:id="rId5"/>
    <sheet name="Bil_MFH_oQS" sheetId="19" r:id="rId6"/>
    <sheet name="Daten_ALLG" sheetId="3" r:id="rId7"/>
    <sheet name="Daten_EZFH" sheetId="7" r:id="rId8"/>
    <sheet name="Daten_MFH" sheetId="8" r:id="rId9"/>
    <sheet name="Gegenprobe" sheetId="4" state="hidden" r:id="rId10"/>
  </sheets>
  <definedNames>
    <definedName name="_Ref317249634" localSheetId="6">Daten_ALLG!#REF!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01" i="8" l="1"/>
  <c r="O101" i="8"/>
  <c r="N101" i="8"/>
  <c r="P99" i="8"/>
  <c r="O99" i="8"/>
  <c r="N99" i="8"/>
  <c r="N98" i="8"/>
  <c r="P93" i="8"/>
  <c r="O93" i="8"/>
  <c r="N93" i="8"/>
  <c r="N99" i="7"/>
  <c r="N98" i="7"/>
  <c r="N93" i="7"/>
  <c r="N100" i="7" s="1"/>
  <c r="Q66" i="8"/>
  <c r="Q70" i="8"/>
  <c r="Q74" i="8"/>
  <c r="Q78" i="8"/>
  <c r="Q85" i="8"/>
  <c r="D85" i="8" s="1"/>
  <c r="Q89" i="8"/>
  <c r="Q88" i="8"/>
  <c r="Q101" i="8"/>
  <c r="Q84" i="8"/>
  <c r="Q113" i="8"/>
  <c r="D113" i="8" s="1"/>
  <c r="L113" i="8"/>
  <c r="Q112" i="8"/>
  <c r="L112" i="8"/>
  <c r="Q109" i="8"/>
  <c r="D109" i="8" s="1"/>
  <c r="L109" i="8"/>
  <c r="Q108" i="8"/>
  <c r="L108" i="8"/>
  <c r="Q105" i="8"/>
  <c r="D105" i="8" s="1"/>
  <c r="L105" i="8"/>
  <c r="Q90" i="8"/>
  <c r="L90" i="8"/>
  <c r="L89" i="8"/>
  <c r="L88" i="8"/>
  <c r="Q87" i="8"/>
  <c r="L87" i="8"/>
  <c r="Q86" i="8"/>
  <c r="D86" i="8" s="1"/>
  <c r="L86" i="8"/>
  <c r="L85" i="8"/>
  <c r="L84" i="8"/>
  <c r="Q83" i="8"/>
  <c r="D83" i="8" s="1"/>
  <c r="L83" i="8"/>
  <c r="Q82" i="8"/>
  <c r="L82" i="8"/>
  <c r="L78" i="8"/>
  <c r="L77" i="8"/>
  <c r="L74" i="8"/>
  <c r="L73" i="8"/>
  <c r="L70" i="8"/>
  <c r="L69" i="8"/>
  <c r="L66" i="8"/>
  <c r="L65" i="8"/>
  <c r="N17" i="8"/>
  <c r="O17" i="8" s="1"/>
  <c r="P17" i="8" s="1"/>
  <c r="Q17" i="8" s="1"/>
  <c r="N16" i="8"/>
  <c r="Q17" i="7"/>
  <c r="N17" i="7"/>
  <c r="O17" i="7" s="1"/>
  <c r="P17" i="7" s="1"/>
  <c r="N16" i="7"/>
  <c r="I17" i="7"/>
  <c r="I16" i="7"/>
  <c r="P101" i="7"/>
  <c r="O101" i="7"/>
  <c r="N101" i="7"/>
  <c r="P100" i="7"/>
  <c r="Q100" i="7" s="1"/>
  <c r="P99" i="7"/>
  <c r="P97" i="7" s="1"/>
  <c r="Q97" i="7" s="1"/>
  <c r="O99" i="7"/>
  <c r="P95" i="7"/>
  <c r="O95" i="7"/>
  <c r="P93" i="7"/>
  <c r="O93" i="7"/>
  <c r="Q78" i="7"/>
  <c r="Q74" i="7"/>
  <c r="Q70" i="7"/>
  <c r="D70" i="7" s="1"/>
  <c r="Q66" i="7"/>
  <c r="Q113" i="7"/>
  <c r="Q112" i="7"/>
  <c r="Q109" i="7"/>
  <c r="D109" i="7" s="1"/>
  <c r="Q108" i="7"/>
  <c r="L109" i="7"/>
  <c r="L113" i="7"/>
  <c r="L112" i="7"/>
  <c r="L108" i="7"/>
  <c r="L105" i="7"/>
  <c r="Q105" i="7"/>
  <c r="D105" i="7" s="1"/>
  <c r="Q101" i="7"/>
  <c r="Q99" i="7"/>
  <c r="Q95" i="7"/>
  <c r="Q93" i="7"/>
  <c r="Q90" i="7"/>
  <c r="D90" i="7" s="1"/>
  <c r="Q89" i="7"/>
  <c r="Q88" i="7"/>
  <c r="Q87" i="7"/>
  <c r="Q86" i="7"/>
  <c r="D86" i="7" s="1"/>
  <c r="Q85" i="7"/>
  <c r="Q84" i="7"/>
  <c r="Q83" i="7"/>
  <c r="Q82" i="7"/>
  <c r="D82" i="7" s="1"/>
  <c r="L90" i="7"/>
  <c r="L89" i="7"/>
  <c r="L88" i="7"/>
  <c r="L87" i="7"/>
  <c r="L86" i="7"/>
  <c r="L85" i="7"/>
  <c r="L84" i="7"/>
  <c r="L83" i="7"/>
  <c r="L82" i="7"/>
  <c r="L78" i="7"/>
  <c r="L77" i="7"/>
  <c r="L74" i="7"/>
  <c r="L73" i="7"/>
  <c r="L70" i="7"/>
  <c r="L69" i="7"/>
  <c r="Q77" i="7"/>
  <c r="D77" i="7" s="1"/>
  <c r="Q69" i="7"/>
  <c r="Q65" i="7"/>
  <c r="L66" i="7"/>
  <c r="L65" i="7"/>
  <c r="D66" i="8" l="1"/>
  <c r="D89" i="8"/>
  <c r="D83" i="7"/>
  <c r="D112" i="7"/>
  <c r="D74" i="7"/>
  <c r="D65" i="7"/>
  <c r="D84" i="7"/>
  <c r="D88" i="7"/>
  <c r="D113" i="7"/>
  <c r="D78" i="7"/>
  <c r="D82" i="8"/>
  <c r="D87" i="8"/>
  <c r="D90" i="8"/>
  <c r="D108" i="8"/>
  <c r="D112" i="8"/>
  <c r="D78" i="8"/>
  <c r="D70" i="8"/>
  <c r="D87" i="7"/>
  <c r="D84" i="8"/>
  <c r="D69" i="7"/>
  <c r="D85" i="7"/>
  <c r="D89" i="7"/>
  <c r="D108" i="7"/>
  <c r="D66" i="7"/>
  <c r="D88" i="8"/>
  <c r="D74" i="8"/>
  <c r="P96" i="8"/>
  <c r="P96" i="7"/>
  <c r="Q96" i="7" s="1"/>
  <c r="N94" i="7"/>
  <c r="N97" i="7"/>
  <c r="O100" i="7"/>
  <c r="O16" i="7"/>
  <c r="P16" i="7" s="1"/>
  <c r="N95" i="7"/>
  <c r="N96" i="7"/>
  <c r="N94" i="8"/>
  <c r="P95" i="8"/>
  <c r="P100" i="8"/>
  <c r="O100" i="8"/>
  <c r="O16" i="8"/>
  <c r="P97" i="8"/>
  <c r="N95" i="8"/>
  <c r="O95" i="8"/>
  <c r="O94" i="8"/>
  <c r="N97" i="8"/>
  <c r="P94" i="8"/>
  <c r="N96" i="8"/>
  <c r="O97" i="8"/>
  <c r="P98" i="8"/>
  <c r="N100" i="8"/>
  <c r="O98" i="8"/>
  <c r="O96" i="8"/>
  <c r="Q65" i="8"/>
  <c r="D65" i="8" s="1"/>
  <c r="Q77" i="8"/>
  <c r="D77" i="8" s="1"/>
  <c r="Q73" i="8"/>
  <c r="D73" i="8" s="1"/>
  <c r="Q69" i="8"/>
  <c r="D69" i="8" s="1"/>
  <c r="Q93" i="8"/>
  <c r="O94" i="7"/>
  <c r="P94" i="7"/>
  <c r="Q94" i="7" s="1"/>
  <c r="O97" i="7"/>
  <c r="P98" i="7"/>
  <c r="Q98" i="7" s="1"/>
  <c r="O98" i="7"/>
  <c r="O96" i="7"/>
  <c r="Q73" i="7"/>
  <c r="D73" i="7" s="1"/>
  <c r="Q16" i="7" l="1"/>
  <c r="P16" i="8"/>
  <c r="Q99" i="8"/>
  <c r="Q16" i="8" l="1"/>
  <c r="J34" i="8" l="1"/>
  <c r="I34" i="8"/>
  <c r="P55" i="8"/>
  <c r="O55" i="8"/>
  <c r="Q55" i="8" s="1"/>
  <c r="O48" i="8"/>
  <c r="P41" i="8"/>
  <c r="Q38" i="8"/>
  <c r="O41" i="8"/>
  <c r="P34" i="8"/>
  <c r="N55" i="8"/>
  <c r="Q54" i="8"/>
  <c r="Q53" i="8"/>
  <c r="Q51" i="8"/>
  <c r="P48" i="8"/>
  <c r="N48" i="8"/>
  <c r="Q47" i="8"/>
  <c r="Q46" i="8"/>
  <c r="Q44" i="8"/>
  <c r="N41" i="8"/>
  <c r="Q40" i="8"/>
  <c r="Q39" i="8"/>
  <c r="Q37" i="8"/>
  <c r="O34" i="8"/>
  <c r="N34" i="8"/>
  <c r="Q33" i="8"/>
  <c r="Q32" i="8"/>
  <c r="Q31" i="8"/>
  <c r="Q30" i="8"/>
  <c r="P55" i="7"/>
  <c r="Q55" i="7" s="1"/>
  <c r="O55" i="7"/>
  <c r="N55" i="7"/>
  <c r="Q54" i="7"/>
  <c r="Q53" i="7"/>
  <c r="Q52" i="7"/>
  <c r="Q51" i="7"/>
  <c r="P48" i="7"/>
  <c r="Q48" i="7" s="1"/>
  <c r="O48" i="7"/>
  <c r="N48" i="7"/>
  <c r="Q47" i="7"/>
  <c r="Q46" i="7"/>
  <c r="Q45" i="7"/>
  <c r="Q44" i="7"/>
  <c r="P41" i="7"/>
  <c r="Q41" i="7" s="1"/>
  <c r="O41" i="7"/>
  <c r="N41" i="7"/>
  <c r="Q40" i="7"/>
  <c r="Q39" i="7"/>
  <c r="Q38" i="7"/>
  <c r="Q37" i="7"/>
  <c r="P34" i="7"/>
  <c r="O34" i="7"/>
  <c r="N34" i="7"/>
  <c r="Q33" i="7"/>
  <c r="Q32" i="7"/>
  <c r="Q31" i="7"/>
  <c r="Q30" i="7"/>
  <c r="L54" i="8"/>
  <c r="L53" i="8"/>
  <c r="L52" i="8"/>
  <c r="L51" i="8"/>
  <c r="L47" i="8"/>
  <c r="L46" i="8"/>
  <c r="L45" i="8"/>
  <c r="L44" i="8"/>
  <c r="L40" i="8"/>
  <c r="L39" i="8"/>
  <c r="L38" i="8"/>
  <c r="L37" i="8"/>
  <c r="L33" i="8"/>
  <c r="L32" i="8"/>
  <c r="L31" i="8"/>
  <c r="L30" i="8"/>
  <c r="L54" i="7"/>
  <c r="L53" i="7"/>
  <c r="L52" i="7"/>
  <c r="L51" i="7"/>
  <c r="L47" i="7"/>
  <c r="L46" i="7"/>
  <c r="L45" i="7"/>
  <c r="L44" i="7"/>
  <c r="L40" i="7"/>
  <c r="L39" i="7"/>
  <c r="L38" i="7"/>
  <c r="L37" i="7"/>
  <c r="L33" i="7"/>
  <c r="L32" i="7"/>
  <c r="L31" i="7"/>
  <c r="L30" i="7"/>
  <c r="N4" i="8"/>
  <c r="N5" i="8"/>
  <c r="N18" i="8" s="1"/>
  <c r="O10" i="7"/>
  <c r="N10" i="7"/>
  <c r="P10" i="7"/>
  <c r="K10" i="7"/>
  <c r="J10" i="7"/>
  <c r="I10" i="7"/>
  <c r="O42" i="3"/>
  <c r="T42" i="3"/>
  <c r="T49" i="3"/>
  <c r="O49" i="3"/>
  <c r="D50" i="3" l="1"/>
  <c r="Q34" i="7"/>
  <c r="Q48" i="8"/>
  <c r="Q41" i="8"/>
  <c r="Q34" i="8"/>
  <c r="Q10" i="7"/>
  <c r="L10" i="7"/>
  <c r="Q52" i="8"/>
  <c r="Q45" i="8"/>
  <c r="O5" i="8"/>
  <c r="O18" i="8" s="1"/>
  <c r="D10" i="7" l="1"/>
  <c r="P5" i="8"/>
  <c r="P18" i="8" s="1"/>
  <c r="Q18" i="8" s="1"/>
  <c r="Q5" i="8"/>
  <c r="T210" i="3" l="1"/>
  <c r="T212" i="3"/>
  <c r="T211" i="3"/>
  <c r="T209" i="3"/>
  <c r="T208" i="3"/>
  <c r="T207" i="3"/>
  <c r="T206" i="3"/>
  <c r="T205" i="3"/>
  <c r="T204" i="3"/>
  <c r="O183" i="3"/>
  <c r="O182" i="3"/>
  <c r="T201" i="3"/>
  <c r="T200" i="3"/>
  <c r="T199" i="3"/>
  <c r="T198" i="3"/>
  <c r="T197" i="3"/>
  <c r="T196" i="3"/>
  <c r="T195" i="3"/>
  <c r="T194" i="3"/>
  <c r="T193" i="3"/>
  <c r="O201" i="3"/>
  <c r="O200" i="3"/>
  <c r="O199" i="3"/>
  <c r="D199" i="3" s="1"/>
  <c r="O198" i="3"/>
  <c r="D198" i="3" s="1"/>
  <c r="O197" i="3"/>
  <c r="O196" i="3"/>
  <c r="O195" i="3"/>
  <c r="D195" i="3" s="1"/>
  <c r="O194" i="3"/>
  <c r="D194" i="3" s="1"/>
  <c r="O193" i="3"/>
  <c r="O212" i="3"/>
  <c r="D212" i="3" s="1"/>
  <c r="O211" i="3"/>
  <c r="D211" i="3" s="1"/>
  <c r="O210" i="3"/>
  <c r="O209" i="3"/>
  <c r="O208" i="3"/>
  <c r="O207" i="3"/>
  <c r="D207" i="3" s="1"/>
  <c r="O206" i="3"/>
  <c r="D206" i="3" s="1"/>
  <c r="O205" i="3"/>
  <c r="O204" i="3"/>
  <c r="D205" i="3" l="1"/>
  <c r="D209" i="3"/>
  <c r="D193" i="3"/>
  <c r="D197" i="3"/>
  <c r="D201" i="3"/>
  <c r="D210" i="3"/>
  <c r="D204" i="3"/>
  <c r="D208" i="3"/>
  <c r="D196" i="3"/>
  <c r="D200" i="3"/>
  <c r="T190" i="3" l="1"/>
  <c r="T189" i="3"/>
  <c r="T188" i="3"/>
  <c r="T187" i="3"/>
  <c r="T186" i="3"/>
  <c r="T185" i="3"/>
  <c r="T184" i="3"/>
  <c r="T183" i="3"/>
  <c r="D183" i="3" s="1"/>
  <c r="T182" i="3"/>
  <c r="D182" i="3" s="1"/>
  <c r="O190" i="3"/>
  <c r="D190" i="3" s="1"/>
  <c r="O189" i="3"/>
  <c r="D189" i="3" s="1"/>
  <c r="O188" i="3"/>
  <c r="O187" i="3"/>
  <c r="O186" i="3"/>
  <c r="D186" i="3" s="1"/>
  <c r="O185" i="3"/>
  <c r="D185" i="3" s="1"/>
  <c r="O184" i="3"/>
  <c r="O172" i="3"/>
  <c r="T172" i="3"/>
  <c r="D184" i="3" l="1"/>
  <c r="D188" i="3"/>
  <c r="D172" i="3"/>
  <c r="D187" i="3"/>
  <c r="T171" i="3"/>
  <c r="O171" i="3"/>
  <c r="D171" i="3" l="1"/>
  <c r="T284" i="3"/>
  <c r="T281" i="3"/>
  <c r="T280" i="3"/>
  <c r="T279" i="3"/>
  <c r="T278" i="3"/>
  <c r="T277" i="3"/>
  <c r="T276" i="3"/>
  <c r="O284" i="3"/>
  <c r="O277" i="3"/>
  <c r="O278" i="3"/>
  <c r="O279" i="3"/>
  <c r="O280" i="3"/>
  <c r="O281" i="3"/>
  <c r="O276" i="3"/>
  <c r="D276" i="3" l="1"/>
  <c r="D280" i="3"/>
  <c r="D277" i="3"/>
  <c r="D281" i="3"/>
  <c r="D278" i="3"/>
  <c r="D284" i="3"/>
  <c r="D279" i="3"/>
  <c r="K101" i="8"/>
  <c r="L101" i="8" s="1"/>
  <c r="D101" i="8" s="1"/>
  <c r="J101" i="8"/>
  <c r="I101" i="8"/>
  <c r="K99" i="8"/>
  <c r="L99" i="8" s="1"/>
  <c r="D99" i="8" s="1"/>
  <c r="J99" i="8"/>
  <c r="I99" i="8"/>
  <c r="I98" i="8"/>
  <c r="I94" i="8"/>
  <c r="K93" i="8"/>
  <c r="J93" i="8"/>
  <c r="I93" i="8"/>
  <c r="I95" i="8" s="1"/>
  <c r="K101" i="7"/>
  <c r="L101" i="7" s="1"/>
  <c r="D101" i="7" s="1"/>
  <c r="J101" i="7"/>
  <c r="I101" i="7"/>
  <c r="K99" i="7"/>
  <c r="L99" i="7" s="1"/>
  <c r="D99" i="7" s="1"/>
  <c r="J99" i="7"/>
  <c r="I99" i="7"/>
  <c r="I94" i="7" s="1"/>
  <c r="I98" i="7"/>
  <c r="K93" i="7"/>
  <c r="L93" i="7" s="1"/>
  <c r="D93" i="7" s="1"/>
  <c r="J93" i="7"/>
  <c r="I93" i="7"/>
  <c r="I95" i="7" l="1"/>
  <c r="K96" i="8"/>
  <c r="L96" i="8" s="1"/>
  <c r="L93" i="8"/>
  <c r="D93" i="8" s="1"/>
  <c r="J95" i="8"/>
  <c r="K100" i="8"/>
  <c r="L100" i="8" s="1"/>
  <c r="K95" i="8"/>
  <c r="L95" i="8" s="1"/>
  <c r="J100" i="8"/>
  <c r="K97" i="8"/>
  <c r="L97" i="8" s="1"/>
  <c r="K96" i="7"/>
  <c r="L96" i="7" s="1"/>
  <c r="D96" i="7" s="1"/>
  <c r="K100" i="7"/>
  <c r="L100" i="7" s="1"/>
  <c r="D100" i="7" s="1"/>
  <c r="J95" i="7"/>
  <c r="K97" i="7"/>
  <c r="L97" i="7" s="1"/>
  <c r="D97" i="7" s="1"/>
  <c r="K95" i="7"/>
  <c r="L95" i="7" s="1"/>
  <c r="D95" i="7" s="1"/>
  <c r="J100" i="7"/>
  <c r="J94" i="8"/>
  <c r="I97" i="8"/>
  <c r="K94" i="8"/>
  <c r="L94" i="8" s="1"/>
  <c r="I96" i="8"/>
  <c r="J97" i="8"/>
  <c r="K98" i="8"/>
  <c r="L98" i="8" s="1"/>
  <c r="I100" i="8"/>
  <c r="J98" i="8"/>
  <c r="J96" i="8"/>
  <c r="J94" i="7"/>
  <c r="I97" i="7"/>
  <c r="J98" i="7"/>
  <c r="K94" i="7"/>
  <c r="L94" i="7" s="1"/>
  <c r="D94" i="7" s="1"/>
  <c r="I96" i="7"/>
  <c r="J97" i="7"/>
  <c r="K98" i="7"/>
  <c r="L98" i="7" s="1"/>
  <c r="D98" i="7" s="1"/>
  <c r="I100" i="7"/>
  <c r="J96" i="7"/>
  <c r="E172" i="3" l="1"/>
  <c r="E171" i="3"/>
  <c r="D17" i="3"/>
  <c r="D16" i="3"/>
  <c r="L8" i="3"/>
  <c r="L13" i="3" s="1"/>
  <c r="K174" i="19" l="1"/>
  <c r="J174" i="19"/>
  <c r="K174" i="18"/>
  <c r="J174" i="18"/>
  <c r="K174" i="17"/>
  <c r="J174" i="17"/>
  <c r="K174" i="14"/>
  <c r="J174" i="14"/>
  <c r="P267" i="17" l="1"/>
  <c r="O267" i="17"/>
  <c r="P266" i="17"/>
  <c r="O266" i="17"/>
  <c r="P265" i="17"/>
  <c r="O265" i="17"/>
  <c r="P264" i="17"/>
  <c r="O264" i="17"/>
  <c r="P263" i="17"/>
  <c r="O263" i="17"/>
  <c r="D75" i="17"/>
  <c r="P267" i="19"/>
  <c r="O267" i="19"/>
  <c r="P266" i="19"/>
  <c r="O266" i="19"/>
  <c r="P265" i="19"/>
  <c r="O265" i="19"/>
  <c r="P264" i="19"/>
  <c r="O264" i="19"/>
  <c r="P263" i="19"/>
  <c r="O263" i="19"/>
  <c r="D75" i="19"/>
  <c r="P759" i="18" l="1"/>
  <c r="O759" i="18"/>
  <c r="P757" i="18"/>
  <c r="O757" i="18"/>
  <c r="O757" i="14"/>
  <c r="F354" i="19" l="1"/>
  <c r="R357" i="19" s="1"/>
  <c r="E354" i="19"/>
  <c r="D354" i="19"/>
  <c r="A354" i="19"/>
  <c r="P363" i="19" s="1"/>
  <c r="F349" i="19"/>
  <c r="E349" i="19"/>
  <c r="E337" i="19" s="1"/>
  <c r="D349" i="19"/>
  <c r="D337" i="19" s="1"/>
  <c r="A349" i="19"/>
  <c r="A337" i="19" s="1"/>
  <c r="M303" i="19"/>
  <c r="M320" i="19" s="1"/>
  <c r="L303" i="19"/>
  <c r="L326" i="19" s="1"/>
  <c r="K303" i="19"/>
  <c r="K314" i="19" s="1"/>
  <c r="J303" i="19"/>
  <c r="J320" i="19" s="1"/>
  <c r="I303" i="19"/>
  <c r="I320" i="19" s="1"/>
  <c r="H303" i="19"/>
  <c r="H308" i="19" s="1"/>
  <c r="G303" i="19"/>
  <c r="G320" i="19" s="1"/>
  <c r="F303" i="19"/>
  <c r="F320" i="19" s="1"/>
  <c r="E303" i="19"/>
  <c r="E308" i="19" s="1"/>
  <c r="D303" i="19"/>
  <c r="D320" i="19" s="1"/>
  <c r="A303" i="19"/>
  <c r="M529" i="19" s="1"/>
  <c r="M276" i="19"/>
  <c r="M290" i="19" s="1"/>
  <c r="L276" i="19"/>
  <c r="L302" i="19" s="1"/>
  <c r="K276" i="19"/>
  <c r="K290" i="19" s="1"/>
  <c r="J276" i="19"/>
  <c r="F616" i="19" s="1"/>
  <c r="I276" i="19"/>
  <c r="F637" i="19" s="1"/>
  <c r="H276" i="19"/>
  <c r="H296" i="19" s="1"/>
  <c r="G276" i="19"/>
  <c r="G302" i="19" s="1"/>
  <c r="F276" i="19"/>
  <c r="F284" i="19" s="1"/>
  <c r="E276" i="19"/>
  <c r="E328" i="19" s="1"/>
  <c r="E332" i="19" s="1"/>
  <c r="D276" i="19"/>
  <c r="D302" i="19" s="1"/>
  <c r="A276" i="19"/>
  <c r="L530" i="19" s="1"/>
  <c r="G161" i="19"/>
  <c r="G168" i="19" s="1"/>
  <c r="F161" i="19"/>
  <c r="F168" i="19" s="1"/>
  <c r="E161" i="19"/>
  <c r="E165" i="19" s="1"/>
  <c r="D161" i="19"/>
  <c r="A161" i="19"/>
  <c r="G129" i="19"/>
  <c r="G246" i="19" s="1"/>
  <c r="F129" i="19"/>
  <c r="F204" i="19" s="1"/>
  <c r="F212" i="19" s="1"/>
  <c r="E129" i="19"/>
  <c r="E246" i="19" s="1"/>
  <c r="D129" i="19"/>
  <c r="D204" i="19" s="1"/>
  <c r="A129" i="19"/>
  <c r="F85" i="19"/>
  <c r="E85" i="19"/>
  <c r="D85" i="19"/>
  <c r="A85" i="19"/>
  <c r="H56" i="19"/>
  <c r="H102" i="19" s="1"/>
  <c r="G56" i="19"/>
  <c r="G102" i="19" s="1"/>
  <c r="F56" i="19"/>
  <c r="F102" i="19" s="1"/>
  <c r="E56" i="19"/>
  <c r="E102" i="19" s="1"/>
  <c r="D56" i="19"/>
  <c r="D102" i="19" s="1"/>
  <c r="A56" i="19"/>
  <c r="A102" i="19" s="1"/>
  <c r="H50" i="19"/>
  <c r="G50" i="19"/>
  <c r="F50" i="19"/>
  <c r="E50" i="19"/>
  <c r="D50" i="19"/>
  <c r="A50" i="19"/>
  <c r="R53" i="19" s="1"/>
  <c r="S53" i="19" s="1"/>
  <c r="H44" i="19"/>
  <c r="G44" i="19"/>
  <c r="F44" i="19"/>
  <c r="E44" i="19"/>
  <c r="D44" i="19"/>
  <c r="A44" i="19"/>
  <c r="R47" i="19" s="1"/>
  <c r="S47" i="19" s="1"/>
  <c r="H39" i="19"/>
  <c r="G39" i="19"/>
  <c r="F39" i="19"/>
  <c r="E39" i="19"/>
  <c r="D39" i="19"/>
  <c r="A39" i="19"/>
  <c r="R42" i="19" s="1"/>
  <c r="S42" i="19" s="1"/>
  <c r="R352" i="19"/>
  <c r="D168" i="19"/>
  <c r="E704" i="19"/>
  <c r="E703" i="19"/>
  <c r="E702" i="19"/>
  <c r="E701" i="19"/>
  <c r="E700" i="19"/>
  <c r="E699" i="19"/>
  <c r="E698" i="19"/>
  <c r="E697" i="19"/>
  <c r="E696" i="19"/>
  <c r="E695" i="19"/>
  <c r="E694" i="19"/>
  <c r="E693" i="19"/>
  <c r="E690" i="19"/>
  <c r="E689" i="19"/>
  <c r="E664" i="19"/>
  <c r="B664" i="19"/>
  <c r="B684" i="19" s="1"/>
  <c r="B704" i="19" s="1"/>
  <c r="E663" i="19"/>
  <c r="B663" i="19"/>
  <c r="B683" i="19" s="1"/>
  <c r="B703" i="19" s="1"/>
  <c r="E662" i="19"/>
  <c r="B662" i="19"/>
  <c r="B682" i="19" s="1"/>
  <c r="B702" i="19" s="1"/>
  <c r="E661" i="19"/>
  <c r="B661" i="19"/>
  <c r="B681" i="19" s="1"/>
  <c r="B701" i="19" s="1"/>
  <c r="E660" i="19"/>
  <c r="B660" i="19"/>
  <c r="B680" i="19" s="1"/>
  <c r="B700" i="19" s="1"/>
  <c r="E659" i="19"/>
  <c r="B659" i="19"/>
  <c r="B679" i="19" s="1"/>
  <c r="B699" i="19" s="1"/>
  <c r="E658" i="19"/>
  <c r="B658" i="19"/>
  <c r="B678" i="19" s="1"/>
  <c r="B698" i="19" s="1"/>
  <c r="E657" i="19"/>
  <c r="B657" i="19"/>
  <c r="B677" i="19" s="1"/>
  <c r="B697" i="19" s="1"/>
  <c r="R656" i="19"/>
  <c r="E656" i="19"/>
  <c r="B656" i="19"/>
  <c r="B676" i="19" s="1"/>
  <c r="B696" i="19" s="1"/>
  <c r="R655" i="19"/>
  <c r="E655" i="19"/>
  <c r="B655" i="19"/>
  <c r="B675" i="19" s="1"/>
  <c r="B695" i="19" s="1"/>
  <c r="R654" i="19"/>
  <c r="E654" i="19"/>
  <c r="B654" i="19"/>
  <c r="B674" i="19" s="1"/>
  <c r="B694" i="19" s="1"/>
  <c r="R653" i="19"/>
  <c r="E653" i="19"/>
  <c r="B653" i="19"/>
  <c r="B673" i="19" s="1"/>
  <c r="B693" i="19" s="1"/>
  <c r="B652" i="19"/>
  <c r="B672" i="19" s="1"/>
  <c r="B692" i="19" s="1"/>
  <c r="B651" i="19"/>
  <c r="B671" i="19" s="1"/>
  <c r="B691" i="19" s="1"/>
  <c r="E650" i="19"/>
  <c r="B650" i="19"/>
  <c r="B670" i="19" s="1"/>
  <c r="B690" i="19" s="1"/>
  <c r="E649" i="19"/>
  <c r="B649" i="19"/>
  <c r="B669" i="19" s="1"/>
  <c r="B689" i="19" s="1"/>
  <c r="R598" i="19"/>
  <c r="S578" i="19"/>
  <c r="S572" i="19"/>
  <c r="S566" i="19"/>
  <c r="F552" i="19"/>
  <c r="S544" i="19"/>
  <c r="R544" i="19"/>
  <c r="R537" i="19"/>
  <c r="H328" i="19"/>
  <c r="H332" i="19" s="1"/>
  <c r="A328" i="19"/>
  <c r="E320" i="19"/>
  <c r="E314" i="19"/>
  <c r="H284" i="19"/>
  <c r="G279" i="19"/>
  <c r="K306" i="19"/>
  <c r="J307" i="19"/>
  <c r="J306" i="19"/>
  <c r="H280" i="19"/>
  <c r="H306" i="19"/>
  <c r="F280" i="19"/>
  <c r="F279" i="19"/>
  <c r="E306" i="19"/>
  <c r="D258" i="19"/>
  <c r="D230" i="19"/>
  <c r="D222" i="19"/>
  <c r="D216" i="19"/>
  <c r="D185" i="19"/>
  <c r="D184" i="19"/>
  <c r="D183" i="19"/>
  <c r="D174" i="19"/>
  <c r="D173" i="19"/>
  <c r="D172" i="19"/>
  <c r="F133" i="19"/>
  <c r="D82" i="19"/>
  <c r="H58" i="19"/>
  <c r="D54" i="19"/>
  <c r="H52" i="19"/>
  <c r="D48" i="19"/>
  <c r="H46" i="19"/>
  <c r="H41" i="19"/>
  <c r="D36" i="19"/>
  <c r="R306" i="18"/>
  <c r="S596" i="18" s="1"/>
  <c r="S597" i="18" s="1"/>
  <c r="S598" i="18" s="1"/>
  <c r="H58" i="18"/>
  <c r="H52" i="18"/>
  <c r="H46" i="18"/>
  <c r="H41" i="18"/>
  <c r="E704" i="18"/>
  <c r="E703" i="18"/>
  <c r="E702" i="18"/>
  <c r="E701" i="18"/>
  <c r="E700" i="18"/>
  <c r="E699" i="18"/>
  <c r="E698" i="18"/>
  <c r="E697" i="18"/>
  <c r="E696" i="18"/>
  <c r="E695" i="18"/>
  <c r="E694" i="18"/>
  <c r="E693" i="18"/>
  <c r="E690" i="18"/>
  <c r="E689" i="18"/>
  <c r="E664" i="18"/>
  <c r="B664" i="18"/>
  <c r="B684" i="18" s="1"/>
  <c r="B704" i="18" s="1"/>
  <c r="E663" i="18"/>
  <c r="B663" i="18"/>
  <c r="B683" i="18" s="1"/>
  <c r="B703" i="18" s="1"/>
  <c r="E662" i="18"/>
  <c r="B662" i="18"/>
  <c r="B682" i="18" s="1"/>
  <c r="B702" i="18" s="1"/>
  <c r="E661" i="18"/>
  <c r="B661" i="18"/>
  <c r="B681" i="18" s="1"/>
  <c r="B701" i="18" s="1"/>
  <c r="E660" i="18"/>
  <c r="B660" i="18"/>
  <c r="B680" i="18" s="1"/>
  <c r="B700" i="18" s="1"/>
  <c r="E659" i="18"/>
  <c r="B659" i="18"/>
  <c r="B679" i="18" s="1"/>
  <c r="B699" i="18" s="1"/>
  <c r="E658" i="18"/>
  <c r="B658" i="18"/>
  <c r="B678" i="18" s="1"/>
  <c r="B698" i="18" s="1"/>
  <c r="E657" i="18"/>
  <c r="B657" i="18"/>
  <c r="B677" i="18" s="1"/>
  <c r="B697" i="18" s="1"/>
  <c r="R656" i="18"/>
  <c r="E656" i="18"/>
  <c r="B656" i="18"/>
  <c r="B676" i="18" s="1"/>
  <c r="B696" i="18" s="1"/>
  <c r="R655" i="18"/>
  <c r="E655" i="18"/>
  <c r="B655" i="18"/>
  <c r="B675" i="18" s="1"/>
  <c r="B695" i="18" s="1"/>
  <c r="R654" i="18"/>
  <c r="E654" i="18"/>
  <c r="B654" i="18"/>
  <c r="B674" i="18" s="1"/>
  <c r="B694" i="18" s="1"/>
  <c r="R653" i="18"/>
  <c r="E653" i="18"/>
  <c r="B653" i="18"/>
  <c r="B673" i="18" s="1"/>
  <c r="B693" i="18" s="1"/>
  <c r="B652" i="18"/>
  <c r="B672" i="18" s="1"/>
  <c r="B692" i="18" s="1"/>
  <c r="B651" i="18"/>
  <c r="B671" i="18" s="1"/>
  <c r="B691" i="18" s="1"/>
  <c r="E650" i="18"/>
  <c r="B650" i="18"/>
  <c r="B670" i="18" s="1"/>
  <c r="B690" i="18" s="1"/>
  <c r="E649" i="18"/>
  <c r="B649" i="18"/>
  <c r="B669" i="18" s="1"/>
  <c r="B689" i="18" s="1"/>
  <c r="F637" i="18"/>
  <c r="F630" i="18"/>
  <c r="F623" i="18"/>
  <c r="F616" i="18"/>
  <c r="F609" i="18"/>
  <c r="F602" i="18"/>
  <c r="R598" i="18"/>
  <c r="S578" i="18"/>
  <c r="S572" i="18"/>
  <c r="S566" i="18"/>
  <c r="F552" i="18"/>
  <c r="S544" i="18"/>
  <c r="R544" i="18"/>
  <c r="R537" i="18"/>
  <c r="M530" i="18"/>
  <c r="L530" i="18"/>
  <c r="M529" i="18"/>
  <c r="L529" i="18"/>
  <c r="P369" i="18"/>
  <c r="O369" i="18"/>
  <c r="P368" i="18"/>
  <c r="O368" i="18"/>
  <c r="O373" i="18" s="1"/>
  <c r="P363" i="18"/>
  <c r="O363" i="18"/>
  <c r="R357" i="18"/>
  <c r="R352" i="18"/>
  <c r="S339" i="18"/>
  <c r="R590" i="18" s="1"/>
  <c r="R591" i="18" s="1"/>
  <c r="R592" i="18" s="1"/>
  <c r="R339" i="18"/>
  <c r="S590" i="18" s="1"/>
  <c r="S591" i="18" s="1"/>
  <c r="S592" i="18" s="1"/>
  <c r="F337" i="18"/>
  <c r="E337" i="18"/>
  <c r="D337" i="18"/>
  <c r="A337" i="18"/>
  <c r="M328" i="18"/>
  <c r="M332" i="18" s="1"/>
  <c r="L328" i="18"/>
  <c r="L332" i="18" s="1"/>
  <c r="K328" i="18"/>
  <c r="K332" i="18" s="1"/>
  <c r="J328" i="18"/>
  <c r="J332" i="18" s="1"/>
  <c r="I328" i="18"/>
  <c r="I332" i="18" s="1"/>
  <c r="H328" i="18"/>
  <c r="H332" i="18" s="1"/>
  <c r="G328" i="18"/>
  <c r="G332" i="18" s="1"/>
  <c r="F328" i="18"/>
  <c r="F332" i="18" s="1"/>
  <c r="E328" i="18"/>
  <c r="E332" i="18" s="1"/>
  <c r="D328" i="18"/>
  <c r="D332" i="18" s="1"/>
  <c r="A328" i="18"/>
  <c r="M326" i="18"/>
  <c r="L326" i="18"/>
  <c r="K326" i="18"/>
  <c r="J326" i="18"/>
  <c r="I326" i="18"/>
  <c r="H326" i="18"/>
  <c r="G326" i="18"/>
  <c r="F326" i="18"/>
  <c r="E326" i="18"/>
  <c r="D326" i="18"/>
  <c r="M320" i="18"/>
  <c r="L320" i="18"/>
  <c r="K320" i="18"/>
  <c r="J320" i="18"/>
  <c r="I320" i="18"/>
  <c r="H320" i="18"/>
  <c r="G320" i="18"/>
  <c r="F320" i="18"/>
  <c r="E320" i="18"/>
  <c r="D320" i="18"/>
  <c r="M314" i="18"/>
  <c r="L314" i="18"/>
  <c r="K314" i="18"/>
  <c r="J314" i="18"/>
  <c r="I314" i="18"/>
  <c r="H314" i="18"/>
  <c r="G314" i="18"/>
  <c r="F314" i="18"/>
  <c r="E314" i="18"/>
  <c r="D314" i="18"/>
  <c r="M308" i="18"/>
  <c r="L308" i="18"/>
  <c r="K308" i="18"/>
  <c r="J308" i="18"/>
  <c r="I308" i="18"/>
  <c r="H308" i="18"/>
  <c r="G308" i="18"/>
  <c r="F308" i="18"/>
  <c r="E308" i="18"/>
  <c r="D308" i="18"/>
  <c r="M302" i="18"/>
  <c r="L302" i="18"/>
  <c r="K302" i="18"/>
  <c r="J302" i="18"/>
  <c r="I302" i="18"/>
  <c r="H302" i="18"/>
  <c r="G302" i="18"/>
  <c r="F302" i="18"/>
  <c r="E302" i="18"/>
  <c r="D302" i="18"/>
  <c r="M296" i="18"/>
  <c r="L296" i="18"/>
  <c r="K296" i="18"/>
  <c r="J296" i="18"/>
  <c r="I296" i="18"/>
  <c r="H296" i="18"/>
  <c r="G296" i="18"/>
  <c r="F296" i="18"/>
  <c r="E296" i="18"/>
  <c r="D296" i="18"/>
  <c r="M290" i="18"/>
  <c r="L290" i="18"/>
  <c r="K290" i="18"/>
  <c r="J290" i="18"/>
  <c r="I290" i="18"/>
  <c r="H290" i="18"/>
  <c r="G290" i="18"/>
  <c r="F290" i="18"/>
  <c r="E290" i="18"/>
  <c r="D290" i="18"/>
  <c r="M284" i="18"/>
  <c r="L284" i="18"/>
  <c r="K284" i="18"/>
  <c r="J284" i="18"/>
  <c r="I284" i="18"/>
  <c r="H284" i="18"/>
  <c r="G284" i="18"/>
  <c r="F284" i="18"/>
  <c r="E284" i="18"/>
  <c r="D284" i="18"/>
  <c r="M281" i="18"/>
  <c r="L281" i="18"/>
  <c r="K281" i="18"/>
  <c r="J281" i="18"/>
  <c r="I281" i="18"/>
  <c r="H281" i="18"/>
  <c r="G281" i="18"/>
  <c r="F281" i="18"/>
  <c r="E281" i="18"/>
  <c r="D281" i="18"/>
  <c r="P267" i="18"/>
  <c r="K280" i="18" s="1"/>
  <c r="O267" i="18"/>
  <c r="K306" i="18" s="1"/>
  <c r="P266" i="18"/>
  <c r="J307" i="18" s="1"/>
  <c r="O266" i="18"/>
  <c r="J306" i="18" s="1"/>
  <c r="P265" i="18"/>
  <c r="I280" i="18" s="1"/>
  <c r="O265" i="18"/>
  <c r="I279" i="18" s="1"/>
  <c r="P264" i="18"/>
  <c r="F307" i="18" s="1"/>
  <c r="O264" i="18"/>
  <c r="G306" i="18" s="1"/>
  <c r="P263" i="18"/>
  <c r="E280" i="18" s="1"/>
  <c r="O263" i="18"/>
  <c r="E279" i="18" s="1"/>
  <c r="D258" i="18"/>
  <c r="G246" i="18"/>
  <c r="F246" i="18"/>
  <c r="F254" i="18" s="1"/>
  <c r="E246" i="18"/>
  <c r="E254" i="18" s="1"/>
  <c r="D246" i="18"/>
  <c r="D251" i="18" s="1"/>
  <c r="A246" i="18"/>
  <c r="D230" i="18"/>
  <c r="D222" i="18"/>
  <c r="D216" i="18"/>
  <c r="F204" i="18"/>
  <c r="F212" i="18" s="1"/>
  <c r="E204" i="18"/>
  <c r="E209" i="18" s="1"/>
  <c r="D204" i="18"/>
  <c r="D209" i="18" s="1"/>
  <c r="A204" i="18"/>
  <c r="D185" i="18"/>
  <c r="D184" i="18"/>
  <c r="D183" i="18"/>
  <c r="D174" i="18"/>
  <c r="D173" i="18"/>
  <c r="D172" i="18"/>
  <c r="G168" i="18"/>
  <c r="F168" i="18"/>
  <c r="E168" i="18"/>
  <c r="D168" i="18"/>
  <c r="G165" i="18"/>
  <c r="F165" i="18"/>
  <c r="E165" i="18"/>
  <c r="D165" i="18"/>
  <c r="F136" i="18"/>
  <c r="E136" i="18"/>
  <c r="D136" i="18"/>
  <c r="G133" i="18"/>
  <c r="F133" i="18"/>
  <c r="E133" i="18"/>
  <c r="D133" i="18"/>
  <c r="H102" i="18"/>
  <c r="G102" i="18"/>
  <c r="F102" i="18"/>
  <c r="E102" i="18"/>
  <c r="D102" i="18"/>
  <c r="A102" i="18"/>
  <c r="D75" i="18"/>
  <c r="D82" i="18" s="1"/>
  <c r="R59" i="18"/>
  <c r="D54" i="18"/>
  <c r="R53" i="18"/>
  <c r="S53" i="18" s="1"/>
  <c r="D48" i="18"/>
  <c r="R47" i="18"/>
  <c r="S47" i="18" s="1"/>
  <c r="R42" i="18"/>
  <c r="S42" i="18" s="1"/>
  <c r="D36" i="18"/>
  <c r="F354" i="17"/>
  <c r="E354" i="17"/>
  <c r="D354" i="17"/>
  <c r="A354" i="17"/>
  <c r="F349" i="17"/>
  <c r="R352" i="17" s="1"/>
  <c r="E349" i="17"/>
  <c r="E337" i="17" s="1"/>
  <c r="D349" i="17"/>
  <c r="D337" i="17" s="1"/>
  <c r="A349" i="17"/>
  <c r="A337" i="17" s="1"/>
  <c r="M303" i="17"/>
  <c r="M314" i="17" s="1"/>
  <c r="L303" i="17"/>
  <c r="L320" i="17" s="1"/>
  <c r="K303" i="17"/>
  <c r="K314" i="17" s="1"/>
  <c r="J303" i="17"/>
  <c r="J326" i="17" s="1"/>
  <c r="I303" i="17"/>
  <c r="I308" i="17" s="1"/>
  <c r="H303" i="17"/>
  <c r="H326" i="17" s="1"/>
  <c r="G303" i="17"/>
  <c r="G326" i="17" s="1"/>
  <c r="F303" i="17"/>
  <c r="F326" i="17" s="1"/>
  <c r="E303" i="17"/>
  <c r="E326" i="17" s="1"/>
  <c r="D303" i="17"/>
  <c r="D320" i="17" s="1"/>
  <c r="A303" i="17"/>
  <c r="M276" i="17"/>
  <c r="M302" i="17" s="1"/>
  <c r="L276" i="17"/>
  <c r="L302" i="17" s="1"/>
  <c r="K276" i="17"/>
  <c r="K284" i="17" s="1"/>
  <c r="J276" i="17"/>
  <c r="F616" i="17" s="1"/>
  <c r="I276" i="17"/>
  <c r="I296" i="17" s="1"/>
  <c r="H276" i="17"/>
  <c r="H328" i="17" s="1"/>
  <c r="H332" i="17" s="1"/>
  <c r="G276" i="17"/>
  <c r="G284" i="17" s="1"/>
  <c r="F276" i="17"/>
  <c r="F302" i="17" s="1"/>
  <c r="E276" i="17"/>
  <c r="F623" i="17" s="1"/>
  <c r="D276" i="17"/>
  <c r="D302" i="17" s="1"/>
  <c r="A276" i="17"/>
  <c r="G161" i="17"/>
  <c r="G168" i="17" s="1"/>
  <c r="F161" i="17"/>
  <c r="F168" i="17" s="1"/>
  <c r="E161" i="17"/>
  <c r="E168" i="17" s="1"/>
  <c r="D161" i="17"/>
  <c r="D168" i="17" s="1"/>
  <c r="A161" i="17"/>
  <c r="G129" i="17"/>
  <c r="G133" i="17" s="1"/>
  <c r="F129" i="17"/>
  <c r="F246" i="17" s="1"/>
  <c r="F254" i="17" s="1"/>
  <c r="E129" i="17"/>
  <c r="E204" i="17" s="1"/>
  <c r="E212" i="17" s="1"/>
  <c r="D129" i="17"/>
  <c r="D204" i="17" s="1"/>
  <c r="D209" i="17" s="1"/>
  <c r="A129" i="17"/>
  <c r="F85" i="17"/>
  <c r="R88" i="17" s="1"/>
  <c r="E85" i="17"/>
  <c r="D85" i="17"/>
  <c r="A85" i="17"/>
  <c r="H56" i="17"/>
  <c r="H102" i="17" s="1"/>
  <c r="G56" i="17"/>
  <c r="G102" i="17" s="1"/>
  <c r="F56" i="17"/>
  <c r="F102" i="17" s="1"/>
  <c r="E56" i="17"/>
  <c r="E102" i="17" s="1"/>
  <c r="D56" i="17"/>
  <c r="D102" i="17" s="1"/>
  <c r="A56" i="17"/>
  <c r="A102" i="17" s="1"/>
  <c r="H50" i="17"/>
  <c r="G50" i="17"/>
  <c r="F50" i="17"/>
  <c r="E50" i="17"/>
  <c r="D50" i="17"/>
  <c r="A50" i="17"/>
  <c r="H44" i="17"/>
  <c r="G44" i="17"/>
  <c r="F44" i="17"/>
  <c r="E44" i="17"/>
  <c r="D44" i="17"/>
  <c r="A44" i="17"/>
  <c r="H39" i="17"/>
  <c r="G39" i="17"/>
  <c r="F39" i="17"/>
  <c r="E39" i="17"/>
  <c r="D39" i="17"/>
  <c r="A39" i="17"/>
  <c r="R42" i="17" s="1"/>
  <c r="S42" i="17" s="1"/>
  <c r="E704" i="17"/>
  <c r="E703" i="17"/>
  <c r="E702" i="17"/>
  <c r="E701" i="17"/>
  <c r="E700" i="17"/>
  <c r="E699" i="17"/>
  <c r="E698" i="17"/>
  <c r="E697" i="17"/>
  <c r="E696" i="17"/>
  <c r="E695" i="17"/>
  <c r="E694" i="17"/>
  <c r="E693" i="17"/>
  <c r="E690" i="17"/>
  <c r="E689" i="17"/>
  <c r="E664" i="17"/>
  <c r="B664" i="17"/>
  <c r="B684" i="17" s="1"/>
  <c r="B704" i="17" s="1"/>
  <c r="E663" i="17"/>
  <c r="B663" i="17"/>
  <c r="B683" i="17" s="1"/>
  <c r="B703" i="17" s="1"/>
  <c r="E662" i="17"/>
  <c r="B662" i="17"/>
  <c r="B682" i="17" s="1"/>
  <c r="B702" i="17" s="1"/>
  <c r="E661" i="17"/>
  <c r="B661" i="17"/>
  <c r="B681" i="17" s="1"/>
  <c r="B701" i="17" s="1"/>
  <c r="E660" i="17"/>
  <c r="B660" i="17"/>
  <c r="B680" i="17" s="1"/>
  <c r="B700" i="17" s="1"/>
  <c r="E659" i="17"/>
  <c r="B659" i="17"/>
  <c r="B679" i="17" s="1"/>
  <c r="B699" i="17" s="1"/>
  <c r="E658" i="17"/>
  <c r="B658" i="17"/>
  <c r="B678" i="17" s="1"/>
  <c r="B698" i="17" s="1"/>
  <c r="E657" i="17"/>
  <c r="B657" i="17"/>
  <c r="B677" i="17" s="1"/>
  <c r="B697" i="17" s="1"/>
  <c r="R656" i="17"/>
  <c r="E656" i="17"/>
  <c r="B656" i="17"/>
  <c r="B676" i="17" s="1"/>
  <c r="B696" i="17" s="1"/>
  <c r="R655" i="17"/>
  <c r="E655" i="17"/>
  <c r="B655" i="17"/>
  <c r="B675" i="17" s="1"/>
  <c r="B695" i="17" s="1"/>
  <c r="R654" i="17"/>
  <c r="E654" i="17"/>
  <c r="B654" i="17"/>
  <c r="B674" i="17" s="1"/>
  <c r="B694" i="17" s="1"/>
  <c r="R653" i="17"/>
  <c r="E653" i="17"/>
  <c r="B653" i="17"/>
  <c r="B673" i="17" s="1"/>
  <c r="B693" i="17" s="1"/>
  <c r="B652" i="17"/>
  <c r="B672" i="17" s="1"/>
  <c r="B692" i="17" s="1"/>
  <c r="B651" i="17"/>
  <c r="B671" i="17" s="1"/>
  <c r="B691" i="17" s="1"/>
  <c r="E650" i="17"/>
  <c r="B650" i="17"/>
  <c r="B670" i="17" s="1"/>
  <c r="B690" i="17" s="1"/>
  <c r="E649" i="17"/>
  <c r="B649" i="17"/>
  <c r="B669" i="17" s="1"/>
  <c r="B689" i="17" s="1"/>
  <c r="F630" i="17"/>
  <c r="R598" i="17"/>
  <c r="S578" i="17"/>
  <c r="S572" i="17"/>
  <c r="S566" i="17"/>
  <c r="F552" i="17"/>
  <c r="S544" i="17"/>
  <c r="R544" i="17"/>
  <c r="R537" i="17"/>
  <c r="K307" i="17"/>
  <c r="K279" i="17"/>
  <c r="J280" i="17"/>
  <c r="J306" i="17"/>
  <c r="G307" i="17"/>
  <c r="F306" i="17"/>
  <c r="E307" i="17"/>
  <c r="E306" i="17"/>
  <c r="D258" i="17"/>
  <c r="D230" i="17"/>
  <c r="D222" i="17"/>
  <c r="D216" i="17"/>
  <c r="D185" i="17"/>
  <c r="D184" i="17"/>
  <c r="D183" i="17"/>
  <c r="D174" i="17"/>
  <c r="D173" i="17"/>
  <c r="D172" i="17"/>
  <c r="D82" i="17"/>
  <c r="H58" i="17"/>
  <c r="D54" i="17"/>
  <c r="H52" i="17"/>
  <c r="D48" i="17"/>
  <c r="H46" i="17"/>
  <c r="H41" i="17"/>
  <c r="D36" i="17"/>
  <c r="M299" i="14"/>
  <c r="L529" i="14"/>
  <c r="L530" i="14"/>
  <c r="H290" i="17" l="1"/>
  <c r="E314" i="17"/>
  <c r="M320" i="17"/>
  <c r="K284" i="19"/>
  <c r="L290" i="19"/>
  <c r="E326" i="19"/>
  <c r="I308" i="19"/>
  <c r="M326" i="19"/>
  <c r="F602" i="19"/>
  <c r="H302" i="17"/>
  <c r="I314" i="17"/>
  <c r="I326" i="17"/>
  <c r="H281" i="17"/>
  <c r="E308" i="17"/>
  <c r="E320" i="17"/>
  <c r="M326" i="17"/>
  <c r="H284" i="17"/>
  <c r="M308" i="17"/>
  <c r="I320" i="17"/>
  <c r="F337" i="17"/>
  <c r="D308" i="19"/>
  <c r="D326" i="19"/>
  <c r="E136" i="19"/>
  <c r="K281" i="19"/>
  <c r="G296" i="19"/>
  <c r="H314" i="19"/>
  <c r="H326" i="19"/>
  <c r="K328" i="19"/>
  <c r="K332" i="19" s="1"/>
  <c r="D296" i="17"/>
  <c r="D328" i="17"/>
  <c r="D332" i="17" s="1"/>
  <c r="E165" i="17"/>
  <c r="D284" i="17"/>
  <c r="H296" i="17"/>
  <c r="E133" i="19"/>
  <c r="E204" i="19"/>
  <c r="E209" i="19" s="1"/>
  <c r="K296" i="19"/>
  <c r="D314" i="19"/>
  <c r="H320" i="19"/>
  <c r="R59" i="19"/>
  <c r="S59" i="19" s="1"/>
  <c r="G281" i="19"/>
  <c r="G290" i="19"/>
  <c r="K302" i="19"/>
  <c r="L308" i="19"/>
  <c r="L314" i="19"/>
  <c r="G328" i="19"/>
  <c r="G332" i="19" s="1"/>
  <c r="P368" i="19"/>
  <c r="P373" i="19" s="1"/>
  <c r="O377" i="18"/>
  <c r="O378" i="18" s="1"/>
  <c r="O381" i="18" s="1"/>
  <c r="O386" i="18" s="1"/>
  <c r="O387" i="18" s="1"/>
  <c r="O379" i="18"/>
  <c r="O758" i="18" s="1"/>
  <c r="O380" i="18"/>
  <c r="P377" i="18"/>
  <c r="P378" i="18" s="1"/>
  <c r="G314" i="19"/>
  <c r="O369" i="19"/>
  <c r="O374" i="19" s="1"/>
  <c r="P377" i="19"/>
  <c r="P378" i="19" s="1"/>
  <c r="P381" i="19" s="1"/>
  <c r="P386" i="19" s="1"/>
  <c r="P387" i="19" s="1"/>
  <c r="O757" i="17"/>
  <c r="R331" i="18"/>
  <c r="S584" i="18" s="1"/>
  <c r="S585" i="18" s="1"/>
  <c r="S586" i="18" s="1"/>
  <c r="R331" i="19"/>
  <c r="S584" i="19" s="1"/>
  <c r="S585" i="19" s="1"/>
  <c r="S586" i="19" s="1"/>
  <c r="D281" i="17"/>
  <c r="D290" i="17"/>
  <c r="A246" i="17"/>
  <c r="A204" i="19"/>
  <c r="H308" i="17"/>
  <c r="F133" i="17"/>
  <c r="F136" i="17"/>
  <c r="F204" i="17"/>
  <c r="F209" i="17" s="1"/>
  <c r="D326" i="17"/>
  <c r="E133" i="17"/>
  <c r="G296" i="17"/>
  <c r="K320" i="19"/>
  <c r="P369" i="19"/>
  <c r="P374" i="19" s="1"/>
  <c r="G326" i="19"/>
  <c r="G133" i="19"/>
  <c r="G284" i="19"/>
  <c r="L320" i="19"/>
  <c r="O368" i="19"/>
  <c r="F165" i="19"/>
  <c r="E290" i="19"/>
  <c r="G165" i="19"/>
  <c r="A246" i="19"/>
  <c r="L529" i="19"/>
  <c r="F609" i="19"/>
  <c r="K326" i="19"/>
  <c r="M296" i="19"/>
  <c r="P373" i="18"/>
  <c r="F251" i="18"/>
  <c r="E246" i="17"/>
  <c r="E251" i="17" s="1"/>
  <c r="G281" i="17"/>
  <c r="H320" i="17"/>
  <c r="G328" i="17"/>
  <c r="G332" i="17" s="1"/>
  <c r="R339" i="17"/>
  <c r="S590" i="17" s="1"/>
  <c r="S591" i="17" s="1"/>
  <c r="S592" i="17" s="1"/>
  <c r="E136" i="17"/>
  <c r="D308" i="17"/>
  <c r="L314" i="17"/>
  <c r="R59" i="17"/>
  <c r="S59" i="17" s="1"/>
  <c r="D165" i="17"/>
  <c r="G302" i="17"/>
  <c r="D314" i="17"/>
  <c r="K328" i="17"/>
  <c r="K332" i="17" s="1"/>
  <c r="F209" i="18"/>
  <c r="O374" i="18"/>
  <c r="D281" i="19"/>
  <c r="L281" i="19"/>
  <c r="D296" i="19"/>
  <c r="L296" i="19"/>
  <c r="H302" i="19"/>
  <c r="E168" i="19"/>
  <c r="F246" i="19"/>
  <c r="F251" i="19" s="1"/>
  <c r="D284" i="19"/>
  <c r="L284" i="19"/>
  <c r="H290" i="19"/>
  <c r="M308" i="19"/>
  <c r="M314" i="19"/>
  <c r="I326" i="19"/>
  <c r="D328" i="19"/>
  <c r="D332" i="19" s="1"/>
  <c r="L328" i="19"/>
  <c r="L332" i="19" s="1"/>
  <c r="F630" i="19"/>
  <c r="P759" i="19"/>
  <c r="O759" i="19"/>
  <c r="E251" i="18"/>
  <c r="F136" i="19"/>
  <c r="H281" i="19"/>
  <c r="D290" i="19"/>
  <c r="I314" i="19"/>
  <c r="P757" i="19"/>
  <c r="O757" i="19"/>
  <c r="L308" i="17"/>
  <c r="L326" i="17"/>
  <c r="M529" i="14"/>
  <c r="M530" i="14"/>
  <c r="G314" i="17"/>
  <c r="K281" i="17"/>
  <c r="K296" i="17"/>
  <c r="K302" i="17"/>
  <c r="G308" i="17"/>
  <c r="H314" i="17"/>
  <c r="K320" i="17"/>
  <c r="G320" i="17"/>
  <c r="J296" i="17"/>
  <c r="R306" i="17"/>
  <c r="S596" i="17" s="1"/>
  <c r="S597" i="17" s="1"/>
  <c r="S598" i="17" s="1"/>
  <c r="R53" i="17"/>
  <c r="S53" i="17" s="1"/>
  <c r="F561" i="17" s="1"/>
  <c r="I302" i="17"/>
  <c r="F320" i="17"/>
  <c r="J320" i="17"/>
  <c r="K326" i="17"/>
  <c r="L284" i="17"/>
  <c r="F602" i="17"/>
  <c r="L281" i="17"/>
  <c r="L296" i="17"/>
  <c r="L328" i="17"/>
  <c r="L332" i="17" s="1"/>
  <c r="L290" i="17"/>
  <c r="F296" i="17"/>
  <c r="O368" i="17"/>
  <c r="L530" i="17"/>
  <c r="M530" i="17" s="1"/>
  <c r="A328" i="17"/>
  <c r="G246" i="17"/>
  <c r="E281" i="17"/>
  <c r="M281" i="17"/>
  <c r="I284" i="17"/>
  <c r="M290" i="17"/>
  <c r="E302" i="17"/>
  <c r="D133" i="17"/>
  <c r="D136" i="17"/>
  <c r="F165" i="17"/>
  <c r="A204" i="17"/>
  <c r="D246" i="17"/>
  <c r="D251" i="17" s="1"/>
  <c r="F281" i="17"/>
  <c r="J281" i="17"/>
  <c r="E328" i="17"/>
  <c r="E332" i="17" s="1"/>
  <c r="I328" i="17"/>
  <c r="I332" i="17" s="1"/>
  <c r="M328" i="17"/>
  <c r="M332" i="17" s="1"/>
  <c r="L529" i="17"/>
  <c r="M529" i="17" s="1"/>
  <c r="F609" i="17"/>
  <c r="I281" i="17"/>
  <c r="E290" i="17"/>
  <c r="F637" i="17"/>
  <c r="G165" i="17"/>
  <c r="F251" i="17"/>
  <c r="E284" i="17"/>
  <c r="M284" i="17"/>
  <c r="I290" i="17"/>
  <c r="E296" i="17"/>
  <c r="M296" i="17"/>
  <c r="K308" i="17"/>
  <c r="F328" i="17"/>
  <c r="F332" i="17" s="1"/>
  <c r="J328" i="17"/>
  <c r="J332" i="17" s="1"/>
  <c r="O369" i="17"/>
  <c r="P369" i="17" s="1"/>
  <c r="S579" i="17"/>
  <c r="S580" i="17" s="1"/>
  <c r="G279" i="18"/>
  <c r="K307" i="18"/>
  <c r="J279" i="18"/>
  <c r="G279" i="17"/>
  <c r="J279" i="19"/>
  <c r="H279" i="19"/>
  <c r="F279" i="18"/>
  <c r="H306" i="18"/>
  <c r="I306" i="19"/>
  <c r="M299" i="18"/>
  <c r="M299" i="19"/>
  <c r="M323" i="19"/>
  <c r="L323" i="18"/>
  <c r="M323" i="18"/>
  <c r="R694" i="17"/>
  <c r="L299" i="18"/>
  <c r="L299" i="19"/>
  <c r="L323" i="19"/>
  <c r="F209" i="19"/>
  <c r="M281" i="19"/>
  <c r="M284" i="19"/>
  <c r="I296" i="19"/>
  <c r="M302" i="19"/>
  <c r="F314" i="19"/>
  <c r="J314" i="19"/>
  <c r="M328" i="19"/>
  <c r="M332" i="19" s="1"/>
  <c r="F623" i="19"/>
  <c r="I281" i="19"/>
  <c r="I284" i="19"/>
  <c r="E296" i="19"/>
  <c r="I302" i="19"/>
  <c r="I328" i="19"/>
  <c r="I332" i="19" s="1"/>
  <c r="O363" i="19"/>
  <c r="E281" i="19"/>
  <c r="E284" i="19"/>
  <c r="I290" i="19"/>
  <c r="E302" i="19"/>
  <c r="F337" i="19"/>
  <c r="F308" i="19"/>
  <c r="R306" i="19"/>
  <c r="S596" i="19" s="1"/>
  <c r="S597" i="19" s="1"/>
  <c r="S598" i="19" s="1"/>
  <c r="G308" i="19"/>
  <c r="K308" i="19"/>
  <c r="F326" i="19"/>
  <c r="J326" i="19"/>
  <c r="R339" i="19"/>
  <c r="S590" i="19" s="1"/>
  <c r="S591" i="19" s="1"/>
  <c r="S592" i="19" s="1"/>
  <c r="J308" i="19"/>
  <c r="S339" i="19"/>
  <c r="R590" i="19" s="1"/>
  <c r="R591" i="19" s="1"/>
  <c r="R592" i="19" s="1"/>
  <c r="F281" i="19"/>
  <c r="J281" i="19"/>
  <c r="F302" i="19"/>
  <c r="J302" i="19"/>
  <c r="F290" i="19"/>
  <c r="J290" i="19"/>
  <c r="F296" i="19"/>
  <c r="J296" i="19"/>
  <c r="F328" i="19"/>
  <c r="F332" i="19" s="1"/>
  <c r="J328" i="19"/>
  <c r="J332" i="19" s="1"/>
  <c r="J284" i="19"/>
  <c r="M530" i="19"/>
  <c r="D165" i="19"/>
  <c r="D212" i="19"/>
  <c r="D209" i="19"/>
  <c r="D133" i="19"/>
  <c r="D136" i="19"/>
  <c r="D246" i="19"/>
  <c r="E307" i="19"/>
  <c r="E280" i="19"/>
  <c r="I307" i="19"/>
  <c r="I280" i="19"/>
  <c r="H307" i="19"/>
  <c r="K307" i="19"/>
  <c r="K280" i="19"/>
  <c r="H561" i="19"/>
  <c r="H562" i="19" s="1"/>
  <c r="F561" i="19"/>
  <c r="F553" i="19"/>
  <c r="F554" i="19" s="1"/>
  <c r="H553" i="19"/>
  <c r="H554" i="19" s="1"/>
  <c r="E251" i="19"/>
  <c r="E254" i="19"/>
  <c r="G306" i="19"/>
  <c r="F306" i="19"/>
  <c r="E279" i="19"/>
  <c r="I279" i="19"/>
  <c r="J280" i="19"/>
  <c r="G307" i="19"/>
  <c r="F307" i="19"/>
  <c r="K279" i="19"/>
  <c r="G280" i="19"/>
  <c r="S573" i="19"/>
  <c r="S574" i="19" s="1"/>
  <c r="S579" i="19"/>
  <c r="S580" i="19" s="1"/>
  <c r="R693" i="19"/>
  <c r="R694" i="19"/>
  <c r="R695" i="19"/>
  <c r="R696" i="19"/>
  <c r="F553" i="18"/>
  <c r="H553" i="18"/>
  <c r="H554" i="18" s="1"/>
  <c r="F280" i="18"/>
  <c r="J280" i="18"/>
  <c r="G307" i="18"/>
  <c r="D212" i="18"/>
  <c r="K279" i="18"/>
  <c r="G280" i="18"/>
  <c r="E306" i="18"/>
  <c r="I306" i="18"/>
  <c r="H307" i="18"/>
  <c r="F561" i="18"/>
  <c r="F562" i="18" s="1"/>
  <c r="H561" i="18"/>
  <c r="H562" i="18" s="1"/>
  <c r="E212" i="18"/>
  <c r="D254" i="18"/>
  <c r="H279" i="18"/>
  <c r="H280" i="18"/>
  <c r="F306" i="18"/>
  <c r="E307" i="18"/>
  <c r="I307" i="18"/>
  <c r="S59" i="18"/>
  <c r="P374" i="18"/>
  <c r="S579" i="18"/>
  <c r="S580" i="18" s="1"/>
  <c r="S573" i="18"/>
  <c r="S574" i="18" s="1"/>
  <c r="R693" i="18"/>
  <c r="R695" i="18"/>
  <c r="R694" i="18"/>
  <c r="R696" i="18"/>
  <c r="J307" i="17"/>
  <c r="G280" i="17"/>
  <c r="M299" i="17"/>
  <c r="M323" i="17"/>
  <c r="L299" i="17"/>
  <c r="K280" i="17"/>
  <c r="L323" i="17"/>
  <c r="O363" i="17"/>
  <c r="O379" i="17" s="1"/>
  <c r="F314" i="17"/>
  <c r="J314" i="17"/>
  <c r="F308" i="17"/>
  <c r="J308" i="17"/>
  <c r="J290" i="17"/>
  <c r="F284" i="17"/>
  <c r="J284" i="17"/>
  <c r="G290" i="17"/>
  <c r="K290" i="17"/>
  <c r="F290" i="17"/>
  <c r="J302" i="17"/>
  <c r="E209" i="17"/>
  <c r="K306" i="17"/>
  <c r="D212" i="17"/>
  <c r="I306" i="17"/>
  <c r="H306" i="17"/>
  <c r="I307" i="17"/>
  <c r="H307" i="17"/>
  <c r="H279" i="17"/>
  <c r="H280" i="17"/>
  <c r="E279" i="17"/>
  <c r="I279" i="17"/>
  <c r="E280" i="17"/>
  <c r="I280" i="17"/>
  <c r="F279" i="17"/>
  <c r="J279" i="17"/>
  <c r="F280" i="17"/>
  <c r="G306" i="17"/>
  <c r="F307" i="17"/>
  <c r="S567" i="17"/>
  <c r="S568" i="17" s="1"/>
  <c r="R696" i="17"/>
  <c r="R693" i="17"/>
  <c r="R695" i="17"/>
  <c r="L323" i="14"/>
  <c r="M323" i="14"/>
  <c r="L299" i="14"/>
  <c r="R339" i="14"/>
  <c r="S339" i="14" s="1"/>
  <c r="E212" i="19" l="1"/>
  <c r="S339" i="17"/>
  <c r="R590" i="17" s="1"/>
  <c r="R591" i="17" s="1"/>
  <c r="R592" i="17" s="1"/>
  <c r="R331" i="17"/>
  <c r="P381" i="18"/>
  <c r="P386" i="18" s="1"/>
  <c r="P387" i="18" s="1"/>
  <c r="O379" i="19"/>
  <c r="O758" i="19" s="1"/>
  <c r="O377" i="19"/>
  <c r="O378" i="19" s="1"/>
  <c r="O381" i="19" s="1"/>
  <c r="O386" i="19" s="1"/>
  <c r="O387" i="19" s="1"/>
  <c r="O380" i="19"/>
  <c r="F212" i="17"/>
  <c r="O373" i="19"/>
  <c r="F254" i="19"/>
  <c r="H561" i="17"/>
  <c r="H562" i="17" s="1"/>
  <c r="E254" i="17"/>
  <c r="O758" i="17"/>
  <c r="P368" i="17"/>
  <c r="D254" i="17"/>
  <c r="O377" i="17"/>
  <c r="O378" i="17" s="1"/>
  <c r="O381" i="17" s="1"/>
  <c r="O386" i="17" s="1"/>
  <c r="O387" i="17" s="1"/>
  <c r="O380" i="17"/>
  <c r="D251" i="19"/>
  <c r="D254" i="19"/>
  <c r="F562" i="19"/>
  <c r="F554" i="18"/>
  <c r="F562" i="17"/>
  <c r="E58" i="17"/>
  <c r="F58" i="17"/>
  <c r="G58" i="17"/>
  <c r="E52" i="17"/>
  <c r="F52" i="17"/>
  <c r="G52" i="17"/>
  <c r="E46" i="17"/>
  <c r="F46" i="17"/>
  <c r="G46" i="17"/>
  <c r="E41" i="17"/>
  <c r="F41" i="17"/>
  <c r="G41" i="17"/>
  <c r="F12" i="3"/>
  <c r="D12" i="3"/>
  <c r="F11" i="3"/>
  <c r="D11" i="3"/>
  <c r="D7" i="3"/>
  <c r="F104" i="17" l="1"/>
  <c r="G46" i="18"/>
  <c r="G46" i="19"/>
  <c r="F52" i="19"/>
  <c r="F52" i="18"/>
  <c r="E58" i="18"/>
  <c r="E104" i="18" s="1"/>
  <c r="E58" i="19"/>
  <c r="E104" i="19" s="1"/>
  <c r="G104" i="17"/>
  <c r="E52" i="19"/>
  <c r="E52" i="18"/>
  <c r="D215" i="19"/>
  <c r="D215" i="17"/>
  <c r="D215" i="18"/>
  <c r="F41" i="19"/>
  <c r="F41" i="18"/>
  <c r="E46" i="19"/>
  <c r="E46" i="18"/>
  <c r="G58" i="19"/>
  <c r="G104" i="19" s="1"/>
  <c r="G58" i="18"/>
  <c r="G104" i="18" s="1"/>
  <c r="H104" i="18"/>
  <c r="H104" i="19"/>
  <c r="H104" i="17"/>
  <c r="E104" i="17"/>
  <c r="G41" i="18"/>
  <c r="G41" i="19"/>
  <c r="E41" i="18"/>
  <c r="E41" i="19"/>
  <c r="F46" i="18"/>
  <c r="F46" i="19"/>
  <c r="G52" i="18"/>
  <c r="G52" i="19"/>
  <c r="F58" i="18"/>
  <c r="F104" i="18" s="1"/>
  <c r="F58" i="19"/>
  <c r="F104" i="19" s="1"/>
  <c r="P217" i="19" l="1"/>
  <c r="O217" i="19"/>
  <c r="O217" i="17"/>
  <c r="P217" i="17"/>
  <c r="P217" i="18"/>
  <c r="O217" i="18"/>
  <c r="M139" i="3" l="1"/>
  <c r="L139" i="3"/>
  <c r="D53" i="3"/>
  <c r="I14" i="4" l="1"/>
  <c r="I13" i="4"/>
  <c r="O368" i="14" l="1"/>
  <c r="P368" i="14" s="1"/>
  <c r="I17" i="8"/>
  <c r="J17" i="8" s="1"/>
  <c r="K17" i="8" s="1"/>
  <c r="L17" i="8" s="1"/>
  <c r="D17" i="8" s="1"/>
  <c r="I16" i="8"/>
  <c r="J16" i="8" s="1"/>
  <c r="I4" i="8"/>
  <c r="J17" i="7"/>
  <c r="O10" i="8" l="1"/>
  <c r="I10" i="8"/>
  <c r="J10" i="8"/>
  <c r="N10" i="8"/>
  <c r="K10" i="8"/>
  <c r="P10" i="8"/>
  <c r="P11" i="8" s="1"/>
  <c r="O6" i="8"/>
  <c r="I18" i="8"/>
  <c r="N6" i="8"/>
  <c r="J16" i="7"/>
  <c r="I6" i="8"/>
  <c r="K17" i="7"/>
  <c r="L17" i="7" s="1"/>
  <c r="D17" i="7" s="1"/>
  <c r="K16" i="8"/>
  <c r="L16" i="8" s="1"/>
  <c r="D16" i="8" s="1"/>
  <c r="I5" i="7"/>
  <c r="P267" i="14"/>
  <c r="K280" i="14" s="1"/>
  <c r="O267" i="14"/>
  <c r="K306" i="14" s="1"/>
  <c r="P266" i="14"/>
  <c r="J280" i="14" s="1"/>
  <c r="O266" i="14"/>
  <c r="P265" i="14"/>
  <c r="H307" i="14" s="1"/>
  <c r="O265" i="14"/>
  <c r="P264" i="14"/>
  <c r="G280" i="14" s="1"/>
  <c r="O264" i="14"/>
  <c r="G279" i="14" s="1"/>
  <c r="P263" i="14"/>
  <c r="E280" i="14" s="1"/>
  <c r="O263" i="14"/>
  <c r="E306" i="14" s="1"/>
  <c r="D75" i="14"/>
  <c r="D82" i="14" s="1"/>
  <c r="E704" i="14"/>
  <c r="E703" i="14"/>
  <c r="E702" i="14"/>
  <c r="E701" i="14"/>
  <c r="E700" i="14"/>
  <c r="E699" i="14"/>
  <c r="E698" i="14"/>
  <c r="E697" i="14"/>
  <c r="E696" i="14"/>
  <c r="E695" i="14"/>
  <c r="E694" i="14"/>
  <c r="E693" i="14"/>
  <c r="E690" i="14"/>
  <c r="E689" i="14"/>
  <c r="E664" i="14"/>
  <c r="B664" i="14"/>
  <c r="B684" i="14" s="1"/>
  <c r="B704" i="14" s="1"/>
  <c r="E663" i="14"/>
  <c r="B663" i="14"/>
  <c r="B683" i="14" s="1"/>
  <c r="B703" i="14" s="1"/>
  <c r="E662" i="14"/>
  <c r="B662" i="14"/>
  <c r="B682" i="14" s="1"/>
  <c r="B702" i="14" s="1"/>
  <c r="E661" i="14"/>
  <c r="B661" i="14"/>
  <c r="B681" i="14" s="1"/>
  <c r="B701" i="14" s="1"/>
  <c r="E660" i="14"/>
  <c r="B660" i="14"/>
  <c r="B680" i="14" s="1"/>
  <c r="B700" i="14" s="1"/>
  <c r="E659" i="14"/>
  <c r="B659" i="14"/>
  <c r="B679" i="14" s="1"/>
  <c r="B699" i="14" s="1"/>
  <c r="E658" i="14"/>
  <c r="B658" i="14"/>
  <c r="B678" i="14" s="1"/>
  <c r="B698" i="14" s="1"/>
  <c r="E657" i="14"/>
  <c r="B657" i="14"/>
  <c r="B677" i="14" s="1"/>
  <c r="B697" i="14" s="1"/>
  <c r="R656" i="14"/>
  <c r="E656" i="14"/>
  <c r="B656" i="14"/>
  <c r="B676" i="14" s="1"/>
  <c r="B696" i="14" s="1"/>
  <c r="R655" i="14"/>
  <c r="E655" i="14"/>
  <c r="B655" i="14"/>
  <c r="B675" i="14" s="1"/>
  <c r="B695" i="14" s="1"/>
  <c r="R654" i="14"/>
  <c r="E654" i="14"/>
  <c r="B654" i="14"/>
  <c r="B674" i="14" s="1"/>
  <c r="B694" i="14" s="1"/>
  <c r="R653" i="14"/>
  <c r="E653" i="14"/>
  <c r="B653" i="14"/>
  <c r="B673" i="14" s="1"/>
  <c r="B693" i="14" s="1"/>
  <c r="B652" i="14"/>
  <c r="B672" i="14" s="1"/>
  <c r="B692" i="14" s="1"/>
  <c r="B651" i="14"/>
  <c r="B671" i="14" s="1"/>
  <c r="B691" i="14" s="1"/>
  <c r="E650" i="14"/>
  <c r="B650" i="14"/>
  <c r="B670" i="14" s="1"/>
  <c r="B690" i="14" s="1"/>
  <c r="E649" i="14"/>
  <c r="B649" i="14"/>
  <c r="B669" i="14" s="1"/>
  <c r="B689" i="14" s="1"/>
  <c r="F637" i="14"/>
  <c r="F630" i="14"/>
  <c r="F623" i="14"/>
  <c r="F616" i="14"/>
  <c r="F609" i="14"/>
  <c r="F602" i="14"/>
  <c r="R598" i="14"/>
  <c r="S578" i="14"/>
  <c r="S572" i="14"/>
  <c r="S566" i="14"/>
  <c r="F552" i="14"/>
  <c r="S544" i="14"/>
  <c r="R544" i="14"/>
  <c r="R537" i="14"/>
  <c r="O369" i="14"/>
  <c r="P369" i="14" s="1"/>
  <c r="R352" i="14"/>
  <c r="F337" i="14"/>
  <c r="E337" i="14"/>
  <c r="D337" i="14"/>
  <c r="A337" i="14"/>
  <c r="M328" i="14"/>
  <c r="M332" i="14" s="1"/>
  <c r="L328" i="14"/>
  <c r="L332" i="14" s="1"/>
  <c r="K328" i="14"/>
  <c r="K332" i="14" s="1"/>
  <c r="J328" i="14"/>
  <c r="J332" i="14" s="1"/>
  <c r="I328" i="14"/>
  <c r="I332" i="14" s="1"/>
  <c r="H328" i="14"/>
  <c r="H332" i="14" s="1"/>
  <c r="G328" i="14"/>
  <c r="G332" i="14" s="1"/>
  <c r="F328" i="14"/>
  <c r="F332" i="14" s="1"/>
  <c r="E328" i="14"/>
  <c r="E332" i="14" s="1"/>
  <c r="D328" i="14"/>
  <c r="A328" i="14"/>
  <c r="M326" i="14"/>
  <c r="L326" i="14"/>
  <c r="K326" i="14"/>
  <c r="J326" i="14"/>
  <c r="I326" i="14"/>
  <c r="H326" i="14"/>
  <c r="G326" i="14"/>
  <c r="F326" i="14"/>
  <c r="E326" i="14"/>
  <c r="D326" i="14"/>
  <c r="M320" i="14"/>
  <c r="L320" i="14"/>
  <c r="K320" i="14"/>
  <c r="J320" i="14"/>
  <c r="I320" i="14"/>
  <c r="H320" i="14"/>
  <c r="G320" i="14"/>
  <c r="F320" i="14"/>
  <c r="E320" i="14"/>
  <c r="D320" i="14"/>
  <c r="M314" i="14"/>
  <c r="L314" i="14"/>
  <c r="K314" i="14"/>
  <c r="J314" i="14"/>
  <c r="I314" i="14"/>
  <c r="H314" i="14"/>
  <c r="G314" i="14"/>
  <c r="F314" i="14"/>
  <c r="E314" i="14"/>
  <c r="D314" i="14"/>
  <c r="M308" i="14"/>
  <c r="L308" i="14"/>
  <c r="K308" i="14"/>
  <c r="J308" i="14"/>
  <c r="I308" i="14"/>
  <c r="H308" i="14"/>
  <c r="G308" i="14"/>
  <c r="F308" i="14"/>
  <c r="E308" i="14"/>
  <c r="D308" i="14"/>
  <c r="M302" i="14"/>
  <c r="L302" i="14"/>
  <c r="K302" i="14"/>
  <c r="J302" i="14"/>
  <c r="I302" i="14"/>
  <c r="H302" i="14"/>
  <c r="G302" i="14"/>
  <c r="F302" i="14"/>
  <c r="E302" i="14"/>
  <c r="D302" i="14"/>
  <c r="M296" i="14"/>
  <c r="L296" i="14"/>
  <c r="K296" i="14"/>
  <c r="J296" i="14"/>
  <c r="I296" i="14"/>
  <c r="H296" i="14"/>
  <c r="G296" i="14"/>
  <c r="F296" i="14"/>
  <c r="E296" i="14"/>
  <c r="D296" i="14"/>
  <c r="M290" i="14"/>
  <c r="L290" i="14"/>
  <c r="K290" i="14"/>
  <c r="J290" i="14"/>
  <c r="I290" i="14"/>
  <c r="H290" i="14"/>
  <c r="G290" i="14"/>
  <c r="F290" i="14"/>
  <c r="E290" i="14"/>
  <c r="D290" i="14"/>
  <c r="M284" i="14"/>
  <c r="L284" i="14"/>
  <c r="K284" i="14"/>
  <c r="J284" i="14"/>
  <c r="I284" i="14"/>
  <c r="H284" i="14"/>
  <c r="G284" i="14"/>
  <c r="F284" i="14"/>
  <c r="E284" i="14"/>
  <c r="D284" i="14"/>
  <c r="M281" i="14"/>
  <c r="L281" i="14"/>
  <c r="K281" i="14"/>
  <c r="J281" i="14"/>
  <c r="I281" i="14"/>
  <c r="H281" i="14"/>
  <c r="G281" i="14"/>
  <c r="F281" i="14"/>
  <c r="E281" i="14"/>
  <c r="D281" i="14"/>
  <c r="I280" i="14"/>
  <c r="D258" i="14"/>
  <c r="G246" i="14"/>
  <c r="F246" i="14"/>
  <c r="F254" i="14" s="1"/>
  <c r="E246" i="14"/>
  <c r="E254" i="14" s="1"/>
  <c r="D246" i="14"/>
  <c r="D254" i="14" s="1"/>
  <c r="A246" i="14"/>
  <c r="D230" i="14"/>
  <c r="D222" i="14"/>
  <c r="D216" i="14"/>
  <c r="F204" i="14"/>
  <c r="F212" i="14" s="1"/>
  <c r="E204" i="14"/>
  <c r="E212" i="14" s="1"/>
  <c r="D204" i="14"/>
  <c r="D212" i="14" s="1"/>
  <c r="A204" i="14"/>
  <c r="D185" i="14"/>
  <c r="D184" i="14"/>
  <c r="D183" i="14"/>
  <c r="D174" i="14"/>
  <c r="D173" i="14"/>
  <c r="D172" i="14"/>
  <c r="G168" i="14"/>
  <c r="F168" i="14"/>
  <c r="E168" i="14"/>
  <c r="D168" i="14"/>
  <c r="G165" i="14"/>
  <c r="F165" i="14"/>
  <c r="E165" i="14"/>
  <c r="D165" i="14"/>
  <c r="F136" i="14"/>
  <c r="E136" i="14"/>
  <c r="D136" i="14"/>
  <c r="G133" i="14"/>
  <c r="F133" i="14"/>
  <c r="E133" i="14"/>
  <c r="D133" i="14"/>
  <c r="H102" i="14"/>
  <c r="G102" i="14"/>
  <c r="F102" i="14"/>
  <c r="E102" i="14"/>
  <c r="D102" i="14"/>
  <c r="A102" i="14"/>
  <c r="R88" i="14"/>
  <c r="H58" i="14"/>
  <c r="D54" i="14"/>
  <c r="H52" i="14"/>
  <c r="D48" i="14"/>
  <c r="H46" i="14"/>
  <c r="H41" i="14"/>
  <c r="D36" i="14"/>
  <c r="L10" i="8" l="1"/>
  <c r="I6" i="7"/>
  <c r="I18" i="7"/>
  <c r="K16" i="7"/>
  <c r="L16" i="7" s="1"/>
  <c r="D16" i="7" s="1"/>
  <c r="Q10" i="8"/>
  <c r="D10" i="8" s="1"/>
  <c r="O11" i="8"/>
  <c r="P6" i="8"/>
  <c r="Q6" i="8" s="1"/>
  <c r="P13" i="8"/>
  <c r="P12" i="8" s="1"/>
  <c r="N5" i="7"/>
  <c r="R331" i="14"/>
  <c r="S579" i="14"/>
  <c r="S580" i="14" s="1"/>
  <c r="G307" i="14"/>
  <c r="K307" i="14"/>
  <c r="S567" i="14"/>
  <c r="S568" i="14" s="1"/>
  <c r="F209" i="14"/>
  <c r="D251" i="14"/>
  <c r="D209" i="14"/>
  <c r="I307" i="14"/>
  <c r="E307" i="14"/>
  <c r="E209" i="14"/>
  <c r="H306" i="14"/>
  <c r="H279" i="14"/>
  <c r="E279" i="14"/>
  <c r="I306" i="14"/>
  <c r="E251" i="14"/>
  <c r="F279" i="14"/>
  <c r="G306" i="14"/>
  <c r="F306" i="14"/>
  <c r="J279" i="14"/>
  <c r="J306" i="14"/>
  <c r="I279" i="14"/>
  <c r="D332" i="14"/>
  <c r="F251" i="14"/>
  <c r="K279" i="14"/>
  <c r="H280" i="14"/>
  <c r="F307" i="14"/>
  <c r="J307" i="14"/>
  <c r="F280" i="14"/>
  <c r="R693" i="14"/>
  <c r="R694" i="14"/>
  <c r="R695" i="14"/>
  <c r="R696" i="14"/>
  <c r="N6" i="7" l="1"/>
  <c r="N18" i="7"/>
  <c r="Q11" i="8"/>
  <c r="O13" i="8"/>
  <c r="D142" i="17"/>
  <c r="D118" i="17"/>
  <c r="D144" i="17" s="1"/>
  <c r="D20" i="7"/>
  <c r="D143" i="17"/>
  <c r="D141" i="17"/>
  <c r="D140" i="17"/>
  <c r="O5" i="7"/>
  <c r="O18" i="7" s="1"/>
  <c r="F356" i="17"/>
  <c r="E356" i="17" s="1"/>
  <c r="O12" i="8" l="1"/>
  <c r="Q12" i="8" s="1"/>
  <c r="Q13" i="8"/>
  <c r="O11" i="7"/>
  <c r="O6" i="7"/>
  <c r="P158" i="17"/>
  <c r="O158" i="17"/>
  <c r="O152" i="17"/>
  <c r="P152" i="17"/>
  <c r="P5" i="7"/>
  <c r="K323" i="18"/>
  <c r="K323" i="19"/>
  <c r="K299" i="19"/>
  <c r="K299" i="18"/>
  <c r="O529" i="19"/>
  <c r="O529" i="18"/>
  <c r="K323" i="17"/>
  <c r="K299" i="17"/>
  <c r="O529" i="17"/>
  <c r="K299" i="14"/>
  <c r="K323" i="14"/>
  <c r="F356" i="14"/>
  <c r="Q5" i="7" l="1"/>
  <c r="P18" i="7"/>
  <c r="Q18" i="7" s="1"/>
  <c r="P11" i="7"/>
  <c r="P13" i="7" s="1"/>
  <c r="P12" i="7" s="1"/>
  <c r="P6" i="7"/>
  <c r="Q6" i="7" s="1"/>
  <c r="O13" i="7"/>
  <c r="K301" i="19"/>
  <c r="K300" i="19"/>
  <c r="K325" i="19"/>
  <c r="K324" i="19"/>
  <c r="K301" i="18"/>
  <c r="K300" i="18"/>
  <c r="K324" i="18"/>
  <c r="K325" i="18"/>
  <c r="K301" i="17"/>
  <c r="K300" i="17"/>
  <c r="K325" i="17"/>
  <c r="K324" i="17"/>
  <c r="K301" i="14"/>
  <c r="K300" i="14"/>
  <c r="K324" i="14"/>
  <c r="K325" i="14"/>
  <c r="E356" i="14"/>
  <c r="Q11" i="7" l="1"/>
  <c r="Q13" i="7"/>
  <c r="O12" i="7"/>
  <c r="Q12" i="7" s="1"/>
  <c r="F645" i="17" l="1"/>
  <c r="F645" i="19"/>
  <c r="F645" i="18"/>
  <c r="F655" i="17"/>
  <c r="F659" i="18"/>
  <c r="F654" i="18"/>
  <c r="F657" i="18"/>
  <c r="F653" i="19"/>
  <c r="F663" i="19"/>
  <c r="F659" i="17"/>
  <c r="F656" i="18"/>
  <c r="F655" i="18"/>
  <c r="F664" i="18"/>
  <c r="F660" i="19"/>
  <c r="F653" i="17"/>
  <c r="F654" i="19"/>
  <c r="F650" i="19"/>
  <c r="F657" i="17"/>
  <c r="F649" i="18"/>
  <c r="F658" i="19"/>
  <c r="F660" i="17"/>
  <c r="F649" i="17"/>
  <c r="F654" i="17"/>
  <c r="F661" i="18"/>
  <c r="F657" i="19"/>
  <c r="F650" i="17"/>
  <c r="F661" i="17"/>
  <c r="F656" i="19"/>
  <c r="F658" i="18"/>
  <c r="F649" i="19"/>
  <c r="F662" i="19"/>
  <c r="F664" i="17"/>
  <c r="F658" i="17"/>
  <c r="F650" i="18"/>
  <c r="F663" i="18"/>
  <c r="F659" i="19"/>
  <c r="F663" i="17"/>
  <c r="F656" i="17"/>
  <c r="F660" i="18"/>
  <c r="F655" i="19"/>
  <c r="F664" i="19"/>
  <c r="F662" i="17"/>
  <c r="F653" i="18"/>
  <c r="F661" i="19"/>
  <c r="F662" i="18"/>
  <c r="F653" i="14"/>
  <c r="F645" i="14"/>
  <c r="F661" i="14"/>
  <c r="F657" i="14"/>
  <c r="F663" i="14"/>
  <c r="F656" i="14"/>
  <c r="F660" i="14"/>
  <c r="F662" i="14"/>
  <c r="F659" i="14"/>
  <c r="F650" i="14"/>
  <c r="F664" i="14"/>
  <c r="F654" i="14"/>
  <c r="F655" i="14"/>
  <c r="F649" i="14"/>
  <c r="F658" i="14"/>
  <c r="D61" i="7"/>
  <c r="F559" i="17" s="1"/>
  <c r="D60" i="7"/>
  <c r="H559" i="17" s="1"/>
  <c r="D59" i="7"/>
  <c r="H551" i="17" s="1"/>
  <c r="D58" i="7"/>
  <c r="F551" i="17" s="1"/>
  <c r="D59" i="8"/>
  <c r="D58" i="8"/>
  <c r="D61" i="8"/>
  <c r="D60" i="8"/>
  <c r="L140" i="3"/>
  <c r="M140" i="3"/>
  <c r="F351" i="17"/>
  <c r="D148" i="17"/>
  <c r="D162" i="3"/>
  <c r="D151" i="3"/>
  <c r="H559" i="18" l="1"/>
  <c r="H559" i="19"/>
  <c r="F559" i="19"/>
  <c r="F559" i="18"/>
  <c r="F551" i="19"/>
  <c r="F551" i="18"/>
  <c r="H551" i="19"/>
  <c r="H551" i="18"/>
  <c r="E692" i="17"/>
  <c r="E652" i="17"/>
  <c r="F652" i="17" s="1"/>
  <c r="R552" i="17"/>
  <c r="E651" i="17"/>
  <c r="F651" i="17" s="1"/>
  <c r="E691" i="17"/>
  <c r="D128" i="17"/>
  <c r="E675" i="19"/>
  <c r="R675" i="19"/>
  <c r="R676" i="19"/>
  <c r="E676" i="19"/>
  <c r="E675" i="18"/>
  <c r="R675" i="18"/>
  <c r="E673" i="18"/>
  <c r="R673" i="18"/>
  <c r="R673" i="17"/>
  <c r="E673" i="17"/>
  <c r="E676" i="18"/>
  <c r="R676" i="18"/>
  <c r="E351" i="17"/>
  <c r="R676" i="17"/>
  <c r="E676" i="17"/>
  <c r="R674" i="18"/>
  <c r="E674" i="18"/>
  <c r="G745" i="19"/>
  <c r="F745" i="19"/>
  <c r="E674" i="19"/>
  <c r="R674" i="19"/>
  <c r="E673" i="19"/>
  <c r="R673" i="19"/>
  <c r="R675" i="17"/>
  <c r="E675" i="17"/>
  <c r="E674" i="17"/>
  <c r="R674" i="17"/>
  <c r="G745" i="18"/>
  <c r="F745" i="18"/>
  <c r="D84" i="17"/>
  <c r="D77" i="17"/>
  <c r="F34" i="17"/>
  <c r="E34" i="17" s="1"/>
  <c r="G745" i="17"/>
  <c r="F745" i="17"/>
  <c r="F311" i="19"/>
  <c r="F287" i="19"/>
  <c r="F287" i="18"/>
  <c r="H287" i="18"/>
  <c r="H311" i="18"/>
  <c r="H311" i="19"/>
  <c r="H287" i="19"/>
  <c r="F311" i="18"/>
  <c r="H311" i="17"/>
  <c r="F311" i="17"/>
  <c r="H287" i="17"/>
  <c r="F287" i="17"/>
  <c r="G745" i="14"/>
  <c r="F745" i="14"/>
  <c r="H551" i="14"/>
  <c r="H559" i="14"/>
  <c r="F551" i="14"/>
  <c r="F559" i="14"/>
  <c r="H104" i="14"/>
  <c r="D128" i="14"/>
  <c r="R673" i="14"/>
  <c r="E673" i="14"/>
  <c r="E675" i="14"/>
  <c r="R675" i="14"/>
  <c r="E674" i="14"/>
  <c r="R674" i="14"/>
  <c r="E676" i="14"/>
  <c r="R676" i="14"/>
  <c r="F311" i="14"/>
  <c r="H287" i="14"/>
  <c r="H311" i="14"/>
  <c r="F287" i="14"/>
  <c r="R306" i="14"/>
  <c r="S596" i="14" s="1"/>
  <c r="F351" i="14"/>
  <c r="D77" i="14"/>
  <c r="F34" i="14"/>
  <c r="E34" i="14" s="1"/>
  <c r="D84" i="14"/>
  <c r="D148" i="14"/>
  <c r="D143" i="14"/>
  <c r="D142" i="14"/>
  <c r="D118" i="14"/>
  <c r="D140" i="14"/>
  <c r="D141" i="14"/>
  <c r="D54" i="3"/>
  <c r="R552" i="18" l="1"/>
  <c r="E691" i="18"/>
  <c r="E651" i="18"/>
  <c r="F651" i="18" s="1"/>
  <c r="E692" i="19"/>
  <c r="E652" i="19"/>
  <c r="F652" i="19" s="1"/>
  <c r="R552" i="19"/>
  <c r="E691" i="19"/>
  <c r="E651" i="19"/>
  <c r="F651" i="19" s="1"/>
  <c r="E652" i="18"/>
  <c r="F652" i="18" s="1"/>
  <c r="E692" i="18"/>
  <c r="H312" i="19"/>
  <c r="H313" i="19"/>
  <c r="F288" i="19"/>
  <c r="F289" i="19"/>
  <c r="H312" i="18"/>
  <c r="H313" i="18"/>
  <c r="F312" i="19"/>
  <c r="F313" i="19"/>
  <c r="F313" i="18"/>
  <c r="F312" i="18"/>
  <c r="H288" i="18"/>
  <c r="H289" i="18"/>
  <c r="H289" i="19"/>
  <c r="H288" i="19"/>
  <c r="F288" i="18"/>
  <c r="F289" i="18"/>
  <c r="H312" i="17"/>
  <c r="H313" i="17"/>
  <c r="F288" i="17"/>
  <c r="F289" i="17"/>
  <c r="H289" i="17"/>
  <c r="H288" i="17"/>
  <c r="F312" i="17"/>
  <c r="F313" i="17"/>
  <c r="S597" i="14"/>
  <c r="S598" i="14" s="1"/>
  <c r="E652" i="14"/>
  <c r="F652" i="14" s="1"/>
  <c r="E692" i="14"/>
  <c r="R552" i="14"/>
  <c r="E691" i="14"/>
  <c r="E651" i="14"/>
  <c r="F651" i="14" s="1"/>
  <c r="H313" i="14"/>
  <c r="H312" i="14"/>
  <c r="H289" i="14"/>
  <c r="H288" i="14"/>
  <c r="F288" i="14"/>
  <c r="F289" i="14"/>
  <c r="F312" i="14"/>
  <c r="F313" i="14"/>
  <c r="E351" i="14"/>
  <c r="D144" i="14"/>
  <c r="O158" i="14"/>
  <c r="P158" i="14"/>
  <c r="O152" i="14"/>
  <c r="P152" i="14"/>
  <c r="D55" i="3"/>
  <c r="S584" i="17" l="1"/>
  <c r="S585" i="17" s="1"/>
  <c r="S586" i="17" s="1"/>
  <c r="D215" i="14"/>
  <c r="R590" i="14"/>
  <c r="R591" i="14" s="1"/>
  <c r="R592" i="14" s="1"/>
  <c r="S590" i="14"/>
  <c r="S591" i="14" s="1"/>
  <c r="S592" i="14" s="1"/>
  <c r="O217" i="14" l="1"/>
  <c r="P217" i="14"/>
  <c r="D268" i="3" l="1"/>
  <c r="D267" i="3"/>
  <c r="D266" i="3"/>
  <c r="D265" i="3"/>
  <c r="D264" i="3"/>
  <c r="D263" i="3"/>
  <c r="D262" i="3"/>
  <c r="D261" i="3"/>
  <c r="D260" i="3"/>
  <c r="D259" i="3"/>
  <c r="D258" i="3"/>
  <c r="D257" i="3"/>
  <c r="D256" i="3"/>
  <c r="D255" i="3"/>
  <c r="D254" i="3"/>
  <c r="D253" i="3"/>
  <c r="D252" i="3"/>
  <c r="D251" i="3"/>
  <c r="D250" i="3"/>
  <c r="D249" i="3"/>
  <c r="D24" i="3"/>
  <c r="D148" i="18" l="1"/>
  <c r="D148" i="19"/>
  <c r="D128" i="18"/>
  <c r="D128" i="19"/>
  <c r="F351" i="19"/>
  <c r="E351" i="19" s="1"/>
  <c r="F351" i="18"/>
  <c r="E351" i="18" s="1"/>
  <c r="F34" i="19"/>
  <c r="E34" i="19" s="1"/>
  <c r="D77" i="18"/>
  <c r="F34" i="18"/>
  <c r="E34" i="18" s="1"/>
  <c r="D84" i="19"/>
  <c r="D77" i="19"/>
  <c r="D84" i="18"/>
  <c r="F356" i="19"/>
  <c r="E356" i="19" s="1"/>
  <c r="F356" i="18"/>
  <c r="E356" i="18" s="1"/>
  <c r="E311" i="18"/>
  <c r="E311" i="19"/>
  <c r="E287" i="19"/>
  <c r="E287" i="18"/>
  <c r="J317" i="18"/>
  <c r="J293" i="18"/>
  <c r="J317" i="19"/>
  <c r="J293" i="19"/>
  <c r="S599" i="17"/>
  <c r="S658" i="17" s="1"/>
  <c r="F678" i="17" s="1"/>
  <c r="S599" i="18"/>
  <c r="S658" i="18" s="1"/>
  <c r="S599" i="19"/>
  <c r="S658" i="19" s="1"/>
  <c r="H563" i="18"/>
  <c r="H563" i="19"/>
  <c r="H555" i="18"/>
  <c r="H555" i="19"/>
  <c r="S587" i="18"/>
  <c r="S656" i="18" s="1"/>
  <c r="R599" i="19"/>
  <c r="R658" i="19" s="1"/>
  <c r="S593" i="18"/>
  <c r="S657" i="18" s="1"/>
  <c r="R593" i="18"/>
  <c r="R657" i="18" s="1"/>
  <c r="R599" i="18"/>
  <c r="R658" i="18" s="1"/>
  <c r="S587" i="19"/>
  <c r="S656" i="19" s="1"/>
  <c r="S593" i="19"/>
  <c r="S657" i="19" s="1"/>
  <c r="R593" i="19"/>
  <c r="R657" i="19" s="1"/>
  <c r="M317" i="19"/>
  <c r="K293" i="19"/>
  <c r="O502" i="18"/>
  <c r="O517" i="18" s="1"/>
  <c r="K317" i="19"/>
  <c r="L317" i="18"/>
  <c r="L293" i="18"/>
  <c r="P502" i="19"/>
  <c r="P517" i="19" s="1"/>
  <c r="L317" i="19"/>
  <c r="M317" i="18"/>
  <c r="M293" i="18"/>
  <c r="O502" i="19"/>
  <c r="O517" i="19" s="1"/>
  <c r="M293" i="19"/>
  <c r="L293" i="19"/>
  <c r="K293" i="18"/>
  <c r="P502" i="18"/>
  <c r="P517" i="18" s="1"/>
  <c r="K317" i="18"/>
  <c r="I311" i="18"/>
  <c r="I311" i="19"/>
  <c r="I287" i="19"/>
  <c r="I287" i="18"/>
  <c r="G311" i="18"/>
  <c r="G311" i="19"/>
  <c r="G287" i="19"/>
  <c r="G287" i="18"/>
  <c r="F563" i="18"/>
  <c r="F563" i="19"/>
  <c r="S569" i="17"/>
  <c r="S653" i="17" s="1"/>
  <c r="S693" i="17" s="1"/>
  <c r="I317" i="19"/>
  <c r="G293" i="19"/>
  <c r="I293" i="19"/>
  <c r="I317" i="18"/>
  <c r="I293" i="18"/>
  <c r="G317" i="19"/>
  <c r="G317" i="18"/>
  <c r="G293" i="18"/>
  <c r="F555" i="19"/>
  <c r="F555" i="18"/>
  <c r="S581" i="17"/>
  <c r="S655" i="17" s="1"/>
  <c r="S675" i="17" s="1"/>
  <c r="S581" i="18"/>
  <c r="S655" i="18" s="1"/>
  <c r="S581" i="19"/>
  <c r="S655" i="19" s="1"/>
  <c r="M311" i="18"/>
  <c r="O471" i="19"/>
  <c r="O486" i="19" s="1"/>
  <c r="L311" i="19"/>
  <c r="L287" i="19"/>
  <c r="K311" i="18"/>
  <c r="L287" i="18"/>
  <c r="K311" i="19"/>
  <c r="K287" i="19"/>
  <c r="P471" i="19"/>
  <c r="P486" i="19" s="1"/>
  <c r="M311" i="19"/>
  <c r="M287" i="19"/>
  <c r="P471" i="18"/>
  <c r="P486" i="18" s="1"/>
  <c r="L311" i="18"/>
  <c r="M287" i="18"/>
  <c r="O471" i="18"/>
  <c r="O486" i="18" s="1"/>
  <c r="K287" i="18"/>
  <c r="J311" i="19"/>
  <c r="J287" i="19"/>
  <c r="J287" i="18"/>
  <c r="J311" i="18"/>
  <c r="F317" i="18"/>
  <c r="F293" i="18"/>
  <c r="H293" i="19"/>
  <c r="H317" i="19"/>
  <c r="F293" i="19"/>
  <c r="H317" i="18"/>
  <c r="H293" i="18"/>
  <c r="F317" i="19"/>
  <c r="E317" i="19"/>
  <c r="E317" i="18"/>
  <c r="E293" i="18"/>
  <c r="E293" i="19"/>
  <c r="S575" i="18"/>
  <c r="S654" i="18" s="1"/>
  <c r="S575" i="19"/>
  <c r="S654" i="19" s="1"/>
  <c r="E323" i="18"/>
  <c r="E323" i="19"/>
  <c r="E299" i="19"/>
  <c r="E299" i="18"/>
  <c r="J323" i="19"/>
  <c r="J299" i="19"/>
  <c r="J299" i="18"/>
  <c r="J323" i="18"/>
  <c r="H323" i="19"/>
  <c r="H299" i="19"/>
  <c r="H299" i="18"/>
  <c r="F323" i="19"/>
  <c r="F299" i="19"/>
  <c r="F299" i="18"/>
  <c r="F323" i="18"/>
  <c r="H323" i="18"/>
  <c r="G323" i="18"/>
  <c r="I323" i="18"/>
  <c r="I299" i="19"/>
  <c r="I299" i="18"/>
  <c r="G323" i="19"/>
  <c r="G299" i="19"/>
  <c r="G299" i="18"/>
  <c r="I323" i="19"/>
  <c r="O471" i="17"/>
  <c r="K311" i="17"/>
  <c r="M287" i="17"/>
  <c r="L287" i="17"/>
  <c r="L311" i="17"/>
  <c r="M311" i="17"/>
  <c r="K287" i="17"/>
  <c r="P471" i="17"/>
  <c r="F563" i="17"/>
  <c r="J311" i="17"/>
  <c r="J287" i="17"/>
  <c r="F317" i="17"/>
  <c r="F293" i="17"/>
  <c r="H317" i="17"/>
  <c r="H293" i="17"/>
  <c r="E317" i="17"/>
  <c r="E293" i="17"/>
  <c r="H299" i="17"/>
  <c r="F323" i="17"/>
  <c r="F299" i="17"/>
  <c r="H323" i="17"/>
  <c r="P502" i="17"/>
  <c r="M317" i="17"/>
  <c r="M293" i="17"/>
  <c r="K317" i="17"/>
  <c r="K293" i="17"/>
  <c r="O502" i="17"/>
  <c r="L317" i="17"/>
  <c r="L293" i="17"/>
  <c r="G323" i="17"/>
  <c r="G299" i="17"/>
  <c r="I323" i="17"/>
  <c r="I299" i="17"/>
  <c r="G317" i="17"/>
  <c r="I317" i="17"/>
  <c r="I293" i="17"/>
  <c r="G293" i="17"/>
  <c r="E287" i="17"/>
  <c r="E311" i="17"/>
  <c r="J317" i="17"/>
  <c r="J293" i="17"/>
  <c r="H563" i="17"/>
  <c r="R599" i="17"/>
  <c r="R658" i="17" s="1"/>
  <c r="R593" i="17"/>
  <c r="R657" i="17" s="1"/>
  <c r="S587" i="17"/>
  <c r="S656" i="17" s="1"/>
  <c r="S593" i="17"/>
  <c r="S657" i="17" s="1"/>
  <c r="J323" i="17"/>
  <c r="J299" i="17"/>
  <c r="G311" i="17"/>
  <c r="I287" i="17"/>
  <c r="I311" i="17"/>
  <c r="G287" i="17"/>
  <c r="E323" i="17"/>
  <c r="E299" i="17"/>
  <c r="I287" i="14"/>
  <c r="I311" i="14"/>
  <c r="G287" i="14"/>
  <c r="G311" i="14"/>
  <c r="S569" i="14"/>
  <c r="S653" i="14" s="1"/>
  <c r="E299" i="14"/>
  <c r="E323" i="14"/>
  <c r="J311" i="14"/>
  <c r="J287" i="14"/>
  <c r="F293" i="14"/>
  <c r="F317" i="14"/>
  <c r="H293" i="14"/>
  <c r="H317" i="14"/>
  <c r="E293" i="14"/>
  <c r="E317" i="14"/>
  <c r="H323" i="14"/>
  <c r="F299" i="14"/>
  <c r="F323" i="14"/>
  <c r="H299" i="14"/>
  <c r="E287" i="14"/>
  <c r="E311" i="14"/>
  <c r="O471" i="14"/>
  <c r="M287" i="14"/>
  <c r="M311" i="14"/>
  <c r="L287" i="14"/>
  <c r="L311" i="14"/>
  <c r="K287" i="14"/>
  <c r="P471" i="14"/>
  <c r="P486" i="14" s="1"/>
  <c r="K311" i="14"/>
  <c r="G317" i="14"/>
  <c r="I293" i="14"/>
  <c r="I317" i="14"/>
  <c r="G293" i="14"/>
  <c r="P502" i="14"/>
  <c r="P517" i="14" s="1"/>
  <c r="K317" i="14"/>
  <c r="O502" i="14"/>
  <c r="M293" i="14"/>
  <c r="M317" i="14"/>
  <c r="L293" i="14"/>
  <c r="K293" i="14"/>
  <c r="L317" i="14"/>
  <c r="S581" i="14"/>
  <c r="S655" i="14" s="1"/>
  <c r="G299" i="14"/>
  <c r="G323" i="14"/>
  <c r="I299" i="14"/>
  <c r="I323" i="14"/>
  <c r="J293" i="14"/>
  <c r="J317" i="14"/>
  <c r="S599" i="14"/>
  <c r="S658" i="14" s="1"/>
  <c r="R599" i="14"/>
  <c r="R658" i="14" s="1"/>
  <c r="S593" i="14"/>
  <c r="S657" i="14" s="1"/>
  <c r="R593" i="14"/>
  <c r="R657" i="14" s="1"/>
  <c r="J299" i="14"/>
  <c r="J323" i="14"/>
  <c r="F675" i="17" l="1"/>
  <c r="F673" i="17"/>
  <c r="S698" i="17"/>
  <c r="S678" i="17"/>
  <c r="S695" i="17"/>
  <c r="E318" i="19"/>
  <c r="E319" i="19"/>
  <c r="F294" i="19"/>
  <c r="F295" i="19"/>
  <c r="F319" i="18"/>
  <c r="F318" i="18"/>
  <c r="J312" i="19"/>
  <c r="J313" i="19"/>
  <c r="K312" i="18"/>
  <c r="K313" i="18"/>
  <c r="G294" i="18"/>
  <c r="G295" i="18"/>
  <c r="I319" i="18"/>
  <c r="I318" i="18"/>
  <c r="G312" i="18"/>
  <c r="G313" i="18"/>
  <c r="I312" i="18"/>
  <c r="I313" i="18"/>
  <c r="S677" i="19"/>
  <c r="F677" i="19"/>
  <c r="S697" i="19"/>
  <c r="F677" i="18"/>
  <c r="S697" i="18"/>
  <c r="S677" i="18"/>
  <c r="F678" i="18"/>
  <c r="S678" i="18"/>
  <c r="S698" i="18"/>
  <c r="J294" i="18"/>
  <c r="J295" i="18"/>
  <c r="E313" i="19"/>
  <c r="E312" i="19"/>
  <c r="S673" i="17"/>
  <c r="E294" i="19"/>
  <c r="E295" i="19"/>
  <c r="F319" i="19"/>
  <c r="F318" i="19"/>
  <c r="H319" i="19"/>
  <c r="H318" i="19"/>
  <c r="J313" i="18"/>
  <c r="J312" i="18"/>
  <c r="K289" i="18"/>
  <c r="K288" i="18"/>
  <c r="K289" i="19"/>
  <c r="K288" i="19"/>
  <c r="S695" i="19"/>
  <c r="S675" i="19"/>
  <c r="F675" i="19"/>
  <c r="G319" i="18"/>
  <c r="G318" i="18"/>
  <c r="I295" i="19"/>
  <c r="I294" i="19"/>
  <c r="G288" i="18"/>
  <c r="G289" i="18"/>
  <c r="I289" i="18"/>
  <c r="I288" i="18"/>
  <c r="K319" i="18"/>
  <c r="K318" i="18"/>
  <c r="K319" i="19"/>
  <c r="K318" i="19"/>
  <c r="F676" i="19"/>
  <c r="S696" i="19"/>
  <c r="S676" i="19"/>
  <c r="R698" i="19"/>
  <c r="R678" i="19"/>
  <c r="E678" i="19"/>
  <c r="J318" i="18"/>
  <c r="J319" i="18"/>
  <c r="E312" i="18"/>
  <c r="E313" i="18"/>
  <c r="S695" i="18"/>
  <c r="S675" i="18"/>
  <c r="F675" i="18"/>
  <c r="G318" i="19"/>
  <c r="G319" i="19"/>
  <c r="G294" i="19"/>
  <c r="G295" i="19"/>
  <c r="G288" i="19"/>
  <c r="G289" i="19"/>
  <c r="I288" i="19"/>
  <c r="I289" i="19"/>
  <c r="E678" i="18"/>
  <c r="R678" i="18"/>
  <c r="R698" i="18"/>
  <c r="F676" i="18"/>
  <c r="S696" i="18"/>
  <c r="S676" i="18"/>
  <c r="J294" i="19"/>
  <c r="J295" i="19"/>
  <c r="E289" i="18"/>
  <c r="E288" i="18"/>
  <c r="S694" i="19"/>
  <c r="S674" i="19"/>
  <c r="F674" i="19"/>
  <c r="E294" i="18"/>
  <c r="E295" i="18"/>
  <c r="H294" i="18"/>
  <c r="H295" i="18"/>
  <c r="H295" i="19"/>
  <c r="H294" i="19"/>
  <c r="J288" i="18"/>
  <c r="J289" i="18"/>
  <c r="K312" i="19"/>
  <c r="K313" i="19"/>
  <c r="S694" i="18"/>
  <c r="S674" i="18"/>
  <c r="F674" i="18"/>
  <c r="E318" i="18"/>
  <c r="E319" i="18"/>
  <c r="H318" i="18"/>
  <c r="H319" i="18"/>
  <c r="F294" i="18"/>
  <c r="F295" i="18"/>
  <c r="J288" i="19"/>
  <c r="J289" i="19"/>
  <c r="I294" i="18"/>
  <c r="I295" i="18"/>
  <c r="I318" i="19"/>
  <c r="I319" i="19"/>
  <c r="G313" i="19"/>
  <c r="G312" i="19"/>
  <c r="I312" i="19"/>
  <c r="I313" i="19"/>
  <c r="K295" i="18"/>
  <c r="K294" i="18"/>
  <c r="K294" i="19"/>
  <c r="K295" i="19"/>
  <c r="R677" i="19"/>
  <c r="E677" i="19"/>
  <c r="R697" i="19"/>
  <c r="E677" i="18"/>
  <c r="R697" i="18"/>
  <c r="R677" i="18"/>
  <c r="F678" i="19"/>
  <c r="S698" i="19"/>
  <c r="S678" i="19"/>
  <c r="J319" i="19"/>
  <c r="J318" i="19"/>
  <c r="E288" i="19"/>
  <c r="E289" i="19"/>
  <c r="I301" i="18"/>
  <c r="I300" i="18"/>
  <c r="F324" i="19"/>
  <c r="F325" i="19"/>
  <c r="E300" i="18"/>
  <c r="E301" i="18"/>
  <c r="G300" i="18"/>
  <c r="G301" i="18"/>
  <c r="I301" i="19"/>
  <c r="I300" i="19"/>
  <c r="F325" i="18"/>
  <c r="F324" i="18"/>
  <c r="H300" i="18"/>
  <c r="H301" i="18"/>
  <c r="J300" i="18"/>
  <c r="J301" i="18"/>
  <c r="E300" i="19"/>
  <c r="E301" i="19"/>
  <c r="G300" i="19"/>
  <c r="G301" i="19"/>
  <c r="I325" i="18"/>
  <c r="I324" i="18"/>
  <c r="F300" i="18"/>
  <c r="F301" i="18"/>
  <c r="H300" i="19"/>
  <c r="H301" i="19"/>
  <c r="J300" i="19"/>
  <c r="J301" i="19"/>
  <c r="E324" i="19"/>
  <c r="E325" i="19"/>
  <c r="I324" i="19"/>
  <c r="I325" i="19"/>
  <c r="H324" i="18"/>
  <c r="H325" i="18"/>
  <c r="J325" i="18"/>
  <c r="J324" i="18"/>
  <c r="G325" i="19"/>
  <c r="G324" i="19"/>
  <c r="G324" i="18"/>
  <c r="G325" i="18"/>
  <c r="F301" i="19"/>
  <c r="F300" i="19"/>
  <c r="H324" i="19"/>
  <c r="H325" i="19"/>
  <c r="J324" i="19"/>
  <c r="J325" i="19"/>
  <c r="E325" i="18"/>
  <c r="E324" i="18"/>
  <c r="I288" i="17"/>
  <c r="I289" i="17"/>
  <c r="S676" i="17"/>
  <c r="F676" i="17"/>
  <c r="S696" i="17"/>
  <c r="J295" i="17"/>
  <c r="J294" i="17"/>
  <c r="G319" i="17"/>
  <c r="G318" i="17"/>
  <c r="G301" i="17"/>
  <c r="G300" i="17"/>
  <c r="O517" i="17"/>
  <c r="F324" i="17"/>
  <c r="F325" i="17"/>
  <c r="E319" i="17"/>
  <c r="E318" i="17"/>
  <c r="F318" i="17"/>
  <c r="F319" i="17"/>
  <c r="P486" i="17"/>
  <c r="G313" i="17"/>
  <c r="G312" i="17"/>
  <c r="J301" i="17"/>
  <c r="J300" i="17"/>
  <c r="R677" i="17"/>
  <c r="R697" i="17"/>
  <c r="E677" i="17"/>
  <c r="J318" i="17"/>
  <c r="J319" i="17"/>
  <c r="G294" i="17"/>
  <c r="G295" i="17"/>
  <c r="G325" i="17"/>
  <c r="G324" i="17"/>
  <c r="K295" i="17"/>
  <c r="K294" i="17"/>
  <c r="P517" i="17"/>
  <c r="H300" i="17"/>
  <c r="H301" i="17"/>
  <c r="H295" i="17"/>
  <c r="H294" i="17"/>
  <c r="J289" i="17"/>
  <c r="J288" i="17"/>
  <c r="K289" i="17"/>
  <c r="K288" i="17"/>
  <c r="E301" i="17"/>
  <c r="E300" i="17"/>
  <c r="G289" i="17"/>
  <c r="G288" i="17"/>
  <c r="J324" i="17"/>
  <c r="J325" i="17"/>
  <c r="R678" i="17"/>
  <c r="R698" i="17"/>
  <c r="E678" i="17"/>
  <c r="E312" i="17"/>
  <c r="E313" i="17"/>
  <c r="I294" i="17"/>
  <c r="I295" i="17"/>
  <c r="I301" i="17"/>
  <c r="I300" i="17"/>
  <c r="K319" i="17"/>
  <c r="K318" i="17"/>
  <c r="H325" i="17"/>
  <c r="H324" i="17"/>
  <c r="H319" i="17"/>
  <c r="H318" i="17"/>
  <c r="J313" i="17"/>
  <c r="J312" i="17"/>
  <c r="K313" i="17"/>
  <c r="K312" i="17"/>
  <c r="E325" i="17"/>
  <c r="E324" i="17"/>
  <c r="I312" i="17"/>
  <c r="I313" i="17"/>
  <c r="S677" i="17"/>
  <c r="F677" i="17"/>
  <c r="S697" i="17"/>
  <c r="E289" i="17"/>
  <c r="E288" i="17"/>
  <c r="I318" i="17"/>
  <c r="I319" i="17"/>
  <c r="I324" i="17"/>
  <c r="I325" i="17"/>
  <c r="F301" i="17"/>
  <c r="F300" i="17"/>
  <c r="E295" i="17"/>
  <c r="E294" i="17"/>
  <c r="F295" i="17"/>
  <c r="F294" i="17"/>
  <c r="O486" i="17"/>
  <c r="E678" i="14"/>
  <c r="R698" i="14"/>
  <c r="R678" i="14"/>
  <c r="I301" i="14"/>
  <c r="I300" i="14"/>
  <c r="F301" i="14"/>
  <c r="F300" i="14"/>
  <c r="J324" i="14"/>
  <c r="J325" i="14"/>
  <c r="E677" i="14"/>
  <c r="R697" i="14"/>
  <c r="R677" i="14"/>
  <c r="S698" i="14"/>
  <c r="F678" i="14"/>
  <c r="S678" i="14"/>
  <c r="K295" i="14"/>
  <c r="K294" i="14"/>
  <c r="O517" i="14"/>
  <c r="I319" i="14"/>
  <c r="I318" i="14"/>
  <c r="K312" i="14"/>
  <c r="K313" i="14"/>
  <c r="K289" i="14"/>
  <c r="K288" i="14"/>
  <c r="F324" i="14"/>
  <c r="F325" i="14"/>
  <c r="F294" i="14"/>
  <c r="F295" i="14"/>
  <c r="J312" i="14"/>
  <c r="J313" i="14"/>
  <c r="E301" i="14"/>
  <c r="E300" i="14"/>
  <c r="G313" i="14"/>
  <c r="G312" i="14"/>
  <c r="G289" i="14"/>
  <c r="G288" i="14"/>
  <c r="G325" i="14"/>
  <c r="G324" i="14"/>
  <c r="G295" i="14"/>
  <c r="G294" i="14"/>
  <c r="H325" i="14"/>
  <c r="H324" i="14"/>
  <c r="S677" i="14"/>
  <c r="S697" i="14"/>
  <c r="F677" i="14"/>
  <c r="J318" i="14"/>
  <c r="J319" i="14"/>
  <c r="G301" i="14"/>
  <c r="G300" i="14"/>
  <c r="E312" i="14"/>
  <c r="E313" i="14"/>
  <c r="H301" i="14"/>
  <c r="H300" i="14"/>
  <c r="H294" i="14"/>
  <c r="H295" i="14"/>
  <c r="F319" i="14"/>
  <c r="F318" i="14"/>
  <c r="S695" i="14"/>
  <c r="S675" i="14"/>
  <c r="F675" i="14"/>
  <c r="I295" i="14"/>
  <c r="I294" i="14"/>
  <c r="E295" i="14"/>
  <c r="E294" i="14"/>
  <c r="H319" i="14"/>
  <c r="H318" i="14"/>
  <c r="J289" i="14"/>
  <c r="J288" i="14"/>
  <c r="E324" i="14"/>
  <c r="E325" i="14"/>
  <c r="S693" i="14"/>
  <c r="F673" i="14"/>
  <c r="S673" i="14"/>
  <c r="J301" i="14"/>
  <c r="J300" i="14"/>
  <c r="J294" i="14"/>
  <c r="J295" i="14"/>
  <c r="I324" i="14"/>
  <c r="I325" i="14"/>
  <c r="K319" i="14"/>
  <c r="K318" i="14"/>
  <c r="G319" i="14"/>
  <c r="G318" i="14"/>
  <c r="O486" i="14"/>
  <c r="E288" i="14"/>
  <c r="E289" i="14"/>
  <c r="E318" i="14"/>
  <c r="E319" i="14"/>
  <c r="I313" i="14"/>
  <c r="I312" i="14"/>
  <c r="I288" i="14"/>
  <c r="I289" i="14"/>
  <c r="I10" i="4"/>
  <c r="I9" i="4"/>
  <c r="K19" i="4"/>
  <c r="J19" i="4"/>
  <c r="I20" i="4"/>
  <c r="I26" i="4"/>
  <c r="I25" i="4"/>
  <c r="I19" i="4" l="1"/>
  <c r="K305" i="19" l="1"/>
  <c r="K305" i="18"/>
  <c r="K305" i="14" l="1"/>
  <c r="K305" i="17"/>
  <c r="I4" i="4" l="1"/>
  <c r="I5" i="4"/>
  <c r="M278" i="17"/>
  <c r="J278" i="17"/>
  <c r="E278" i="17"/>
  <c r="I278" i="19" l="1"/>
  <c r="I278" i="18"/>
  <c r="F278" i="19"/>
  <c r="F278" i="18"/>
  <c r="K278" i="18"/>
  <c r="K278" i="19"/>
  <c r="H278" i="19"/>
  <c r="H278" i="18"/>
  <c r="G278" i="18"/>
  <c r="G278" i="19"/>
  <c r="L278" i="19"/>
  <c r="L278" i="18"/>
  <c r="M278" i="14"/>
  <c r="J278" i="14"/>
  <c r="E278" i="14"/>
  <c r="G278" i="17"/>
  <c r="K278" i="17"/>
  <c r="F278" i="17"/>
  <c r="L278" i="17"/>
  <c r="M305" i="17"/>
  <c r="J305" i="17"/>
  <c r="K40" i="4"/>
  <c r="E305" i="19" l="1"/>
  <c r="E305" i="18"/>
  <c r="M278" i="19"/>
  <c r="M278" i="18"/>
  <c r="H278" i="14"/>
  <c r="H278" i="17"/>
  <c r="I278" i="14"/>
  <c r="I278" i="17"/>
  <c r="M305" i="19"/>
  <c r="M305" i="18"/>
  <c r="E305" i="14"/>
  <c r="E305" i="17"/>
  <c r="J278" i="19"/>
  <c r="J278" i="18"/>
  <c r="E278" i="19"/>
  <c r="E278" i="18"/>
  <c r="L278" i="14"/>
  <c r="G278" i="14"/>
  <c r="J305" i="14"/>
  <c r="F278" i="14"/>
  <c r="M305" i="14"/>
  <c r="K278" i="14"/>
  <c r="D124" i="3"/>
  <c r="O218" i="17" l="1"/>
  <c r="L306" i="17" s="1"/>
  <c r="O218" i="19"/>
  <c r="L306" i="19" s="1"/>
  <c r="P218" i="17"/>
  <c r="L307" i="17" s="1"/>
  <c r="P218" i="19"/>
  <c r="L307" i="19" s="1"/>
  <c r="P218" i="18"/>
  <c r="L307" i="18" s="1"/>
  <c r="O218" i="18"/>
  <c r="L306" i="18" s="1"/>
  <c r="P218" i="14"/>
  <c r="L307" i="14" s="1"/>
  <c r="O218" i="14"/>
  <c r="L306" i="14" s="1"/>
  <c r="H305" i="17"/>
  <c r="I305" i="17"/>
  <c r="F305" i="17"/>
  <c r="G305" i="17"/>
  <c r="L324" i="18" l="1"/>
  <c r="L318" i="18"/>
  <c r="L312" i="18"/>
  <c r="L319" i="18"/>
  <c r="L325" i="18"/>
  <c r="L313" i="18"/>
  <c r="L324" i="19"/>
  <c r="L318" i="19"/>
  <c r="L312" i="19"/>
  <c r="L325" i="19"/>
  <c r="L319" i="19"/>
  <c r="L313" i="19"/>
  <c r="L324" i="17"/>
  <c r="L312" i="17"/>
  <c r="L318" i="17"/>
  <c r="L319" i="17"/>
  <c r="L325" i="17"/>
  <c r="L313" i="17"/>
  <c r="G305" i="14"/>
  <c r="F305" i="14"/>
  <c r="I305" i="14"/>
  <c r="L324" i="14"/>
  <c r="L318" i="14"/>
  <c r="L312" i="14"/>
  <c r="L325" i="14"/>
  <c r="L313" i="14"/>
  <c r="L319" i="14"/>
  <c r="H305" i="14"/>
  <c r="L305" i="17"/>
  <c r="L305" i="14" l="1"/>
  <c r="D123" i="17" l="1"/>
  <c r="D123" i="18" l="1"/>
  <c r="D123" i="19"/>
  <c r="E206" i="17"/>
  <c r="F206" i="17" s="1"/>
  <c r="E248" i="17"/>
  <c r="F248" i="17" s="1"/>
  <c r="D160" i="19"/>
  <c r="D154" i="19"/>
  <c r="D160" i="18"/>
  <c r="D154" i="18"/>
  <c r="D160" i="17"/>
  <c r="D154" i="17"/>
  <c r="D123" i="14"/>
  <c r="D160" i="14"/>
  <c r="D154" i="14"/>
  <c r="E248" i="19" l="1"/>
  <c r="F248" i="19" s="1"/>
  <c r="E206" i="19"/>
  <c r="F206" i="19" s="1"/>
  <c r="E248" i="18"/>
  <c r="F248" i="18" s="1"/>
  <c r="E206" i="18"/>
  <c r="F206" i="18" s="1"/>
  <c r="E248" i="14"/>
  <c r="F248" i="14" s="1"/>
  <c r="E206" i="14"/>
  <c r="P8" i="3"/>
  <c r="J5" i="8"/>
  <c r="J5" i="7"/>
  <c r="J18" i="7" s="1"/>
  <c r="J11" i="7" l="1"/>
  <c r="J6" i="7"/>
  <c r="J11" i="8"/>
  <c r="J6" i="8"/>
  <c r="P13" i="3"/>
  <c r="D13" i="3" s="1"/>
  <c r="D8" i="3"/>
  <c r="R88" i="18"/>
  <c r="S567" i="18" s="1"/>
  <c r="S568" i="18" s="1"/>
  <c r="S569" i="18" s="1"/>
  <c r="S653" i="18" s="1"/>
  <c r="R88" i="19"/>
  <c r="S567" i="19" s="1"/>
  <c r="S568" i="19" s="1"/>
  <c r="S569" i="19" s="1"/>
  <c r="S653" i="19" s="1"/>
  <c r="K5" i="8"/>
  <c r="J18" i="8"/>
  <c r="F206" i="14"/>
  <c r="D26" i="7"/>
  <c r="D53" i="17" s="1"/>
  <c r="D25" i="7"/>
  <c r="D24" i="7"/>
  <c r="D42" i="17" s="1"/>
  <c r="D27" i="7"/>
  <c r="D59" i="17" s="1"/>
  <c r="K5" i="7"/>
  <c r="L5" i="7" s="1"/>
  <c r="D5" i="7" s="1"/>
  <c r="L5" i="8" l="1"/>
  <c r="D5" i="8" s="1"/>
  <c r="K11" i="7"/>
  <c r="K13" i="7" s="1"/>
  <c r="K12" i="7" s="1"/>
  <c r="K6" i="7"/>
  <c r="L6" i="7" s="1"/>
  <c r="D6" i="7" s="1"/>
  <c r="J13" i="7"/>
  <c r="K6" i="8"/>
  <c r="K11" i="8"/>
  <c r="K13" i="8" s="1"/>
  <c r="K12" i="8" s="1"/>
  <c r="J13" i="8"/>
  <c r="D257" i="17"/>
  <c r="D257" i="14"/>
  <c r="D257" i="18"/>
  <c r="D257" i="19"/>
  <c r="D36" i="3"/>
  <c r="D44" i="3" s="1"/>
  <c r="D46" i="3" s="1"/>
  <c r="D243" i="19"/>
  <c r="D243" i="18"/>
  <c r="D238" i="14"/>
  <c r="E238" i="17"/>
  <c r="E238" i="18"/>
  <c r="E238" i="14"/>
  <c r="E243" i="19"/>
  <c r="E238" i="19"/>
  <c r="E243" i="17"/>
  <c r="E243" i="14"/>
  <c r="D238" i="19"/>
  <c r="D238" i="18"/>
  <c r="D243" i="17"/>
  <c r="D243" i="14"/>
  <c r="E243" i="18"/>
  <c r="D238" i="17"/>
  <c r="D47" i="17"/>
  <c r="F359" i="17"/>
  <c r="F358" i="17" s="1"/>
  <c r="R357" i="17" s="1"/>
  <c r="S573" i="17" s="1"/>
  <c r="S574" i="17" s="1"/>
  <c r="S575" i="17" s="1"/>
  <c r="S654" i="17" s="1"/>
  <c r="S693" i="19"/>
  <c r="S673" i="19"/>
  <c r="F673" i="19"/>
  <c r="F673" i="18"/>
  <c r="S673" i="18"/>
  <c r="S693" i="18"/>
  <c r="K18" i="7"/>
  <c r="L18" i="7" s="1"/>
  <c r="D18" i="7" s="1"/>
  <c r="K18" i="8"/>
  <c r="L18" i="8" s="1"/>
  <c r="D18" i="8" s="1"/>
  <c r="D42" i="14"/>
  <c r="D47" i="14"/>
  <c r="F359" i="14"/>
  <c r="F358" i="14" s="1"/>
  <c r="R357" i="14" s="1"/>
  <c r="S573" i="14" s="1"/>
  <c r="S574" i="14" s="1"/>
  <c r="S575" i="14" s="1"/>
  <c r="S654" i="14" s="1"/>
  <c r="D53" i="14"/>
  <c r="D59" i="14"/>
  <c r="P63" i="17" l="1"/>
  <c r="O63" i="17" s="1"/>
  <c r="R47" i="17"/>
  <c r="S47" i="17" s="1"/>
  <c r="L6" i="8"/>
  <c r="D6" i="8" s="1"/>
  <c r="L11" i="8"/>
  <c r="D11" i="8" s="1"/>
  <c r="L11" i="7"/>
  <c r="D11" i="7" s="1"/>
  <c r="J12" i="7"/>
  <c r="L12" i="7" s="1"/>
  <c r="D12" i="7" s="1"/>
  <c r="L13" i="7"/>
  <c r="D13" i="7" s="1"/>
  <c r="J12" i="8"/>
  <c r="L12" i="8" s="1"/>
  <c r="D12" i="8" s="1"/>
  <c r="L13" i="8"/>
  <c r="D13" i="8" s="1"/>
  <c r="P259" i="19"/>
  <c r="M307" i="19" s="1"/>
  <c r="O259" i="19"/>
  <c r="M306" i="19" s="1"/>
  <c r="P259" i="18"/>
  <c r="M307" i="18" s="1"/>
  <c r="O259" i="18"/>
  <c r="M306" i="18" s="1"/>
  <c r="P259" i="14"/>
  <c r="M307" i="14" s="1"/>
  <c r="O259" i="14"/>
  <c r="M306" i="14" s="1"/>
  <c r="P259" i="17"/>
  <c r="M307" i="17" s="1"/>
  <c r="O259" i="17"/>
  <c r="M306" i="17" s="1"/>
  <c r="E339" i="17"/>
  <c r="F353" i="17"/>
  <c r="E339" i="14"/>
  <c r="F353" i="14"/>
  <c r="F352" i="14" s="1"/>
  <c r="D74" i="17"/>
  <c r="D74" i="14"/>
  <c r="S674" i="17"/>
  <c r="F674" i="17"/>
  <c r="S694" i="17"/>
  <c r="F357" i="17"/>
  <c r="D358" i="17"/>
  <c r="S694" i="14"/>
  <c r="F674" i="14"/>
  <c r="S674" i="14"/>
  <c r="R59" i="14"/>
  <c r="R47" i="14"/>
  <c r="R53" i="14"/>
  <c r="P63" i="14"/>
  <c r="O63" i="14" s="1"/>
  <c r="R42" i="14"/>
  <c r="F357" i="14"/>
  <c r="O363" i="14" s="1"/>
  <c r="D358" i="14"/>
  <c r="H553" i="17" l="1"/>
  <c r="H554" i="17" s="1"/>
  <c r="H555" i="17" s="1"/>
  <c r="F553" i="17"/>
  <c r="F554" i="17" s="1"/>
  <c r="F555" i="17" s="1"/>
  <c r="D29" i="18"/>
  <c r="O30" i="18" s="1"/>
  <c r="O410" i="18" s="1"/>
  <c r="D29" i="17"/>
  <c r="O30" i="17" s="1"/>
  <c r="O410" i="17" s="1"/>
  <c r="O443" i="17" s="1"/>
  <c r="C9" i="17" s="1"/>
  <c r="D29" i="19"/>
  <c r="O30" i="19" s="1"/>
  <c r="O410" i="19" s="1"/>
  <c r="D29" i="14"/>
  <c r="M324" i="17"/>
  <c r="D324" i="17" s="1"/>
  <c r="O324" i="17" s="1"/>
  <c r="M312" i="17"/>
  <c r="D312" i="17" s="1"/>
  <c r="O312" i="17" s="1"/>
  <c r="O468" i="17" s="1"/>
  <c r="O483" i="17" s="1"/>
  <c r="M318" i="17"/>
  <c r="D318" i="17" s="1"/>
  <c r="O318" i="17" s="1"/>
  <c r="O499" i="17" s="1"/>
  <c r="O514" i="17" s="1"/>
  <c r="D306" i="17"/>
  <c r="O306" i="17" s="1"/>
  <c r="O416" i="17" s="1"/>
  <c r="M324" i="18"/>
  <c r="M318" i="18"/>
  <c r="M312" i="18"/>
  <c r="M325" i="17"/>
  <c r="D325" i="17" s="1"/>
  <c r="P324" i="17" s="1"/>
  <c r="M319" i="17"/>
  <c r="D319" i="17" s="1"/>
  <c r="P318" i="17" s="1"/>
  <c r="P499" i="17" s="1"/>
  <c r="P514" i="17" s="1"/>
  <c r="M313" i="17"/>
  <c r="D313" i="17" s="1"/>
  <c r="P312" i="17" s="1"/>
  <c r="P468" i="17" s="1"/>
  <c r="P483" i="17" s="1"/>
  <c r="D307" i="17"/>
  <c r="P306" i="17" s="1"/>
  <c r="P416" i="17" s="1"/>
  <c r="M325" i="18"/>
  <c r="M313" i="18"/>
  <c r="M319" i="18"/>
  <c r="M324" i="14"/>
  <c r="D324" i="14" s="1"/>
  <c r="O324" i="14" s="1"/>
  <c r="M312" i="14"/>
  <c r="D312" i="14" s="1"/>
  <c r="O312" i="14" s="1"/>
  <c r="O468" i="14" s="1"/>
  <c r="O483" i="14" s="1"/>
  <c r="M318" i="14"/>
  <c r="D318" i="14" s="1"/>
  <c r="O318" i="14" s="1"/>
  <c r="O499" i="14" s="1"/>
  <c r="O514" i="14" s="1"/>
  <c r="D306" i="14"/>
  <c r="O306" i="14" s="1"/>
  <c r="O416" i="14" s="1"/>
  <c r="M324" i="19"/>
  <c r="M318" i="19"/>
  <c r="M312" i="19"/>
  <c r="M325" i="14"/>
  <c r="D325" i="14" s="1"/>
  <c r="P324" i="14" s="1"/>
  <c r="M319" i="14"/>
  <c r="D319" i="14" s="1"/>
  <c r="P318" i="14" s="1"/>
  <c r="P499" i="14" s="1"/>
  <c r="P514" i="14" s="1"/>
  <c r="M313" i="14"/>
  <c r="D313" i="14" s="1"/>
  <c r="P312" i="14" s="1"/>
  <c r="P468" i="14" s="1"/>
  <c r="P483" i="14" s="1"/>
  <c r="D307" i="14"/>
  <c r="P306" i="14" s="1"/>
  <c r="P416" i="14" s="1"/>
  <c r="M325" i="19"/>
  <c r="M319" i="19"/>
  <c r="M313" i="19"/>
  <c r="C13" i="9"/>
  <c r="C16" i="9"/>
  <c r="C10" i="9"/>
  <c r="C23" i="9"/>
  <c r="C20" i="9"/>
  <c r="D80" i="17"/>
  <c r="D76" i="17"/>
  <c r="F352" i="17"/>
  <c r="D352" i="17" s="1"/>
  <c r="F339" i="17"/>
  <c r="D339" i="17" s="1"/>
  <c r="D353" i="17"/>
  <c r="D353" i="14"/>
  <c r="D352" i="14"/>
  <c r="F339" i="14"/>
  <c r="D339" i="14" s="1"/>
  <c r="C14" i="9"/>
  <c r="C24" i="9"/>
  <c r="C21" i="9"/>
  <c r="C17" i="9"/>
  <c r="C11" i="9"/>
  <c r="D357" i="17"/>
  <c r="O364" i="17" s="1"/>
  <c r="P363" i="17"/>
  <c r="O380" i="14"/>
  <c r="D357" i="14"/>
  <c r="O364" i="14" s="1"/>
  <c r="O392" i="14" s="1"/>
  <c r="P363" i="14"/>
  <c r="S42" i="14"/>
  <c r="S53" i="14"/>
  <c r="S47" i="14"/>
  <c r="S59" i="14"/>
  <c r="P30" i="18" l="1"/>
  <c r="P410" i="18" s="1"/>
  <c r="P30" i="19"/>
  <c r="P410" i="19" s="1"/>
  <c r="P443" i="19" s="1"/>
  <c r="C10" i="19" s="1"/>
  <c r="P30" i="17"/>
  <c r="P410" i="17" s="1"/>
  <c r="P443" i="17" s="1"/>
  <c r="C10" i="17" s="1"/>
  <c r="C11" i="17" s="1"/>
  <c r="E10" i="14"/>
  <c r="P449" i="14"/>
  <c r="E9" i="14"/>
  <c r="O449" i="14"/>
  <c r="E10" i="17"/>
  <c r="P449" i="17"/>
  <c r="O449" i="17"/>
  <c r="E9" i="17"/>
  <c r="D118" i="18"/>
  <c r="D144" i="18" s="1"/>
  <c r="D118" i="19"/>
  <c r="D144" i="19" s="1"/>
  <c r="D20" i="8"/>
  <c r="D74" i="18" s="1"/>
  <c r="D25" i="8"/>
  <c r="D140" i="19"/>
  <c r="D143" i="18"/>
  <c r="D142" i="19"/>
  <c r="D141" i="19"/>
  <c r="D142" i="18"/>
  <c r="D24" i="8"/>
  <c r="D141" i="18"/>
  <c r="D140" i="18"/>
  <c r="D143" i="19"/>
  <c r="D27" i="8"/>
  <c r="D26" i="8"/>
  <c r="O339" i="17"/>
  <c r="P339" i="17" s="1"/>
  <c r="P443" i="18"/>
  <c r="C10" i="18" s="1"/>
  <c r="O352" i="17"/>
  <c r="O413" i="17" s="1"/>
  <c r="O446" i="17" s="1"/>
  <c r="K23" i="9"/>
  <c r="E87" i="17"/>
  <c r="K10" i="9"/>
  <c r="O443" i="19"/>
  <c r="C9" i="19" s="1"/>
  <c r="O339" i="14"/>
  <c r="P339" i="14" s="1"/>
  <c r="D81" i="17"/>
  <c r="D83" i="17" s="1"/>
  <c r="F87" i="17" s="1"/>
  <c r="F89" i="17"/>
  <c r="D89" i="17" s="1"/>
  <c r="F33" i="17"/>
  <c r="D33" i="17" s="1"/>
  <c r="K16" i="9"/>
  <c r="O443" i="18"/>
  <c r="C9" i="18" s="1"/>
  <c r="O352" i="14"/>
  <c r="O413" i="14" s="1"/>
  <c r="O446" i="14" s="1"/>
  <c r="P352" i="14"/>
  <c r="P413" i="14" s="1"/>
  <c r="P446" i="14" s="1"/>
  <c r="K20" i="9"/>
  <c r="K13" i="9"/>
  <c r="O357" i="17"/>
  <c r="O426" i="17" s="1"/>
  <c r="O459" i="17" s="1"/>
  <c r="J9" i="17" s="1"/>
  <c r="P357" i="17"/>
  <c r="P426" i="17" s="1"/>
  <c r="P459" i="17" s="1"/>
  <c r="J10" i="17" s="1"/>
  <c r="P364" i="17"/>
  <c r="O392" i="17"/>
  <c r="O393" i="17"/>
  <c r="O393" i="14"/>
  <c r="F561" i="14"/>
  <c r="H561" i="14"/>
  <c r="H562" i="14" s="1"/>
  <c r="H563" i="14" s="1"/>
  <c r="O357" i="14"/>
  <c r="O426" i="14" s="1"/>
  <c r="P364" i="14"/>
  <c r="H553" i="14"/>
  <c r="H554" i="14" s="1"/>
  <c r="H555" i="14" s="1"/>
  <c r="F553" i="14"/>
  <c r="O30" i="14"/>
  <c r="D80" i="14"/>
  <c r="F89" i="14" s="1"/>
  <c r="D89" i="14" s="1"/>
  <c r="D76" i="14"/>
  <c r="P352" i="17" l="1"/>
  <c r="P413" i="17" s="1"/>
  <c r="P446" i="17" s="1"/>
  <c r="E11" i="17"/>
  <c r="E11" i="14"/>
  <c r="C11" i="19"/>
  <c r="C11" i="18"/>
  <c r="D87" i="17"/>
  <c r="O87" i="17" s="1"/>
  <c r="O88" i="17" s="1"/>
  <c r="D53" i="18"/>
  <c r="D53" i="19"/>
  <c r="D47" i="19"/>
  <c r="D47" i="18"/>
  <c r="F359" i="19"/>
  <c r="F358" i="19" s="1"/>
  <c r="F359" i="18"/>
  <c r="F358" i="18" s="1"/>
  <c r="K39" i="4"/>
  <c r="K41" i="4" s="1"/>
  <c r="P89" i="17"/>
  <c r="P33" i="17" s="1"/>
  <c r="O89" i="17"/>
  <c r="O33" i="17" s="1"/>
  <c r="D59" i="19"/>
  <c r="D59" i="18"/>
  <c r="D42" i="18"/>
  <c r="D42" i="19"/>
  <c r="P152" i="19"/>
  <c r="O152" i="19"/>
  <c r="D74" i="19"/>
  <c r="F353" i="18"/>
  <c r="E339" i="18"/>
  <c r="F353" i="19"/>
  <c r="E339" i="19"/>
  <c r="K34" i="4"/>
  <c r="K35" i="4" s="1"/>
  <c r="O158" i="18"/>
  <c r="P158" i="18"/>
  <c r="P152" i="18"/>
  <c r="O152" i="18"/>
  <c r="O158" i="19"/>
  <c r="P158" i="19"/>
  <c r="J11" i="17"/>
  <c r="O89" i="14"/>
  <c r="O33" i="14" s="1"/>
  <c r="P89" i="14"/>
  <c r="P33" i="14" s="1"/>
  <c r="P393" i="14"/>
  <c r="P392" i="14"/>
  <c r="O528" i="17"/>
  <c r="P393" i="17"/>
  <c r="P392" i="17"/>
  <c r="F562" i="14"/>
  <c r="P357" i="14"/>
  <c r="P426" i="14" s="1"/>
  <c r="O459" i="14"/>
  <c r="J9" i="14" s="1"/>
  <c r="E87" i="14"/>
  <c r="F554" i="14"/>
  <c r="D81" i="14"/>
  <c r="D83" i="14" s="1"/>
  <c r="F87" i="14" s="1"/>
  <c r="F33" i="14"/>
  <c r="D33" i="14" s="1"/>
  <c r="O410" i="14"/>
  <c r="P30" i="14"/>
  <c r="P410" i="14" s="1"/>
  <c r="P87" i="17" l="1"/>
  <c r="P88" i="17" s="1"/>
  <c r="P63" i="19"/>
  <c r="O63" i="19" s="1"/>
  <c r="F352" i="19"/>
  <c r="D352" i="19" s="1"/>
  <c r="D353" i="19"/>
  <c r="F339" i="19"/>
  <c r="D339" i="19" s="1"/>
  <c r="D80" i="19"/>
  <c r="D76" i="19"/>
  <c r="P63" i="18"/>
  <c r="O63" i="18" s="1"/>
  <c r="F352" i="18"/>
  <c r="D352" i="18" s="1"/>
  <c r="D353" i="18"/>
  <c r="F339" i="18"/>
  <c r="D339" i="18" s="1"/>
  <c r="F357" i="18"/>
  <c r="D357" i="18" s="1"/>
  <c r="D358" i="18"/>
  <c r="D76" i="18"/>
  <c r="D80" i="18"/>
  <c r="D358" i="19"/>
  <c r="F357" i="19"/>
  <c r="D357" i="19" s="1"/>
  <c r="P459" i="14"/>
  <c r="J10" i="14" s="1"/>
  <c r="J11" i="14" s="1"/>
  <c r="F563" i="14"/>
  <c r="P443" i="14"/>
  <c r="C10" i="14" s="1"/>
  <c r="O443" i="14"/>
  <c r="C9" i="14" s="1"/>
  <c r="D87" i="14"/>
  <c r="O87" i="14" s="1"/>
  <c r="F555" i="14"/>
  <c r="E87" i="18" l="1"/>
  <c r="F89" i="19"/>
  <c r="D89" i="19" s="1"/>
  <c r="D81" i="19"/>
  <c r="D83" i="19" s="1"/>
  <c r="F87" i="19" s="1"/>
  <c r="F33" i="19"/>
  <c r="D33" i="19" s="1"/>
  <c r="O339" i="19"/>
  <c r="P339" i="19"/>
  <c r="P364" i="19"/>
  <c r="P357" i="19"/>
  <c r="P426" i="19" s="1"/>
  <c r="P459" i="19" s="1"/>
  <c r="J10" i="19" s="1"/>
  <c r="O364" i="19"/>
  <c r="O357" i="19"/>
  <c r="O426" i="19" s="1"/>
  <c r="O459" i="19" s="1"/>
  <c r="J9" i="19" s="1"/>
  <c r="P352" i="18"/>
  <c r="P413" i="18" s="1"/>
  <c r="P446" i="18" s="1"/>
  <c r="O352" i="18"/>
  <c r="O413" i="18" s="1"/>
  <c r="O446" i="18" s="1"/>
  <c r="P357" i="18"/>
  <c r="P426" i="18" s="1"/>
  <c r="P459" i="18" s="1"/>
  <c r="J10" i="18" s="1"/>
  <c r="P364" i="18"/>
  <c r="O357" i="18"/>
  <c r="O426" i="18" s="1"/>
  <c r="O459" i="18" s="1"/>
  <c r="J9" i="18" s="1"/>
  <c r="O364" i="18"/>
  <c r="F89" i="18"/>
  <c r="D89" i="18" s="1"/>
  <c r="F33" i="18"/>
  <c r="D33" i="18" s="1"/>
  <c r="D81" i="18"/>
  <c r="D83" i="18" s="1"/>
  <c r="F87" i="18" s="1"/>
  <c r="O339" i="18"/>
  <c r="P339" i="18"/>
  <c r="E87" i="19"/>
  <c r="D87" i="19"/>
  <c r="P352" i="19"/>
  <c r="P413" i="19" s="1"/>
  <c r="P446" i="19" s="1"/>
  <c r="O352" i="19"/>
  <c r="O413" i="19" s="1"/>
  <c r="O446" i="19" s="1"/>
  <c r="C11" i="14"/>
  <c r="P87" i="14"/>
  <c r="P88" i="14" s="1"/>
  <c r="O88" i="14"/>
  <c r="D87" i="18" l="1"/>
  <c r="O87" i="18" s="1"/>
  <c r="O88" i="18" s="1"/>
  <c r="J11" i="18"/>
  <c r="J11" i="19"/>
  <c r="P87" i="19"/>
  <c r="P88" i="19" s="1"/>
  <c r="O87" i="19"/>
  <c r="O88" i="19" s="1"/>
  <c r="P393" i="19"/>
  <c r="P392" i="19"/>
  <c r="P393" i="18"/>
  <c r="P392" i="18"/>
  <c r="O89" i="19"/>
  <c r="O33" i="19" s="1"/>
  <c r="P89" i="19"/>
  <c r="P33" i="19" s="1"/>
  <c r="P89" i="18"/>
  <c r="P33" i="18" s="1"/>
  <c r="O89" i="18"/>
  <c r="O33" i="18" s="1"/>
  <c r="O392" i="19"/>
  <c r="O528" i="19" s="1"/>
  <c r="O393" i="19"/>
  <c r="O393" i="18"/>
  <c r="O392" i="18"/>
  <c r="O528" i="18" s="1"/>
  <c r="F52" i="14"/>
  <c r="G46" i="14"/>
  <c r="F58" i="14"/>
  <c r="F104" i="14" s="1"/>
  <c r="G58" i="14"/>
  <c r="G104" i="14" s="1"/>
  <c r="F41" i="14"/>
  <c r="E41" i="14"/>
  <c r="J41" i="7"/>
  <c r="P87" i="18" l="1"/>
  <c r="P88" i="18" s="1"/>
  <c r="J41" i="8"/>
  <c r="K41" i="8"/>
  <c r="E46" i="14"/>
  <c r="E52" i="14"/>
  <c r="I41" i="7"/>
  <c r="F46" i="14"/>
  <c r="G52" i="14"/>
  <c r="J48" i="7"/>
  <c r="K48" i="7"/>
  <c r="K41" i="7"/>
  <c r="L41" i="7" s="1"/>
  <c r="G41" i="7" s="1"/>
  <c r="E58" i="14"/>
  <c r="E104" i="14" s="1"/>
  <c r="I55" i="7"/>
  <c r="J55" i="7"/>
  <c r="K55" i="7"/>
  <c r="I34" i="7"/>
  <c r="K34" i="8"/>
  <c r="L34" i="8" s="1"/>
  <c r="G34" i="8" s="1"/>
  <c r="D46" i="17" l="1"/>
  <c r="L41" i="8"/>
  <c r="G41" i="8" s="1"/>
  <c r="L55" i="7"/>
  <c r="G55" i="7" s="1"/>
  <c r="D58" i="17" s="1"/>
  <c r="D104" i="17" s="1"/>
  <c r="L48" i="7"/>
  <c r="G48" i="7" s="1"/>
  <c r="O46" i="17"/>
  <c r="O49" i="17" s="1"/>
  <c r="K48" i="8"/>
  <c r="J48" i="8"/>
  <c r="I48" i="8"/>
  <c r="I41" i="8"/>
  <c r="I48" i="7"/>
  <c r="D46" i="14"/>
  <c r="O46" i="14" s="1"/>
  <c r="P46" i="14" s="1"/>
  <c r="P49" i="14" s="1"/>
  <c r="K55" i="8"/>
  <c r="J55" i="8"/>
  <c r="I55" i="8"/>
  <c r="G41" i="14"/>
  <c r="J34" i="7"/>
  <c r="K34" i="7"/>
  <c r="P46" i="17" l="1"/>
  <c r="R46" i="17" s="1"/>
  <c r="D52" i="17"/>
  <c r="O52" i="17" s="1"/>
  <c r="O55" i="17" s="1"/>
  <c r="L48" i="8"/>
  <c r="G48" i="8" s="1"/>
  <c r="L55" i="8"/>
  <c r="G55" i="8" s="1"/>
  <c r="D58" i="19" s="1"/>
  <c r="L34" i="7"/>
  <c r="G34" i="7" s="1"/>
  <c r="D41" i="17" s="1"/>
  <c r="O41" i="17" s="1"/>
  <c r="O43" i="17" s="1"/>
  <c r="D58" i="14"/>
  <c r="D104" i="14" s="1"/>
  <c r="O104" i="14" s="1"/>
  <c r="P104" i="14" s="1"/>
  <c r="P58" i="17"/>
  <c r="P60" i="17" s="1"/>
  <c r="O58" i="17"/>
  <c r="D46" i="18"/>
  <c r="D46" i="19"/>
  <c r="D41" i="18"/>
  <c r="D41" i="19"/>
  <c r="P104" i="17"/>
  <c r="O104" i="17"/>
  <c r="D52" i="19"/>
  <c r="D52" i="18"/>
  <c r="D52" i="14"/>
  <c r="O52" i="14" s="1"/>
  <c r="P52" i="14" s="1"/>
  <c r="P55" i="14" s="1"/>
  <c r="R46" i="14"/>
  <c r="O49" i="14"/>
  <c r="D58" i="18" l="1"/>
  <c r="P52" i="17"/>
  <c r="P55" i="17" s="1"/>
  <c r="P49" i="17"/>
  <c r="P41" i="17"/>
  <c r="P43" i="17" s="1"/>
  <c r="O58" i="14"/>
  <c r="D41" i="14"/>
  <c r="O41" i="14" s="1"/>
  <c r="P41" i="14" s="1"/>
  <c r="R41" i="14" s="1"/>
  <c r="F543" i="17"/>
  <c r="S545" i="17" s="1"/>
  <c r="S546" i="17" s="1"/>
  <c r="S547" i="17" s="1"/>
  <c r="S650" i="17" s="1"/>
  <c r="O60" i="17"/>
  <c r="O64" i="17" s="1"/>
  <c r="O46" i="19"/>
  <c r="O49" i="19" s="1"/>
  <c r="P46" i="19"/>
  <c r="O41" i="18"/>
  <c r="O43" i="18" s="1"/>
  <c r="P41" i="18"/>
  <c r="P46" i="18"/>
  <c r="O46" i="18"/>
  <c r="O49" i="18" s="1"/>
  <c r="P52" i="18"/>
  <c r="O52" i="18"/>
  <c r="O55" i="18" s="1"/>
  <c r="G552" i="17"/>
  <c r="F550" i="17"/>
  <c r="I552" i="17"/>
  <c r="I553" i="17" s="1"/>
  <c r="I554" i="17" s="1"/>
  <c r="I555" i="17" s="1"/>
  <c r="P58" i="18"/>
  <c r="P60" i="18" s="1"/>
  <c r="D104" i="18"/>
  <c r="O58" i="18"/>
  <c r="P41" i="19"/>
  <c r="P43" i="19" s="1"/>
  <c r="O41" i="19"/>
  <c r="P58" i="19"/>
  <c r="P60" i="19" s="1"/>
  <c r="D104" i="19"/>
  <c r="O58" i="19"/>
  <c r="P52" i="19"/>
  <c r="O52" i="19"/>
  <c r="O55" i="19" s="1"/>
  <c r="F550" i="14"/>
  <c r="O60" i="14"/>
  <c r="P58" i="14"/>
  <c r="P60" i="14" s="1"/>
  <c r="G552" i="14"/>
  <c r="I552" i="14"/>
  <c r="I553" i="14" s="1"/>
  <c r="I554" i="14" s="1"/>
  <c r="I555" i="14" s="1"/>
  <c r="O55" i="14"/>
  <c r="R52" i="14"/>
  <c r="F558" i="14" s="1"/>
  <c r="R52" i="17" l="1"/>
  <c r="R41" i="17"/>
  <c r="O43" i="14"/>
  <c r="O64" i="14" s="1"/>
  <c r="O65" i="14" s="1"/>
  <c r="O66" i="14" s="1"/>
  <c r="O69" i="14" s="1"/>
  <c r="O70" i="14" s="1"/>
  <c r="P43" i="14"/>
  <c r="P64" i="14" s="1"/>
  <c r="P65" i="14" s="1"/>
  <c r="P66" i="14" s="1"/>
  <c r="P69" i="14" s="1"/>
  <c r="R545" i="17"/>
  <c r="R546" i="17" s="1"/>
  <c r="R547" i="17" s="1"/>
  <c r="R650" i="17" s="1"/>
  <c r="R690" i="17" s="1"/>
  <c r="O65" i="17"/>
  <c r="O66" i="17" s="1"/>
  <c r="O69" i="17" s="1"/>
  <c r="P64" i="17"/>
  <c r="S670" i="17"/>
  <c r="S690" i="17"/>
  <c r="F670" i="17"/>
  <c r="R41" i="19"/>
  <c r="O43" i="19"/>
  <c r="R46" i="18"/>
  <c r="P49" i="18"/>
  <c r="F543" i="19"/>
  <c r="O60" i="19"/>
  <c r="R41" i="18"/>
  <c r="P43" i="18"/>
  <c r="G560" i="17"/>
  <c r="I560" i="17"/>
  <c r="I561" i="17" s="1"/>
  <c r="I562" i="17" s="1"/>
  <c r="I563" i="17" s="1"/>
  <c r="F558" i="17"/>
  <c r="O104" i="18"/>
  <c r="P104" i="18"/>
  <c r="S552" i="17"/>
  <c r="G553" i="17"/>
  <c r="R46" i="19"/>
  <c r="P49" i="19"/>
  <c r="R52" i="19"/>
  <c r="P55" i="19"/>
  <c r="S537" i="17"/>
  <c r="F536" i="17"/>
  <c r="R538" i="17" s="1"/>
  <c r="R539" i="17" s="1"/>
  <c r="R540" i="17" s="1"/>
  <c r="R649" i="17" s="1"/>
  <c r="O104" i="19"/>
  <c r="P104" i="19"/>
  <c r="F543" i="18"/>
  <c r="O60" i="18"/>
  <c r="O64" i="18" s="1"/>
  <c r="O65" i="18" s="1"/>
  <c r="O66" i="18" s="1"/>
  <c r="O69" i="18" s="1"/>
  <c r="R553" i="17"/>
  <c r="R554" i="17"/>
  <c r="R555" i="17"/>
  <c r="R651" i="17" s="1"/>
  <c r="R52" i="18"/>
  <c r="P55" i="18"/>
  <c r="R560" i="14"/>
  <c r="R561" i="14"/>
  <c r="R562" i="14"/>
  <c r="R563" i="14"/>
  <c r="R652" i="14" s="1"/>
  <c r="R553" i="14"/>
  <c r="R554" i="14"/>
  <c r="R555" i="14"/>
  <c r="R651" i="14" s="1"/>
  <c r="F543" i="14"/>
  <c r="S537" i="14"/>
  <c r="F536" i="14"/>
  <c r="R538" i="14" s="1"/>
  <c r="R539" i="14" s="1"/>
  <c r="R540" i="14" s="1"/>
  <c r="R649" i="14" s="1"/>
  <c r="G560" i="14"/>
  <c r="I560" i="14"/>
  <c r="I561" i="14" s="1"/>
  <c r="I562" i="14" s="1"/>
  <c r="I563" i="14" s="1"/>
  <c r="S552" i="14"/>
  <c r="G553" i="14"/>
  <c r="S553" i="14" s="1"/>
  <c r="R670" i="17" l="1"/>
  <c r="E670" i="17"/>
  <c r="P93" i="14"/>
  <c r="P94" i="14" s="1"/>
  <c r="B5" i="14" s="1"/>
  <c r="O70" i="17"/>
  <c r="O93" i="17"/>
  <c r="O94" i="17" s="1"/>
  <c r="O347" i="17" s="1"/>
  <c r="O403" i="17" s="1"/>
  <c r="O436" i="17" s="1"/>
  <c r="P64" i="19"/>
  <c r="P65" i="17"/>
  <c r="P66" i="17" s="1"/>
  <c r="P69" i="17" s="1"/>
  <c r="O64" i="19"/>
  <c r="S538" i="17"/>
  <c r="S539" i="17" s="1"/>
  <c r="S540" i="17" s="1"/>
  <c r="S649" i="17" s="1"/>
  <c r="S689" i="17" s="1"/>
  <c r="O70" i="18"/>
  <c r="O93" i="18"/>
  <c r="O94" i="18" s="1"/>
  <c r="I560" i="18"/>
  <c r="I561" i="18" s="1"/>
  <c r="I562" i="18" s="1"/>
  <c r="I563" i="18" s="1"/>
  <c r="G560" i="18"/>
  <c r="F558" i="18"/>
  <c r="R669" i="17"/>
  <c r="E669" i="17"/>
  <c r="R689" i="17"/>
  <c r="F550" i="19"/>
  <c r="G552" i="19"/>
  <c r="I552" i="19"/>
  <c r="I553" i="19" s="1"/>
  <c r="I554" i="19" s="1"/>
  <c r="I555" i="19" s="1"/>
  <c r="P64" i="18"/>
  <c r="P65" i="18" s="1"/>
  <c r="P66" i="18" s="1"/>
  <c r="P69" i="18" s="1"/>
  <c r="S545" i="19"/>
  <c r="S546" i="19" s="1"/>
  <c r="S547" i="19" s="1"/>
  <c r="S650" i="19" s="1"/>
  <c r="R545" i="19"/>
  <c r="R546" i="19" s="1"/>
  <c r="R547" i="19" s="1"/>
  <c r="R650" i="19" s="1"/>
  <c r="G560" i="19"/>
  <c r="I560" i="19"/>
  <c r="I561" i="19" s="1"/>
  <c r="I562" i="19" s="1"/>
  <c r="I563" i="19" s="1"/>
  <c r="F558" i="19"/>
  <c r="G561" i="17"/>
  <c r="S560" i="17"/>
  <c r="S537" i="19"/>
  <c r="F536" i="19"/>
  <c r="R538" i="19" s="1"/>
  <c r="R539" i="19" s="1"/>
  <c r="R540" i="19" s="1"/>
  <c r="R649" i="19" s="1"/>
  <c r="R671" i="17"/>
  <c r="E671" i="17"/>
  <c r="R691" i="17"/>
  <c r="S545" i="18"/>
  <c r="S546" i="18" s="1"/>
  <c r="S547" i="18" s="1"/>
  <c r="S650" i="18" s="1"/>
  <c r="R545" i="18"/>
  <c r="R546" i="18" s="1"/>
  <c r="R547" i="18" s="1"/>
  <c r="R650" i="18" s="1"/>
  <c r="G554" i="17"/>
  <c r="S553" i="17"/>
  <c r="R560" i="17"/>
  <c r="R562" i="17"/>
  <c r="R561" i="17"/>
  <c r="R563" i="17"/>
  <c r="R652" i="17" s="1"/>
  <c r="F536" i="18"/>
  <c r="R538" i="18" s="1"/>
  <c r="R539" i="18" s="1"/>
  <c r="R540" i="18" s="1"/>
  <c r="R649" i="18" s="1"/>
  <c r="S537" i="18"/>
  <c r="I552" i="18"/>
  <c r="I553" i="18" s="1"/>
  <c r="I554" i="18" s="1"/>
  <c r="I555" i="18" s="1"/>
  <c r="G552" i="18"/>
  <c r="F550" i="18"/>
  <c r="S545" i="14"/>
  <c r="S546" i="14" s="1"/>
  <c r="S547" i="14" s="1"/>
  <c r="S650" i="14" s="1"/>
  <c r="R545" i="14"/>
  <c r="R546" i="14" s="1"/>
  <c r="R547" i="14" s="1"/>
  <c r="R650" i="14" s="1"/>
  <c r="R689" i="14"/>
  <c r="R669" i="14"/>
  <c r="E669" i="14"/>
  <c r="R672" i="14"/>
  <c r="E672" i="14"/>
  <c r="R692" i="14"/>
  <c r="G561" i="14"/>
  <c r="S560" i="14"/>
  <c r="R691" i="14"/>
  <c r="E671" i="14"/>
  <c r="R671" i="14"/>
  <c r="S538" i="14"/>
  <c r="S539" i="14" s="1"/>
  <c r="S540" i="14" s="1"/>
  <c r="S649" i="14" s="1"/>
  <c r="O93" i="14"/>
  <c r="O94" i="14" s="1"/>
  <c r="P70" i="14"/>
  <c r="G554" i="14"/>
  <c r="S554" i="14" s="1"/>
  <c r="P16" i="14" l="1"/>
  <c r="K175" i="14" s="1"/>
  <c r="P347" i="14"/>
  <c r="P403" i="14" s="1"/>
  <c r="P436" i="14" s="1"/>
  <c r="E175" i="14"/>
  <c r="E176" i="14" s="1"/>
  <c r="E178" i="14" s="1"/>
  <c r="E223" i="14"/>
  <c r="E224" i="14" s="1"/>
  <c r="E186" i="14"/>
  <c r="E187" i="14" s="1"/>
  <c r="E188" i="14" s="1"/>
  <c r="P26" i="14"/>
  <c r="P151" i="14" s="1"/>
  <c r="E231" i="14"/>
  <c r="E232" i="14" s="1"/>
  <c r="D186" i="17"/>
  <c r="D187" i="17" s="1"/>
  <c r="D188" i="17" s="1"/>
  <c r="O16" i="17"/>
  <c r="J175" i="17" s="1"/>
  <c r="S669" i="17"/>
  <c r="B4" i="17"/>
  <c r="D231" i="17"/>
  <c r="D232" i="17" s="1"/>
  <c r="D223" i="17"/>
  <c r="D224" i="17" s="1"/>
  <c r="F669" i="17"/>
  <c r="O26" i="17"/>
  <c r="D342" i="17" s="1"/>
  <c r="O343" i="17" s="1"/>
  <c r="O412" i="17" s="1"/>
  <c r="O445" i="17" s="1"/>
  <c r="D175" i="17"/>
  <c r="D176" i="17" s="1"/>
  <c r="D177" i="17" s="1"/>
  <c r="O65" i="19"/>
  <c r="O66" i="19" s="1"/>
  <c r="O69" i="19" s="1"/>
  <c r="P65" i="19"/>
  <c r="P66" i="19" s="1"/>
  <c r="P69" i="19" s="1"/>
  <c r="P70" i="17"/>
  <c r="P93" i="17"/>
  <c r="P94" i="17" s="1"/>
  <c r="S538" i="19"/>
  <c r="S539" i="19" s="1"/>
  <c r="S540" i="19" s="1"/>
  <c r="S649" i="19" s="1"/>
  <c r="S689" i="19" s="1"/>
  <c r="R672" i="17"/>
  <c r="E672" i="17"/>
  <c r="R692" i="17"/>
  <c r="S560" i="19"/>
  <c r="G561" i="19"/>
  <c r="G561" i="18"/>
  <c r="S560" i="18"/>
  <c r="G553" i="19"/>
  <c r="S552" i="19"/>
  <c r="S538" i="18"/>
  <c r="S539" i="18" s="1"/>
  <c r="S540" i="18" s="1"/>
  <c r="S649" i="18" s="1"/>
  <c r="R690" i="18"/>
  <c r="R670" i="18"/>
  <c r="E670" i="18"/>
  <c r="G562" i="17"/>
  <c r="S561" i="17"/>
  <c r="R560" i="19"/>
  <c r="R562" i="19"/>
  <c r="R561" i="19"/>
  <c r="R563" i="19"/>
  <c r="R652" i="19" s="1"/>
  <c r="S690" i="19"/>
  <c r="F670" i="19"/>
  <c r="S670" i="19"/>
  <c r="R553" i="19"/>
  <c r="R554" i="19"/>
  <c r="R555" i="19"/>
  <c r="R651" i="19" s="1"/>
  <c r="O347" i="18"/>
  <c r="O403" i="18" s="1"/>
  <c r="O436" i="18" s="1"/>
  <c r="O16" i="18"/>
  <c r="J175" i="18" s="1"/>
  <c r="D231" i="18"/>
  <c r="O26" i="18"/>
  <c r="D175" i="18"/>
  <c r="D176" i="18" s="1"/>
  <c r="D223" i="18"/>
  <c r="D186" i="18"/>
  <c r="D187" i="18" s="1"/>
  <c r="B4" i="18"/>
  <c r="G553" i="18"/>
  <c r="S552" i="18"/>
  <c r="S554" i="17"/>
  <c r="G555" i="17"/>
  <c r="S555" i="17" s="1"/>
  <c r="S651" i="17" s="1"/>
  <c r="E670" i="19"/>
  <c r="R670" i="19"/>
  <c r="R690" i="19"/>
  <c r="R553" i="18"/>
  <c r="R554" i="18"/>
  <c r="R555" i="18"/>
  <c r="R651" i="18" s="1"/>
  <c r="R689" i="18"/>
  <c r="R669" i="18"/>
  <c r="E669" i="18"/>
  <c r="S690" i="18"/>
  <c r="S670" i="18"/>
  <c r="F670" i="18"/>
  <c r="R669" i="19"/>
  <c r="E669" i="19"/>
  <c r="R689" i="19"/>
  <c r="P70" i="18"/>
  <c r="P93" i="18"/>
  <c r="P94" i="18" s="1"/>
  <c r="E231" i="18" s="1"/>
  <c r="E232" i="18" s="1"/>
  <c r="R560" i="18"/>
  <c r="R561" i="18"/>
  <c r="R562" i="18"/>
  <c r="R563" i="18"/>
  <c r="R652" i="18" s="1"/>
  <c r="S669" i="14"/>
  <c r="S689" i="14"/>
  <c r="F669" i="14"/>
  <c r="E670" i="14"/>
  <c r="R690" i="14"/>
  <c r="R670" i="14"/>
  <c r="G562" i="14"/>
  <c r="S561" i="14"/>
  <c r="S690" i="14"/>
  <c r="S670" i="14"/>
  <c r="F670" i="14"/>
  <c r="O16" i="14"/>
  <c r="B4" i="14"/>
  <c r="B6" i="14" s="1"/>
  <c r="O26" i="14"/>
  <c r="D342" i="14" s="1"/>
  <c r="O343" i="14" s="1"/>
  <c r="O412" i="14" s="1"/>
  <c r="O445" i="14" s="1"/>
  <c r="D175" i="14"/>
  <c r="D176" i="14" s="1"/>
  <c r="D177" i="14" s="1"/>
  <c r="D231" i="14"/>
  <c r="D232" i="14" s="1"/>
  <c r="O347" i="14"/>
  <c r="O403" i="14" s="1"/>
  <c r="O436" i="14" s="1"/>
  <c r="D223" i="14"/>
  <c r="D225" i="14" s="1"/>
  <c r="D186" i="14"/>
  <c r="D187" i="14" s="1"/>
  <c r="D188" i="14" s="1"/>
  <c r="G555" i="14"/>
  <c r="P17" i="14"/>
  <c r="P22" i="14"/>
  <c r="P105" i="14" s="1"/>
  <c r="P401" i="14" s="1"/>
  <c r="P434" i="14" s="1"/>
  <c r="P18" i="14"/>
  <c r="E177" i="14"/>
  <c r="E189" i="14" l="1"/>
  <c r="P190" i="14" s="1"/>
  <c r="P99" i="14"/>
  <c r="P100" i="14" s="1"/>
  <c r="K172" i="14" s="1"/>
  <c r="K176" i="14" s="1"/>
  <c r="E342" i="14"/>
  <c r="P343" i="14" s="1"/>
  <c r="P412" i="14" s="1"/>
  <c r="P445" i="14" s="1"/>
  <c r="P157" i="14"/>
  <c r="G167" i="14" s="1"/>
  <c r="P147" i="14"/>
  <c r="E167" i="14" s="1"/>
  <c r="E233" i="14"/>
  <c r="P234" i="14" s="1"/>
  <c r="E225" i="14"/>
  <c r="P226" i="14" s="1"/>
  <c r="D189" i="17"/>
  <c r="O190" i="17" s="1"/>
  <c r="D225" i="17"/>
  <c r="O226" i="17" s="1"/>
  <c r="D233" i="17"/>
  <c r="O234" i="17" s="1"/>
  <c r="O22" i="17"/>
  <c r="O105" i="17" s="1"/>
  <c r="O401" i="17" s="1"/>
  <c r="O434" i="17" s="1"/>
  <c r="P95" i="14"/>
  <c r="P397" i="14" s="1"/>
  <c r="P96" i="14"/>
  <c r="O17" i="17"/>
  <c r="D200" i="17" s="1"/>
  <c r="O18" i="17"/>
  <c r="O22" i="14"/>
  <c r="O105" i="14" s="1"/>
  <c r="O401" i="14" s="1"/>
  <c r="O434" i="14" s="1"/>
  <c r="J175" i="14"/>
  <c r="O99" i="17"/>
  <c r="O100" i="17" s="1"/>
  <c r="J172" i="17" s="1"/>
  <c r="J176" i="17" s="1"/>
  <c r="O151" i="17"/>
  <c r="O153" i="17" s="1"/>
  <c r="F163" i="17" s="1"/>
  <c r="O147" i="17"/>
  <c r="E163" i="17" s="1"/>
  <c r="O157" i="17"/>
  <c r="O159" i="17" s="1"/>
  <c r="G163" i="17" s="1"/>
  <c r="D178" i="17"/>
  <c r="O179" i="17" s="1"/>
  <c r="F669" i="19"/>
  <c r="S669" i="19"/>
  <c r="P70" i="19"/>
  <c r="P93" i="19"/>
  <c r="P94" i="19" s="1"/>
  <c r="O93" i="19"/>
  <c r="O94" i="19" s="1"/>
  <c r="O70" i="19"/>
  <c r="P347" i="17"/>
  <c r="P403" i="17" s="1"/>
  <c r="P436" i="17" s="1"/>
  <c r="P16" i="17"/>
  <c r="K175" i="17" s="1"/>
  <c r="B5" i="17"/>
  <c r="B6" i="17" s="1"/>
  <c r="E186" i="17"/>
  <c r="E187" i="17" s="1"/>
  <c r="E223" i="17"/>
  <c r="E224" i="17" s="1"/>
  <c r="E231" i="17"/>
  <c r="E232" i="17" s="1"/>
  <c r="P26" i="17"/>
  <c r="E175" i="17"/>
  <c r="E176" i="17" s="1"/>
  <c r="D189" i="18"/>
  <c r="D188" i="18"/>
  <c r="G554" i="18"/>
  <c r="S553" i="18"/>
  <c r="S561" i="18"/>
  <c r="G562" i="18"/>
  <c r="S691" i="17"/>
  <c r="S671" i="17"/>
  <c r="F671" i="17"/>
  <c r="D225" i="18"/>
  <c r="D224" i="18"/>
  <c r="D233" i="18"/>
  <c r="D232" i="18"/>
  <c r="R692" i="19"/>
  <c r="R672" i="19"/>
  <c r="E672" i="19"/>
  <c r="S562" i="17"/>
  <c r="G563" i="17"/>
  <c r="S563" i="17" s="1"/>
  <c r="S652" i="17" s="1"/>
  <c r="F669" i="18"/>
  <c r="S669" i="18"/>
  <c r="S689" i="18"/>
  <c r="G562" i="19"/>
  <c r="S561" i="19"/>
  <c r="O147" i="18"/>
  <c r="E163" i="18" s="1"/>
  <c r="O99" i="18"/>
  <c r="O100" i="18" s="1"/>
  <c r="J172" i="18" s="1"/>
  <c r="J176" i="18" s="1"/>
  <c r="D342" i="18"/>
  <c r="O343" i="18" s="1"/>
  <c r="O412" i="18" s="1"/>
  <c r="O445" i="18" s="1"/>
  <c r="O151" i="18"/>
  <c r="O153" i="18" s="1"/>
  <c r="F163" i="18" s="1"/>
  <c r="O157" i="18"/>
  <c r="O159" i="18" s="1"/>
  <c r="G163" i="18" s="1"/>
  <c r="R691" i="19"/>
  <c r="E671" i="19"/>
  <c r="R671" i="19"/>
  <c r="G554" i="19"/>
  <c r="S553" i="19"/>
  <c r="E672" i="18"/>
  <c r="R692" i="18"/>
  <c r="R672" i="18"/>
  <c r="P347" i="18"/>
  <c r="P403" i="18" s="1"/>
  <c r="P436" i="18" s="1"/>
  <c r="E223" i="18"/>
  <c r="E224" i="18" s="1"/>
  <c r="P16" i="18"/>
  <c r="K175" i="18" s="1"/>
  <c r="P26" i="18"/>
  <c r="E186" i="18"/>
  <c r="E187" i="18" s="1"/>
  <c r="B5" i="18"/>
  <c r="B6" i="18" s="1"/>
  <c r="E175" i="18"/>
  <c r="E176" i="18" s="1"/>
  <c r="R691" i="18"/>
  <c r="E671" i="18"/>
  <c r="R671" i="18"/>
  <c r="D178" i="18"/>
  <c r="D177" i="18"/>
  <c r="O17" i="18"/>
  <c r="O22" i="18"/>
  <c r="O105" i="18" s="1"/>
  <c r="O401" i="18" s="1"/>
  <c r="O434" i="18" s="1"/>
  <c r="O18" i="18"/>
  <c r="S555" i="14"/>
  <c r="S651" i="14" s="1"/>
  <c r="G563" i="14"/>
  <c r="S563" i="14" s="1"/>
  <c r="S652" i="14" s="1"/>
  <c r="S562" i="14"/>
  <c r="O17" i="14"/>
  <c r="D194" i="14" s="1"/>
  <c r="O18" i="14"/>
  <c r="O35" i="14" s="1"/>
  <c r="O37" i="14" s="1"/>
  <c r="O422" i="14" s="1"/>
  <c r="P179" i="14"/>
  <c r="O147" i="14"/>
  <c r="O151" i="14"/>
  <c r="F167" i="14"/>
  <c r="O99" i="14"/>
  <c r="O100" i="14" s="1"/>
  <c r="O157" i="14"/>
  <c r="D178" i="14"/>
  <c r="O179" i="14" s="1"/>
  <c r="D189" i="14"/>
  <c r="O190" i="14" s="1"/>
  <c r="D233" i="14"/>
  <c r="O234" i="14" s="1"/>
  <c r="D224" i="14"/>
  <c r="O226" i="14" s="1"/>
  <c r="P19" i="14"/>
  <c r="P153" i="14"/>
  <c r="F164" i="14" s="1"/>
  <c r="P35" i="14"/>
  <c r="P37" i="14" s="1"/>
  <c r="P108" i="14"/>
  <c r="P399" i="14" s="1"/>
  <c r="P432" i="14" s="1"/>
  <c r="P271" i="14"/>
  <c r="P274" i="14"/>
  <c r="K283" i="14" s="1"/>
  <c r="E200" i="14"/>
  <c r="E194" i="14"/>
  <c r="P272" i="14" l="1"/>
  <c r="P101" i="14"/>
  <c r="B10" i="14" s="1"/>
  <c r="P270" i="14"/>
  <c r="E283" i="14" s="1"/>
  <c r="P227" i="14"/>
  <c r="F253" i="14" s="1"/>
  <c r="P159" i="14"/>
  <c r="G164" i="14" s="1"/>
  <c r="P273" i="14"/>
  <c r="J283" i="14" s="1"/>
  <c r="E164" i="14"/>
  <c r="D194" i="17"/>
  <c r="O108" i="17"/>
  <c r="O399" i="17" s="1"/>
  <c r="O432" i="17" s="1"/>
  <c r="O19" i="17"/>
  <c r="O95" i="17"/>
  <c r="O397" i="17" s="1"/>
  <c r="O35" i="17"/>
  <c r="O37" i="17" s="1"/>
  <c r="O422" i="17" s="1"/>
  <c r="O96" i="17"/>
  <c r="O398" i="17" s="1"/>
  <c r="O431" i="17" s="1"/>
  <c r="O270" i="17"/>
  <c r="E282" i="17" s="1"/>
  <c r="E330" i="17" s="1"/>
  <c r="O274" i="17"/>
  <c r="K282" i="17" s="1"/>
  <c r="O273" i="17"/>
  <c r="J282" i="17" s="1"/>
  <c r="O101" i="17"/>
  <c r="B9" i="17" s="1"/>
  <c r="O272" i="17"/>
  <c r="I282" i="17" s="1"/>
  <c r="O271" i="17"/>
  <c r="F282" i="17" s="1"/>
  <c r="G166" i="17"/>
  <c r="O235" i="17"/>
  <c r="E252" i="17" s="1"/>
  <c r="E166" i="17"/>
  <c r="D163" i="17"/>
  <c r="O163" i="17" s="1"/>
  <c r="O411" i="17" s="1"/>
  <c r="O444" i="17" s="1"/>
  <c r="O180" i="17"/>
  <c r="F210" i="17" s="1"/>
  <c r="O191" i="17"/>
  <c r="E210" i="17" s="1"/>
  <c r="O273" i="14"/>
  <c r="J282" i="14" s="1"/>
  <c r="J172" i="14"/>
  <c r="J176" i="14" s="1"/>
  <c r="P180" i="14"/>
  <c r="F211" i="14" s="1"/>
  <c r="P191" i="14"/>
  <c r="E211" i="14" s="1"/>
  <c r="O227" i="17"/>
  <c r="F252" i="17" s="1"/>
  <c r="F166" i="17"/>
  <c r="E223" i="19"/>
  <c r="E175" i="19"/>
  <c r="E176" i="19" s="1"/>
  <c r="E186" i="19"/>
  <c r="E187" i="19" s="1"/>
  <c r="D175" i="19"/>
  <c r="D176" i="19" s="1"/>
  <c r="D186" i="19"/>
  <c r="D187" i="19" s="1"/>
  <c r="O384" i="18"/>
  <c r="O385" i="18"/>
  <c r="O388" i="18"/>
  <c r="O347" i="19"/>
  <c r="O403" i="19" s="1"/>
  <c r="O436" i="19" s="1"/>
  <c r="O16" i="19"/>
  <c r="J175" i="19" s="1"/>
  <c r="B4" i="19"/>
  <c r="D223" i="19"/>
  <c r="D231" i="19"/>
  <c r="O26" i="19"/>
  <c r="P347" i="19"/>
  <c r="P403" i="19" s="1"/>
  <c r="P436" i="19" s="1"/>
  <c r="P26" i="19"/>
  <c r="P16" i="19"/>
  <c r="K175" i="19" s="1"/>
  <c r="B5" i="19"/>
  <c r="E231" i="19"/>
  <c r="E233" i="17"/>
  <c r="E188" i="17"/>
  <c r="E189" i="17"/>
  <c r="P17" i="17"/>
  <c r="P18" i="17"/>
  <c r="P22" i="17"/>
  <c r="P105" i="17" s="1"/>
  <c r="P401" i="17" s="1"/>
  <c r="P434" i="17" s="1"/>
  <c r="E177" i="17"/>
  <c r="E178" i="17"/>
  <c r="E225" i="17"/>
  <c r="E342" i="17"/>
  <c r="P343" i="17" s="1"/>
  <c r="P412" i="17" s="1"/>
  <c r="P445" i="17" s="1"/>
  <c r="P151" i="17"/>
  <c r="P153" i="17" s="1"/>
  <c r="F164" i="17" s="1"/>
  <c r="P99" i="17"/>
  <c r="P100" i="17" s="1"/>
  <c r="K172" i="17" s="1"/>
  <c r="K176" i="17" s="1"/>
  <c r="P147" i="17"/>
  <c r="E164" i="17" s="1"/>
  <c r="P157" i="17"/>
  <c r="P159" i="17" s="1"/>
  <c r="G164" i="17" s="1"/>
  <c r="O179" i="18"/>
  <c r="O19" i="18"/>
  <c r="O190" i="18"/>
  <c r="O226" i="18"/>
  <c r="O227" i="18" s="1"/>
  <c r="F252" i="18" s="1"/>
  <c r="O96" i="18"/>
  <c r="O398" i="18" s="1"/>
  <c r="O431" i="18" s="1"/>
  <c r="O35" i="18"/>
  <c r="O37" i="18" s="1"/>
  <c r="F166" i="18"/>
  <c r="O108" i="18"/>
  <c r="O399" i="18" s="1"/>
  <c r="O432" i="18" s="1"/>
  <c r="E166" i="18"/>
  <c r="G166" i="18"/>
  <c r="E233" i="18"/>
  <c r="P22" i="18"/>
  <c r="P105" i="18" s="1"/>
  <c r="P401" i="18" s="1"/>
  <c r="P434" i="18" s="1"/>
  <c r="P17" i="18"/>
  <c r="P18" i="18"/>
  <c r="O95" i="18"/>
  <c r="O397" i="18" s="1"/>
  <c r="S554" i="18"/>
  <c r="G555" i="18"/>
  <c r="S555" i="18" s="1"/>
  <c r="S651" i="18" s="1"/>
  <c r="E188" i="18"/>
  <c r="E189" i="18"/>
  <c r="E225" i="18"/>
  <c r="S562" i="19"/>
  <c r="G563" i="19"/>
  <c r="S563" i="19" s="1"/>
  <c r="S652" i="19" s="1"/>
  <c r="S672" i="17"/>
  <c r="F672" i="17"/>
  <c r="S692" i="17"/>
  <c r="D163" i="18"/>
  <c r="O163" i="18" s="1"/>
  <c r="O411" i="18" s="1"/>
  <c r="S554" i="19"/>
  <c r="G555" i="19"/>
  <c r="S555" i="19" s="1"/>
  <c r="S651" i="19" s="1"/>
  <c r="D194" i="18"/>
  <c r="D200" i="18"/>
  <c r="E178" i="18"/>
  <c r="E177" i="18"/>
  <c r="P99" i="18"/>
  <c r="P100" i="18" s="1"/>
  <c r="K172" i="18" s="1"/>
  <c r="K176" i="18" s="1"/>
  <c r="E342" i="18"/>
  <c r="P343" i="18" s="1"/>
  <c r="P412" i="18" s="1"/>
  <c r="P445" i="18" s="1"/>
  <c r="P147" i="18"/>
  <c r="E164" i="18" s="1"/>
  <c r="P157" i="18"/>
  <c r="P159" i="18" s="1"/>
  <c r="G164" i="18" s="1"/>
  <c r="P151" i="18"/>
  <c r="P153" i="18" s="1"/>
  <c r="F164" i="18" s="1"/>
  <c r="O274" i="18"/>
  <c r="K282" i="18" s="1"/>
  <c r="O271" i="18"/>
  <c r="O101" i="18"/>
  <c r="B9" i="18" s="1"/>
  <c r="O273" i="18"/>
  <c r="J282" i="18" s="1"/>
  <c r="O272" i="18"/>
  <c r="O270" i="18"/>
  <c r="E282" i="18" s="1"/>
  <c r="O234" i="18"/>
  <c r="O235" i="18" s="1"/>
  <c r="E252" i="18" s="1"/>
  <c r="S562" i="18"/>
  <c r="G563" i="18"/>
  <c r="S563" i="18" s="1"/>
  <c r="S652" i="18" s="1"/>
  <c r="F671" i="14"/>
  <c r="S691" i="14"/>
  <c r="S671" i="14"/>
  <c r="S692" i="14"/>
  <c r="F672" i="14"/>
  <c r="S672" i="14"/>
  <c r="P398" i="14"/>
  <c r="P431" i="14" s="1"/>
  <c r="O372" i="14"/>
  <c r="O96" i="14"/>
  <c r="O398" i="14" s="1"/>
  <c r="O431" i="14" s="1"/>
  <c r="D200" i="14"/>
  <c r="O95" i="14"/>
  <c r="O397" i="14" s="1"/>
  <c r="O430" i="14" s="1"/>
  <c r="F166" i="14"/>
  <c r="O108" i="14"/>
  <c r="O399" i="14" s="1"/>
  <c r="O432" i="14" s="1"/>
  <c r="O19" i="14"/>
  <c r="O235" i="14"/>
  <c r="E252" i="14" s="1"/>
  <c r="P235" i="14"/>
  <c r="E253" i="14" s="1"/>
  <c r="D167" i="14"/>
  <c r="P166" i="14" s="1"/>
  <c r="O159" i="14"/>
  <c r="G163" i="14" s="1"/>
  <c r="G166" i="14"/>
  <c r="E163" i="14"/>
  <c r="E166" i="14"/>
  <c r="O271" i="14"/>
  <c r="G282" i="14" s="1"/>
  <c r="O272" i="14"/>
  <c r="H282" i="14" s="1"/>
  <c r="O274" i="14"/>
  <c r="K282" i="14" s="1"/>
  <c r="O101" i="14"/>
  <c r="B9" i="14" s="1"/>
  <c r="B11" i="14" s="1"/>
  <c r="O270" i="14"/>
  <c r="E282" i="14" s="1"/>
  <c r="E330" i="14" s="1"/>
  <c r="O227" i="14"/>
  <c r="F252" i="14" s="1"/>
  <c r="O153" i="14"/>
  <c r="F163" i="14" s="1"/>
  <c r="F283" i="14"/>
  <c r="G283" i="14"/>
  <c r="P372" i="14"/>
  <c r="P422" i="14"/>
  <c r="P430" i="14"/>
  <c r="O455" i="14"/>
  <c r="O423" i="14"/>
  <c r="O527" i="14" s="1"/>
  <c r="H283" i="14"/>
  <c r="S282" i="14" s="1"/>
  <c r="I283" i="14"/>
  <c r="E331" i="14"/>
  <c r="D253" i="14" l="1"/>
  <c r="P252" i="14" s="1"/>
  <c r="M283" i="14" s="1"/>
  <c r="D164" i="14"/>
  <c r="P163" i="14" s="1"/>
  <c r="P411" i="14" s="1"/>
  <c r="P444" i="14" s="1"/>
  <c r="O372" i="17"/>
  <c r="H282" i="17"/>
  <c r="P96" i="18"/>
  <c r="P398" i="18" s="1"/>
  <c r="P431" i="18" s="1"/>
  <c r="P96" i="17"/>
  <c r="P398" i="17" s="1"/>
  <c r="P431" i="17" s="1"/>
  <c r="G282" i="17"/>
  <c r="D166" i="17"/>
  <c r="O166" i="17" s="1"/>
  <c r="O111" i="17" s="1"/>
  <c r="O114" i="17" s="1"/>
  <c r="D252" i="17"/>
  <c r="O252" i="17" s="1"/>
  <c r="M282" i="17" s="1"/>
  <c r="M330" i="17" s="1"/>
  <c r="O414" i="17"/>
  <c r="O447" i="17" s="1"/>
  <c r="D9" i="17" s="1"/>
  <c r="D210" i="17"/>
  <c r="O210" i="17" s="1"/>
  <c r="L282" i="17" s="1"/>
  <c r="D211" i="14"/>
  <c r="P210" i="14" s="1"/>
  <c r="L283" i="14" s="1"/>
  <c r="L331" i="14" s="1"/>
  <c r="O191" i="14"/>
  <c r="E210" i="14" s="1"/>
  <c r="O180" i="14"/>
  <c r="F210" i="14" s="1"/>
  <c r="O180" i="18"/>
  <c r="F210" i="18" s="1"/>
  <c r="O191" i="18"/>
  <c r="E210" i="18" s="1"/>
  <c r="E232" i="19"/>
  <c r="E233" i="19"/>
  <c r="E177" i="19"/>
  <c r="E178" i="19"/>
  <c r="E188" i="19"/>
  <c r="E189" i="19"/>
  <c r="D178" i="19"/>
  <c r="D177" i="19"/>
  <c r="E225" i="19"/>
  <c r="E224" i="19"/>
  <c r="O389" i="18"/>
  <c r="O760" i="18"/>
  <c r="O761" i="18" s="1"/>
  <c r="O530" i="18"/>
  <c r="O424" i="18"/>
  <c r="P384" i="18"/>
  <c r="P385" i="18"/>
  <c r="P388" i="18"/>
  <c r="B6" i="19"/>
  <c r="E342" i="19"/>
  <c r="P343" i="19" s="1"/>
  <c r="P412" i="19" s="1"/>
  <c r="P445" i="19" s="1"/>
  <c r="P99" i="19"/>
  <c r="P100" i="19" s="1"/>
  <c r="K172" i="19" s="1"/>
  <c r="K176" i="19" s="1"/>
  <c r="P147" i="19"/>
  <c r="E164" i="19" s="1"/>
  <c r="P157" i="19"/>
  <c r="P159" i="19" s="1"/>
  <c r="G164" i="19" s="1"/>
  <c r="P151" i="19"/>
  <c r="P153" i="19" s="1"/>
  <c r="F164" i="19" s="1"/>
  <c r="D232" i="19"/>
  <c r="D233" i="19"/>
  <c r="D188" i="19"/>
  <c r="D189" i="19"/>
  <c r="D342" i="19"/>
  <c r="O343" i="19" s="1"/>
  <c r="O412" i="19" s="1"/>
  <c r="O445" i="19" s="1"/>
  <c r="O99" i="19"/>
  <c r="O100" i="19" s="1"/>
  <c r="J172" i="19" s="1"/>
  <c r="J176" i="19" s="1"/>
  <c r="O151" i="19"/>
  <c r="O153" i="19" s="1"/>
  <c r="F163" i="19" s="1"/>
  <c r="O157" i="19"/>
  <c r="O159" i="19" s="1"/>
  <c r="G163" i="19" s="1"/>
  <c r="O147" i="19"/>
  <c r="E163" i="19" s="1"/>
  <c r="O22" i="19"/>
  <c r="O105" i="19" s="1"/>
  <c r="O401" i="19" s="1"/>
  <c r="O434" i="19" s="1"/>
  <c r="O18" i="19"/>
  <c r="O17" i="19"/>
  <c r="P18" i="19"/>
  <c r="P17" i="19"/>
  <c r="E194" i="19" s="1"/>
  <c r="P22" i="19"/>
  <c r="P105" i="19" s="1"/>
  <c r="P401" i="19" s="1"/>
  <c r="P434" i="19" s="1"/>
  <c r="D224" i="19"/>
  <c r="D225" i="19"/>
  <c r="D164" i="17"/>
  <c r="P163" i="17" s="1"/>
  <c r="P411" i="17" s="1"/>
  <c r="P444" i="17" s="1"/>
  <c r="P226" i="17"/>
  <c r="P227" i="17" s="1"/>
  <c r="F253" i="17" s="1"/>
  <c r="P190" i="17"/>
  <c r="P191" i="17" s="1"/>
  <c r="P179" i="17"/>
  <c r="P180" i="17" s="1"/>
  <c r="F211" i="17" s="1"/>
  <c r="P234" i="17"/>
  <c r="P235" i="17" s="1"/>
  <c r="E253" i="17" s="1"/>
  <c r="P270" i="17"/>
  <c r="E283" i="17" s="1"/>
  <c r="E331" i="17" s="1"/>
  <c r="P273" i="17"/>
  <c r="J283" i="17" s="1"/>
  <c r="P271" i="17"/>
  <c r="P274" i="17"/>
  <c r="K283" i="17" s="1"/>
  <c r="P272" i="17"/>
  <c r="P101" i="17"/>
  <c r="B10" i="17" s="1"/>
  <c r="B11" i="17" s="1"/>
  <c r="E167" i="17"/>
  <c r="P35" i="17"/>
  <c r="P37" i="17" s="1"/>
  <c r="F167" i="17"/>
  <c r="P108" i="17"/>
  <c r="P399" i="17" s="1"/>
  <c r="P432" i="17" s="1"/>
  <c r="G167" i="17"/>
  <c r="E194" i="17"/>
  <c r="E200" i="17"/>
  <c r="P19" i="17"/>
  <c r="P95" i="17"/>
  <c r="P397" i="17" s="1"/>
  <c r="P430" i="17" s="1"/>
  <c r="D166" i="18"/>
  <c r="O166" i="18" s="1"/>
  <c r="O111" i="18" s="1"/>
  <c r="O114" i="18" s="1"/>
  <c r="P19" i="18"/>
  <c r="D252" i="18"/>
  <c r="P179" i="18"/>
  <c r="P180" i="18" s="1"/>
  <c r="P226" i="18"/>
  <c r="P227" i="18" s="1"/>
  <c r="F253" i="18" s="1"/>
  <c r="P274" i="18"/>
  <c r="K283" i="18" s="1"/>
  <c r="P270" i="18"/>
  <c r="E283" i="18" s="1"/>
  <c r="P101" i="18"/>
  <c r="B10" i="18" s="1"/>
  <c r="B11" i="18" s="1"/>
  <c r="P271" i="18"/>
  <c r="P272" i="18"/>
  <c r="P273" i="18"/>
  <c r="J283" i="18" s="1"/>
  <c r="S691" i="18"/>
  <c r="S671" i="18"/>
  <c r="F671" i="18"/>
  <c r="O423" i="17"/>
  <c r="O455" i="17"/>
  <c r="P190" i="18"/>
  <c r="E330" i="18"/>
  <c r="D164" i="18"/>
  <c r="P163" i="18" s="1"/>
  <c r="P411" i="18" s="1"/>
  <c r="S671" i="19"/>
  <c r="S691" i="19"/>
  <c r="F671" i="19"/>
  <c r="F672" i="19"/>
  <c r="S692" i="19"/>
  <c r="S672" i="19"/>
  <c r="P234" i="18"/>
  <c r="P235" i="18" s="1"/>
  <c r="E253" i="18" s="1"/>
  <c r="O422" i="18"/>
  <c r="O372" i="18"/>
  <c r="O430" i="17"/>
  <c r="P759" i="17"/>
  <c r="E194" i="18"/>
  <c r="E200" i="18"/>
  <c r="S672" i="18"/>
  <c r="S692" i="18"/>
  <c r="F672" i="18"/>
  <c r="I282" i="18"/>
  <c r="H282" i="18"/>
  <c r="G282" i="18"/>
  <c r="F282" i="18"/>
  <c r="P95" i="18"/>
  <c r="P397" i="18" s="1"/>
  <c r="O414" i="18"/>
  <c r="O444" i="18"/>
  <c r="O430" i="18"/>
  <c r="F167" i="18"/>
  <c r="P35" i="18"/>
  <c r="P37" i="18" s="1"/>
  <c r="P108" i="18"/>
  <c r="P399" i="18" s="1"/>
  <c r="P432" i="18" s="1"/>
  <c r="E167" i="18"/>
  <c r="G167" i="18"/>
  <c r="F282" i="14"/>
  <c r="I282" i="14"/>
  <c r="D163" i="14"/>
  <c r="O163" i="14" s="1"/>
  <c r="O411" i="14" s="1"/>
  <c r="O414" i="14" s="1"/>
  <c r="O467" i="14" s="1"/>
  <c r="O469" i="14" s="1"/>
  <c r="O484" i="14" s="1"/>
  <c r="G9" i="14" s="1"/>
  <c r="D166" i="14"/>
  <c r="O166" i="14" s="1"/>
  <c r="O400" i="14" s="1"/>
  <c r="O433" i="14" s="1"/>
  <c r="D252" i="14"/>
  <c r="R631" i="14"/>
  <c r="R632" i="14" s="1"/>
  <c r="R633" i="14" s="1"/>
  <c r="R634" i="14" s="1"/>
  <c r="R663" i="14" s="1"/>
  <c r="R624" i="14"/>
  <c r="R625" i="14" s="1"/>
  <c r="R626" i="14" s="1"/>
  <c r="R627" i="14" s="1"/>
  <c r="R662" i="14" s="1"/>
  <c r="R617" i="14"/>
  <c r="R618" i="14" s="1"/>
  <c r="R619" i="14" s="1"/>
  <c r="R620" i="14" s="1"/>
  <c r="R661" i="14" s="1"/>
  <c r="R603" i="14"/>
  <c r="R604" i="14" s="1"/>
  <c r="R605" i="14" s="1"/>
  <c r="R606" i="14" s="1"/>
  <c r="R659" i="14" s="1"/>
  <c r="R638" i="14"/>
  <c r="R639" i="14" s="1"/>
  <c r="R640" i="14" s="1"/>
  <c r="R641" i="14" s="1"/>
  <c r="R664" i="14" s="1"/>
  <c r="R610" i="14"/>
  <c r="R611" i="14" s="1"/>
  <c r="R612" i="14" s="1"/>
  <c r="R613" i="14" s="1"/>
  <c r="R660" i="14" s="1"/>
  <c r="O456" i="14"/>
  <c r="I9" i="14" s="1"/>
  <c r="O503" i="14"/>
  <c r="O518" i="14" s="1"/>
  <c r="O472" i="14"/>
  <c r="O487" i="14" s="1"/>
  <c r="P455" i="14"/>
  <c r="P423" i="14"/>
  <c r="P527" i="14" s="1"/>
  <c r="M331" i="14"/>
  <c r="P111" i="14"/>
  <c r="P114" i="14" s="1"/>
  <c r="P400" i="14"/>
  <c r="P414" i="14" l="1"/>
  <c r="P447" i="14" s="1"/>
  <c r="D10" i="14" s="1"/>
  <c r="O400" i="17"/>
  <c r="O433" i="17" s="1"/>
  <c r="O417" i="17"/>
  <c r="O415" i="17" s="1"/>
  <c r="O448" i="17" s="1"/>
  <c r="D210" i="18"/>
  <c r="O210" i="18" s="1"/>
  <c r="L282" i="18" s="1"/>
  <c r="L330" i="18" s="1"/>
  <c r="O467" i="17"/>
  <c r="O498" i="17" s="1"/>
  <c r="P96" i="19"/>
  <c r="P398" i="19" s="1"/>
  <c r="P431" i="19" s="1"/>
  <c r="D283" i="14"/>
  <c r="P282" i="14" s="1"/>
  <c r="R282" i="14" s="1"/>
  <c r="S624" i="14" s="1"/>
  <c r="S625" i="14" s="1"/>
  <c r="S626" i="14" s="1"/>
  <c r="S627" i="14" s="1"/>
  <c r="S662" i="14" s="1"/>
  <c r="D331" i="14"/>
  <c r="P331" i="14" s="1"/>
  <c r="D210" i="14"/>
  <c r="O210" i="14" s="1"/>
  <c r="L282" i="14" s="1"/>
  <c r="E211" i="17"/>
  <c r="D211" i="17" s="1"/>
  <c r="P210" i="17" s="1"/>
  <c r="L283" i="17" s="1"/>
  <c r="L331" i="17" s="1"/>
  <c r="F211" i="18"/>
  <c r="P191" i="18"/>
  <c r="E211" i="18" s="1"/>
  <c r="P760" i="18"/>
  <c r="P530" i="18"/>
  <c r="O504" i="18"/>
  <c r="O473" i="18"/>
  <c r="O457" i="18"/>
  <c r="K9" i="18" s="1"/>
  <c r="O425" i="18"/>
  <c r="O531" i="18"/>
  <c r="P384" i="19"/>
  <c r="P385" i="19"/>
  <c r="P388" i="19"/>
  <c r="O388" i="19"/>
  <c r="O384" i="19"/>
  <c r="O385" i="19"/>
  <c r="O759" i="17"/>
  <c r="O374" i="17"/>
  <c r="O400" i="18"/>
  <c r="O433" i="18" s="1"/>
  <c r="O252" i="18"/>
  <c r="M282" i="18" s="1"/>
  <c r="M330" i="18" s="1"/>
  <c r="L330" i="17"/>
  <c r="D330" i="17" s="1"/>
  <c r="O331" i="17" s="1"/>
  <c r="D282" i="17"/>
  <c r="O282" i="17" s="1"/>
  <c r="O226" i="19"/>
  <c r="O227" i="19" s="1"/>
  <c r="F252" i="19" s="1"/>
  <c r="D163" i="19"/>
  <c r="O163" i="19" s="1"/>
  <c r="O411" i="19" s="1"/>
  <c r="O252" i="14"/>
  <c r="M282" i="14" s="1"/>
  <c r="M330" i="14" s="1"/>
  <c r="P414" i="17"/>
  <c r="P417" i="17" s="1"/>
  <c r="P374" i="17" s="1"/>
  <c r="O179" i="19"/>
  <c r="P19" i="19"/>
  <c r="P95" i="19"/>
  <c r="P397" i="19" s="1"/>
  <c r="P430" i="19" s="1"/>
  <c r="E200" i="19"/>
  <c r="D194" i="19"/>
  <c r="D200" i="19"/>
  <c r="O96" i="19"/>
  <c r="O398" i="19" s="1"/>
  <c r="O431" i="19" s="1"/>
  <c r="O95" i="19"/>
  <c r="O397" i="19" s="1"/>
  <c r="O430" i="19" s="1"/>
  <c r="O19" i="19"/>
  <c r="P234" i="19"/>
  <c r="P235" i="19" s="1"/>
  <c r="E253" i="19" s="1"/>
  <c r="O190" i="19"/>
  <c r="P190" i="19"/>
  <c r="P191" i="19" s="1"/>
  <c r="E211" i="19" s="1"/>
  <c r="D164" i="19"/>
  <c r="P163" i="19" s="1"/>
  <c r="P411" i="19" s="1"/>
  <c r="E167" i="19"/>
  <c r="P108" i="19"/>
  <c r="P399" i="19" s="1"/>
  <c r="P432" i="19" s="1"/>
  <c r="G167" i="19"/>
  <c r="F167" i="19"/>
  <c r="P35" i="19"/>
  <c r="P37" i="19" s="1"/>
  <c r="G166" i="19"/>
  <c r="O108" i="19"/>
  <c r="O399" i="19" s="1"/>
  <c r="O432" i="19" s="1"/>
  <c r="E166" i="19"/>
  <c r="O35" i="19"/>
  <c r="O37" i="19" s="1"/>
  <c r="F166" i="19"/>
  <c r="P270" i="19"/>
  <c r="E283" i="19" s="1"/>
  <c r="E331" i="19" s="1"/>
  <c r="P101" i="19"/>
  <c r="B10" i="19" s="1"/>
  <c r="P272" i="19"/>
  <c r="P274" i="19"/>
  <c r="K283" i="19" s="1"/>
  <c r="P271" i="19"/>
  <c r="P273" i="19"/>
  <c r="J283" i="19" s="1"/>
  <c r="P179" i="19"/>
  <c r="O273" i="19"/>
  <c r="J282" i="19" s="1"/>
  <c r="O272" i="19"/>
  <c r="O274" i="19"/>
  <c r="K282" i="19" s="1"/>
  <c r="O101" i="19"/>
  <c r="B9" i="19" s="1"/>
  <c r="O271" i="19"/>
  <c r="O270" i="19"/>
  <c r="E282" i="19" s="1"/>
  <c r="E330" i="19" s="1"/>
  <c r="P226" i="19"/>
  <c r="P227" i="19" s="1"/>
  <c r="F253" i="19" s="1"/>
  <c r="O234" i="19"/>
  <c r="O235" i="19" s="1"/>
  <c r="E252" i="19" s="1"/>
  <c r="D167" i="17"/>
  <c r="P166" i="17" s="1"/>
  <c r="P372" i="17"/>
  <c r="P422" i="17"/>
  <c r="D253" i="17"/>
  <c r="P252" i="17" s="1"/>
  <c r="M283" i="17" s="1"/>
  <c r="M331" i="17" s="1"/>
  <c r="G283" i="17"/>
  <c r="F283" i="17"/>
  <c r="H283" i="17"/>
  <c r="S282" i="17" s="1"/>
  <c r="I283" i="17"/>
  <c r="P372" i="18"/>
  <c r="P379" i="18" s="1"/>
  <c r="P380" i="18" s="1"/>
  <c r="P422" i="18"/>
  <c r="O455" i="18"/>
  <c r="O423" i="18"/>
  <c r="H283" i="18"/>
  <c r="S282" i="18" s="1"/>
  <c r="I283" i="18"/>
  <c r="P430" i="18"/>
  <c r="F283" i="18"/>
  <c r="G283" i="18"/>
  <c r="D167" i="18"/>
  <c r="P166" i="18" s="1"/>
  <c r="D253" i="18"/>
  <c r="P252" i="18" s="1"/>
  <c r="M283" i="18" s="1"/>
  <c r="M331" i="18" s="1"/>
  <c r="P414" i="18"/>
  <c r="P444" i="18"/>
  <c r="O447" i="18"/>
  <c r="D9" i="18" s="1"/>
  <c r="O467" i="18"/>
  <c r="O527" i="17"/>
  <c r="R527" i="17" s="1"/>
  <c r="O456" i="17"/>
  <c r="I9" i="17" s="1"/>
  <c r="O472" i="17"/>
  <c r="O487" i="17" s="1"/>
  <c r="O503" i="17"/>
  <c r="O518" i="17" s="1"/>
  <c r="E331" i="18"/>
  <c r="O402" i="14"/>
  <c r="O435" i="14" s="1"/>
  <c r="C4" i="14" s="1"/>
  <c r="O498" i="14"/>
  <c r="O500" i="14" s="1"/>
  <c r="O111" i="14"/>
  <c r="O114" i="14" s="1"/>
  <c r="O447" i="14"/>
  <c r="D9" i="14" s="1"/>
  <c r="O482" i="14"/>
  <c r="O444" i="14"/>
  <c r="O417" i="14"/>
  <c r="O759" i="14" s="1"/>
  <c r="S584" i="14"/>
  <c r="S585" i="14" s="1"/>
  <c r="S586" i="14" s="1"/>
  <c r="S587" i="14" s="1"/>
  <c r="S656" i="14" s="1"/>
  <c r="E680" i="14"/>
  <c r="R700" i="14"/>
  <c r="R680" i="14"/>
  <c r="R684" i="14"/>
  <c r="E684" i="14"/>
  <c r="R704" i="14"/>
  <c r="R703" i="14"/>
  <c r="E683" i="14"/>
  <c r="R683" i="14"/>
  <c r="P472" i="14"/>
  <c r="P487" i="14" s="1"/>
  <c r="P456" i="14"/>
  <c r="I10" i="14" s="1"/>
  <c r="I11" i="14" s="1"/>
  <c r="P503" i="14"/>
  <c r="P518" i="14" s="1"/>
  <c r="R679" i="14"/>
  <c r="R665" i="14"/>
  <c r="E679" i="14"/>
  <c r="R699" i="14"/>
  <c r="P467" i="14"/>
  <c r="P417" i="14"/>
  <c r="P759" i="14" s="1"/>
  <c r="R682" i="14"/>
  <c r="E682" i="14"/>
  <c r="R702" i="14"/>
  <c r="P433" i="14"/>
  <c r="P402" i="14"/>
  <c r="E681" i="14"/>
  <c r="R701" i="14"/>
  <c r="R681" i="14"/>
  <c r="O450" i="17" l="1"/>
  <c r="F9" i="17" s="1"/>
  <c r="O402" i="17"/>
  <c r="O435" i="17" s="1"/>
  <c r="C4" i="17" s="1"/>
  <c r="P467" i="17"/>
  <c r="P469" i="17" s="1"/>
  <c r="P484" i="17" s="1"/>
  <c r="G10" i="17" s="1"/>
  <c r="O482" i="17"/>
  <c r="S631" i="14"/>
  <c r="S632" i="14" s="1"/>
  <c r="S633" i="14" s="1"/>
  <c r="S634" i="14" s="1"/>
  <c r="S663" i="14" s="1"/>
  <c r="S703" i="14" s="1"/>
  <c r="S617" i="14"/>
  <c r="S618" i="14" s="1"/>
  <c r="S619" i="14" s="1"/>
  <c r="S620" i="14" s="1"/>
  <c r="S661" i="14" s="1"/>
  <c r="S681" i="14" s="1"/>
  <c r="S638" i="14"/>
  <c r="S639" i="14" s="1"/>
  <c r="S640" i="14" s="1"/>
  <c r="S641" i="14" s="1"/>
  <c r="S664" i="14" s="1"/>
  <c r="F684" i="14" s="1"/>
  <c r="S603" i="14"/>
  <c r="S604" i="14" s="1"/>
  <c r="S605" i="14" s="1"/>
  <c r="S606" i="14" s="1"/>
  <c r="S659" i="14" s="1"/>
  <c r="S699" i="14" s="1"/>
  <c r="S610" i="14"/>
  <c r="S611" i="14" s="1"/>
  <c r="S612" i="14" s="1"/>
  <c r="S613" i="14" s="1"/>
  <c r="S660" i="14" s="1"/>
  <c r="F680" i="14" s="1"/>
  <c r="O469" i="17"/>
  <c r="O484" i="17" s="1"/>
  <c r="G9" i="17" s="1"/>
  <c r="D211" i="18"/>
  <c r="P210" i="18" s="1"/>
  <c r="L283" i="18" s="1"/>
  <c r="L331" i="18" s="1"/>
  <c r="D331" i="18" s="1"/>
  <c r="P331" i="18" s="1"/>
  <c r="O402" i="18"/>
  <c r="O418" i="18" s="1"/>
  <c r="O451" i="18" s="1"/>
  <c r="I4" i="18" s="1"/>
  <c r="O191" i="19"/>
  <c r="E210" i="19" s="1"/>
  <c r="O180" i="19"/>
  <c r="F210" i="19" s="1"/>
  <c r="P180" i="19"/>
  <c r="F211" i="19" s="1"/>
  <c r="D211" i="19" s="1"/>
  <c r="P210" i="19" s="1"/>
  <c r="L283" i="19" s="1"/>
  <c r="L331" i="19" s="1"/>
  <c r="P447" i="17"/>
  <c r="D10" i="17" s="1"/>
  <c r="D11" i="17" s="1"/>
  <c r="P377" i="17"/>
  <c r="P378" i="17" s="1"/>
  <c r="P381" i="17" s="1"/>
  <c r="O519" i="18"/>
  <c r="O458" i="18"/>
  <c r="O474" i="18"/>
  <c r="O489" i="18" s="1"/>
  <c r="O488" i="18"/>
  <c r="P389" i="18"/>
  <c r="O389" i="19"/>
  <c r="O760" i="19"/>
  <c r="O761" i="19" s="1"/>
  <c r="O530" i="19"/>
  <c r="O424" i="19"/>
  <c r="P760" i="19"/>
  <c r="P530" i="19"/>
  <c r="D252" i="19"/>
  <c r="O252" i="19" s="1"/>
  <c r="M282" i="19" s="1"/>
  <c r="M330" i="19" s="1"/>
  <c r="D330" i="18"/>
  <c r="O331" i="18" s="1"/>
  <c r="D282" i="18"/>
  <c r="O282" i="18" s="1"/>
  <c r="O414" i="19"/>
  <c r="O444" i="19"/>
  <c r="L330" i="14"/>
  <c r="D330" i="14" s="1"/>
  <c r="O331" i="14" s="1"/>
  <c r="D282" i="14"/>
  <c r="O282" i="14" s="1"/>
  <c r="I282" i="19"/>
  <c r="H282" i="19"/>
  <c r="B11" i="19"/>
  <c r="P422" i="19"/>
  <c r="P372" i="19"/>
  <c r="P379" i="19" s="1"/>
  <c r="P380" i="19" s="1"/>
  <c r="O372" i="19"/>
  <c r="O422" i="19"/>
  <c r="P444" i="19"/>
  <c r="P414" i="19"/>
  <c r="G283" i="19"/>
  <c r="F283" i="19"/>
  <c r="H283" i="19"/>
  <c r="S282" i="19" s="1"/>
  <c r="I283" i="19"/>
  <c r="D253" i="19"/>
  <c r="P252" i="19" s="1"/>
  <c r="M283" i="19" s="1"/>
  <c r="M331" i="19" s="1"/>
  <c r="G282" i="19"/>
  <c r="F282" i="19"/>
  <c r="D166" i="19"/>
  <c r="O166" i="19" s="1"/>
  <c r="D167" i="19"/>
  <c r="P166" i="19" s="1"/>
  <c r="R603" i="17"/>
  <c r="R604" i="17" s="1"/>
  <c r="R605" i="17" s="1"/>
  <c r="R606" i="17" s="1"/>
  <c r="R659" i="17" s="1"/>
  <c r="R610" i="17"/>
  <c r="R611" i="17" s="1"/>
  <c r="R612" i="17" s="1"/>
  <c r="R613" i="17" s="1"/>
  <c r="R660" i="17" s="1"/>
  <c r="R638" i="17"/>
  <c r="R639" i="17" s="1"/>
  <c r="R640" i="17" s="1"/>
  <c r="R641" i="17" s="1"/>
  <c r="R664" i="17" s="1"/>
  <c r="R631" i="17"/>
  <c r="R632" i="17" s="1"/>
  <c r="R633" i="17" s="1"/>
  <c r="R634" i="17" s="1"/>
  <c r="R663" i="17" s="1"/>
  <c r="R617" i="17"/>
  <c r="R618" i="17" s="1"/>
  <c r="R619" i="17" s="1"/>
  <c r="R620" i="17" s="1"/>
  <c r="R661" i="17" s="1"/>
  <c r="R624" i="17"/>
  <c r="R625" i="17" s="1"/>
  <c r="R626" i="17" s="1"/>
  <c r="R627" i="17" s="1"/>
  <c r="R662" i="17" s="1"/>
  <c r="P423" i="17"/>
  <c r="P455" i="17"/>
  <c r="P111" i="17"/>
  <c r="P114" i="17" s="1"/>
  <c r="P400" i="17"/>
  <c r="D283" i="17"/>
  <c r="P282" i="17" s="1"/>
  <c r="R282" i="17" s="1"/>
  <c r="D331" i="17"/>
  <c r="P331" i="17" s="1"/>
  <c r="P415" i="17"/>
  <c r="P448" i="17" s="1"/>
  <c r="P450" i="17"/>
  <c r="F10" i="17" s="1"/>
  <c r="O435" i="18"/>
  <c r="C4" i="18" s="1"/>
  <c r="P447" i="18"/>
  <c r="D10" i="18" s="1"/>
  <c r="D11" i="18" s="1"/>
  <c r="P467" i="18"/>
  <c r="P758" i="18"/>
  <c r="P761" i="18" s="1"/>
  <c r="F762" i="18" s="1"/>
  <c r="F763" i="18" s="1"/>
  <c r="P528" i="18"/>
  <c r="P529" i="18"/>
  <c r="O513" i="17"/>
  <c r="O500" i="17"/>
  <c r="O515" i="17" s="1"/>
  <c r="O498" i="18"/>
  <c r="O482" i="18"/>
  <c r="P111" i="18"/>
  <c r="P114" i="18" s="1"/>
  <c r="P400" i="18"/>
  <c r="R603" i="18"/>
  <c r="R604" i="18" s="1"/>
  <c r="R605" i="18" s="1"/>
  <c r="R606" i="18" s="1"/>
  <c r="R659" i="18" s="1"/>
  <c r="R617" i="18"/>
  <c r="R618" i="18" s="1"/>
  <c r="R619" i="18" s="1"/>
  <c r="R620" i="18" s="1"/>
  <c r="R661" i="18" s="1"/>
  <c r="R638" i="18"/>
  <c r="R639" i="18" s="1"/>
  <c r="R640" i="18" s="1"/>
  <c r="R641" i="18" s="1"/>
  <c r="R664" i="18" s="1"/>
  <c r="R624" i="18"/>
  <c r="R625" i="18" s="1"/>
  <c r="R626" i="18" s="1"/>
  <c r="R627" i="18" s="1"/>
  <c r="R662" i="18" s="1"/>
  <c r="R631" i="18"/>
  <c r="R632" i="18" s="1"/>
  <c r="R633" i="18" s="1"/>
  <c r="R634" i="18" s="1"/>
  <c r="R663" i="18" s="1"/>
  <c r="R610" i="18"/>
  <c r="R611" i="18" s="1"/>
  <c r="R612" i="18" s="1"/>
  <c r="R613" i="18" s="1"/>
  <c r="R660" i="18" s="1"/>
  <c r="O527" i="18"/>
  <c r="O503" i="18"/>
  <c r="O518" i="18" s="1"/>
  <c r="O472" i="18"/>
  <c r="O487" i="18" s="1"/>
  <c r="O456" i="18"/>
  <c r="I9" i="18" s="1"/>
  <c r="P455" i="18"/>
  <c r="P423" i="18"/>
  <c r="O450" i="14"/>
  <c r="F9" i="14" s="1"/>
  <c r="O374" i="14"/>
  <c r="O377" i="14" s="1"/>
  <c r="O378" i="14" s="1"/>
  <c r="O381" i="14" s="1"/>
  <c r="O386" i="14" s="1"/>
  <c r="D11" i="14"/>
  <c r="O515" i="14"/>
  <c r="O418" i="14"/>
  <c r="O451" i="14" s="1"/>
  <c r="I4" i="14" s="1"/>
  <c r="O513" i="14"/>
  <c r="O415" i="14"/>
  <c r="O448" i="14" s="1"/>
  <c r="E685" i="14"/>
  <c r="P498" i="14"/>
  <c r="P482" i="14"/>
  <c r="P469" i="14"/>
  <c r="P484" i="14" s="1"/>
  <c r="G10" i="14" s="1"/>
  <c r="G11" i="14" s="1"/>
  <c r="R685" i="14"/>
  <c r="P418" i="14"/>
  <c r="P451" i="14" s="1"/>
  <c r="I5" i="14" s="1"/>
  <c r="P435" i="14"/>
  <c r="C5" i="14" s="1"/>
  <c r="C6" i="14" s="1"/>
  <c r="P374" i="14"/>
  <c r="P377" i="14" s="1"/>
  <c r="P415" i="14"/>
  <c r="P448" i="14" s="1"/>
  <c r="P450" i="14"/>
  <c r="F10" i="14" s="1"/>
  <c r="R705" i="14"/>
  <c r="S702" i="14"/>
  <c r="F682" i="14"/>
  <c r="S682" i="14"/>
  <c r="F676" i="14"/>
  <c r="S696" i="14"/>
  <c r="S676" i="14"/>
  <c r="F11" i="17" l="1"/>
  <c r="P482" i="17"/>
  <c r="P498" i="17"/>
  <c r="P513" i="17" s="1"/>
  <c r="O418" i="17"/>
  <c r="O451" i="17" s="1"/>
  <c r="I4" i="17" s="1"/>
  <c r="F683" i="14"/>
  <c r="S683" i="14"/>
  <c r="D283" i="18"/>
  <c r="P282" i="18" s="1"/>
  <c r="R282" i="18" s="1"/>
  <c r="S610" i="18" s="1"/>
  <c r="S611" i="18" s="1"/>
  <c r="S612" i="18" s="1"/>
  <c r="S613" i="18" s="1"/>
  <c r="S660" i="18" s="1"/>
  <c r="S680" i="18" s="1"/>
  <c r="S704" i="14"/>
  <c r="S701" i="14"/>
  <c r="F681" i="14"/>
  <c r="F679" i="14"/>
  <c r="S684" i="14"/>
  <c r="S679" i="14"/>
  <c r="S665" i="14"/>
  <c r="N9" i="14" s="1"/>
  <c r="S680" i="14"/>
  <c r="S700" i="14"/>
  <c r="G11" i="17"/>
  <c r="D210" i="19"/>
  <c r="O210" i="19" s="1"/>
  <c r="L282" i="19" s="1"/>
  <c r="L330" i="19" s="1"/>
  <c r="D330" i="19" s="1"/>
  <c r="O331" i="19" s="1"/>
  <c r="O475" i="18"/>
  <c r="O490" i="18" s="1"/>
  <c r="P379" i="17"/>
  <c r="P425" i="18"/>
  <c r="P531" i="18"/>
  <c r="O505" i="18"/>
  <c r="L9" i="18"/>
  <c r="O473" i="19"/>
  <c r="O504" i="19"/>
  <c r="O457" i="19"/>
  <c r="K9" i="19" s="1"/>
  <c r="P389" i="19"/>
  <c r="O531" i="19"/>
  <c r="O425" i="19"/>
  <c r="I6" i="14"/>
  <c r="O447" i="19"/>
  <c r="D9" i="19" s="1"/>
  <c r="O467" i="19"/>
  <c r="O111" i="19"/>
  <c r="O114" i="19" s="1"/>
  <c r="O400" i="19"/>
  <c r="D283" i="19"/>
  <c r="P282" i="19" s="1"/>
  <c r="R282" i="19" s="1"/>
  <c r="P447" i="19"/>
  <c r="D10" i="19" s="1"/>
  <c r="P467" i="19"/>
  <c r="P528" i="19"/>
  <c r="P529" i="19"/>
  <c r="P758" i="19"/>
  <c r="P761" i="19" s="1"/>
  <c r="F762" i="19" s="1"/>
  <c r="F763" i="19" s="1"/>
  <c r="D331" i="19"/>
  <c r="P331" i="19" s="1"/>
  <c r="O455" i="19"/>
  <c r="O423" i="19"/>
  <c r="P455" i="19"/>
  <c r="P423" i="19"/>
  <c r="P111" i="19"/>
  <c r="P114" i="19" s="1"/>
  <c r="P400" i="19"/>
  <c r="R617" i="19"/>
  <c r="R618" i="19" s="1"/>
  <c r="R619" i="19" s="1"/>
  <c r="R620" i="19" s="1"/>
  <c r="R661" i="19" s="1"/>
  <c r="R624" i="19"/>
  <c r="R625" i="19" s="1"/>
  <c r="R626" i="19" s="1"/>
  <c r="R627" i="19" s="1"/>
  <c r="R662" i="19" s="1"/>
  <c r="R610" i="19"/>
  <c r="R611" i="19" s="1"/>
  <c r="R612" i="19" s="1"/>
  <c r="R613" i="19" s="1"/>
  <c r="R660" i="19" s="1"/>
  <c r="R638" i="19"/>
  <c r="R639" i="19" s="1"/>
  <c r="R640" i="19" s="1"/>
  <c r="R641" i="19" s="1"/>
  <c r="R664" i="19" s="1"/>
  <c r="R603" i="19"/>
  <c r="R604" i="19" s="1"/>
  <c r="R605" i="19" s="1"/>
  <c r="R606" i="19" s="1"/>
  <c r="R659" i="19" s="1"/>
  <c r="R631" i="19"/>
  <c r="R632" i="19" s="1"/>
  <c r="R633" i="19" s="1"/>
  <c r="R634" i="19" s="1"/>
  <c r="R663" i="19" s="1"/>
  <c r="P433" i="17"/>
  <c r="P402" i="17"/>
  <c r="R682" i="17"/>
  <c r="E682" i="17"/>
  <c r="R702" i="17"/>
  <c r="R700" i="17"/>
  <c r="E680" i="17"/>
  <c r="R680" i="17"/>
  <c r="E681" i="17"/>
  <c r="R701" i="17"/>
  <c r="R681" i="17"/>
  <c r="R665" i="17"/>
  <c r="R679" i="17"/>
  <c r="E679" i="17"/>
  <c r="R699" i="17"/>
  <c r="R683" i="17"/>
  <c r="E683" i="17"/>
  <c r="R703" i="17"/>
  <c r="S624" i="17"/>
  <c r="S625" i="17" s="1"/>
  <c r="S626" i="17" s="1"/>
  <c r="S627" i="17" s="1"/>
  <c r="S662" i="17" s="1"/>
  <c r="S638" i="17"/>
  <c r="S639" i="17" s="1"/>
  <c r="S640" i="17" s="1"/>
  <c r="S641" i="17" s="1"/>
  <c r="S664" i="17" s="1"/>
  <c r="S617" i="17"/>
  <c r="S618" i="17" s="1"/>
  <c r="S619" i="17" s="1"/>
  <c r="S620" i="17" s="1"/>
  <c r="S661" i="17" s="1"/>
  <c r="S610" i="17"/>
  <c r="S611" i="17" s="1"/>
  <c r="S612" i="17" s="1"/>
  <c r="S613" i="17" s="1"/>
  <c r="S660" i="17" s="1"/>
  <c r="S631" i="17"/>
  <c r="S632" i="17" s="1"/>
  <c r="S633" i="17" s="1"/>
  <c r="S634" i="17" s="1"/>
  <c r="S663" i="17" s="1"/>
  <c r="S603" i="17"/>
  <c r="S604" i="17" s="1"/>
  <c r="S605" i="17" s="1"/>
  <c r="S606" i="17" s="1"/>
  <c r="S659" i="17" s="1"/>
  <c r="P527" i="17"/>
  <c r="P456" i="17"/>
  <c r="I10" i="17" s="1"/>
  <c r="I11" i="17" s="1"/>
  <c r="P503" i="17"/>
  <c r="P518" i="17" s="1"/>
  <c r="P472" i="17"/>
  <c r="P487" i="17" s="1"/>
  <c r="E684" i="17"/>
  <c r="R684" i="17"/>
  <c r="R704" i="17"/>
  <c r="P424" i="18"/>
  <c r="P457" i="18" s="1"/>
  <c r="K10" i="18" s="1"/>
  <c r="K11" i="18" s="1"/>
  <c r="R704" i="18"/>
  <c r="E684" i="18"/>
  <c r="R684" i="18"/>
  <c r="E680" i="18"/>
  <c r="R700" i="18"/>
  <c r="R680" i="18"/>
  <c r="R683" i="18"/>
  <c r="E683" i="18"/>
  <c r="R703" i="18"/>
  <c r="R679" i="18"/>
  <c r="R699" i="18"/>
  <c r="E679" i="18"/>
  <c r="R665" i="18"/>
  <c r="P482" i="18"/>
  <c r="P498" i="18"/>
  <c r="P456" i="18"/>
  <c r="I10" i="18" s="1"/>
  <c r="I11" i="18" s="1"/>
  <c r="P527" i="18"/>
  <c r="P472" i="18"/>
  <c r="P487" i="18" s="1"/>
  <c r="P503" i="18"/>
  <c r="P518" i="18" s="1"/>
  <c r="R701" i="18"/>
  <c r="E681" i="18"/>
  <c r="R681" i="18"/>
  <c r="R702" i="18"/>
  <c r="R682" i="18"/>
  <c r="E682" i="18"/>
  <c r="P433" i="18"/>
  <c r="P402" i="18"/>
  <c r="O513" i="18"/>
  <c r="P757" i="17"/>
  <c r="F11" i="14"/>
  <c r="O379" i="14"/>
  <c r="P378" i="14"/>
  <c r="R724" i="14"/>
  <c r="R723" i="14"/>
  <c r="P513" i="14"/>
  <c r="P500" i="14"/>
  <c r="P500" i="17" l="1"/>
  <c r="P515" i="17" s="1"/>
  <c r="S603" i="18"/>
  <c r="S604" i="18" s="1"/>
  <c r="S605" i="18" s="1"/>
  <c r="S606" i="18" s="1"/>
  <c r="S659" i="18" s="1"/>
  <c r="S699" i="18" s="1"/>
  <c r="S624" i="18"/>
  <c r="S625" i="18" s="1"/>
  <c r="S626" i="18" s="1"/>
  <c r="S627" i="18" s="1"/>
  <c r="S662" i="18" s="1"/>
  <c r="S702" i="18" s="1"/>
  <c r="S700" i="18"/>
  <c r="S617" i="18"/>
  <c r="S618" i="18" s="1"/>
  <c r="S619" i="18" s="1"/>
  <c r="S620" i="18" s="1"/>
  <c r="S661" i="18" s="1"/>
  <c r="F681" i="18" s="1"/>
  <c r="F680" i="18"/>
  <c r="S631" i="18"/>
  <c r="S632" i="18" s="1"/>
  <c r="S633" i="18" s="1"/>
  <c r="S634" i="18" s="1"/>
  <c r="S663" i="18" s="1"/>
  <c r="S703" i="18" s="1"/>
  <c r="S638" i="18"/>
  <c r="S639" i="18" s="1"/>
  <c r="S640" i="18" s="1"/>
  <c r="S641" i="18" s="1"/>
  <c r="S664" i="18" s="1"/>
  <c r="S704" i="18" s="1"/>
  <c r="F685" i="14"/>
  <c r="S705" i="14"/>
  <c r="S710" i="14" s="1"/>
  <c r="P710" i="14" s="1"/>
  <c r="P10" i="14" s="1"/>
  <c r="S685" i="14"/>
  <c r="S717" i="14" s="1"/>
  <c r="P717" i="14" s="1"/>
  <c r="F730" i="14" s="1"/>
  <c r="N10" i="14"/>
  <c r="P758" i="17"/>
  <c r="P380" i="17"/>
  <c r="P528" i="17" s="1"/>
  <c r="P529" i="17"/>
  <c r="P458" i="18"/>
  <c r="P474" i="18"/>
  <c r="P489" i="18" s="1"/>
  <c r="O520" i="18"/>
  <c r="O506" i="18"/>
  <c r="O521" i="18" s="1"/>
  <c r="P425" i="19"/>
  <c r="P531" i="19"/>
  <c r="O458" i="19"/>
  <c r="O474" i="19"/>
  <c r="O489" i="19" s="1"/>
  <c r="O519" i="19"/>
  <c r="O488" i="19"/>
  <c r="S679" i="18"/>
  <c r="D282" i="19"/>
  <c r="O282" i="19" s="1"/>
  <c r="D11" i="19"/>
  <c r="P424" i="19"/>
  <c r="P457" i="19" s="1"/>
  <c r="K10" i="19" s="1"/>
  <c r="K11" i="19" s="1"/>
  <c r="O498" i="19"/>
  <c r="O482" i="19"/>
  <c r="P473" i="18"/>
  <c r="P504" i="18"/>
  <c r="R679" i="19"/>
  <c r="R665" i="19"/>
  <c r="E679" i="19"/>
  <c r="R699" i="19"/>
  <c r="E681" i="19"/>
  <c r="R701" i="19"/>
  <c r="R681" i="19"/>
  <c r="S617" i="19"/>
  <c r="S618" i="19" s="1"/>
  <c r="S619" i="19" s="1"/>
  <c r="S620" i="19" s="1"/>
  <c r="S661" i="19" s="1"/>
  <c r="S631" i="19"/>
  <c r="S632" i="19" s="1"/>
  <c r="S633" i="19" s="1"/>
  <c r="S634" i="19" s="1"/>
  <c r="S663" i="19" s="1"/>
  <c r="S624" i="19"/>
  <c r="S625" i="19" s="1"/>
  <c r="S626" i="19" s="1"/>
  <c r="S627" i="19" s="1"/>
  <c r="S662" i="19" s="1"/>
  <c r="S610" i="19"/>
  <c r="S611" i="19" s="1"/>
  <c r="S612" i="19" s="1"/>
  <c r="S613" i="19" s="1"/>
  <c r="S660" i="19" s="1"/>
  <c r="S603" i="19"/>
  <c r="S604" i="19" s="1"/>
  <c r="S605" i="19" s="1"/>
  <c r="S606" i="19" s="1"/>
  <c r="S659" i="19" s="1"/>
  <c r="S638" i="19"/>
  <c r="S639" i="19" s="1"/>
  <c r="S640" i="19" s="1"/>
  <c r="S641" i="19" s="1"/>
  <c r="S664" i="19" s="1"/>
  <c r="R684" i="19"/>
  <c r="E684" i="19"/>
  <c r="R704" i="19"/>
  <c r="P433" i="19"/>
  <c r="P402" i="19"/>
  <c r="O527" i="19"/>
  <c r="R527" i="19" s="1"/>
  <c r="O472" i="19"/>
  <c r="O487" i="19" s="1"/>
  <c r="O456" i="19"/>
  <c r="I9" i="19" s="1"/>
  <c r="O503" i="19"/>
  <c r="O518" i="19" s="1"/>
  <c r="O433" i="19"/>
  <c r="O402" i="19"/>
  <c r="R680" i="19"/>
  <c r="E680" i="19"/>
  <c r="R700" i="19"/>
  <c r="P482" i="19"/>
  <c r="P498" i="19"/>
  <c r="R703" i="19"/>
  <c r="R683" i="19"/>
  <c r="E683" i="19"/>
  <c r="E682" i="19"/>
  <c r="R682" i="19"/>
  <c r="R702" i="19"/>
  <c r="P456" i="19"/>
  <c r="I10" i="19" s="1"/>
  <c r="P472" i="19"/>
  <c r="P487" i="19" s="1"/>
  <c r="P527" i="19"/>
  <c r="P503" i="19"/>
  <c r="P518" i="19" s="1"/>
  <c r="F679" i="17"/>
  <c r="S679" i="17"/>
  <c r="S699" i="17"/>
  <c r="S665" i="17"/>
  <c r="S684" i="17"/>
  <c r="F684" i="17"/>
  <c r="S704" i="17"/>
  <c r="E685" i="17"/>
  <c r="S703" i="17"/>
  <c r="F683" i="17"/>
  <c r="S683" i="17"/>
  <c r="F682" i="17"/>
  <c r="S702" i="17"/>
  <c r="S682" i="17"/>
  <c r="R685" i="17"/>
  <c r="R724" i="17" s="1"/>
  <c r="S700" i="17"/>
  <c r="S680" i="17"/>
  <c r="F680" i="17"/>
  <c r="P435" i="17"/>
  <c r="C5" i="17" s="1"/>
  <c r="C6" i="17" s="1"/>
  <c r="P418" i="17"/>
  <c r="P451" i="17" s="1"/>
  <c r="I5" i="17" s="1"/>
  <c r="I6" i="17" s="1"/>
  <c r="S681" i="17"/>
  <c r="F681" i="17"/>
  <c r="S701" i="17"/>
  <c r="R705" i="17"/>
  <c r="R723" i="17" s="1"/>
  <c r="E685" i="18"/>
  <c r="R685" i="18"/>
  <c r="R724" i="18" s="1"/>
  <c r="P435" i="18"/>
  <c r="C5" i="18" s="1"/>
  <c r="C6" i="18" s="1"/>
  <c r="P418" i="18"/>
  <c r="P451" i="18" s="1"/>
  <c r="I5" i="18" s="1"/>
  <c r="I6" i="18" s="1"/>
  <c r="P513" i="18"/>
  <c r="R705" i="18"/>
  <c r="R723" i="18" s="1"/>
  <c r="O529" i="14"/>
  <c r="O758" i="14"/>
  <c r="O528" i="14"/>
  <c r="P381" i="14"/>
  <c r="P379" i="14"/>
  <c r="P515" i="14"/>
  <c r="P373" i="14"/>
  <c r="S723" i="14" l="1"/>
  <c r="P723" i="14" s="1"/>
  <c r="P9" i="14" s="1"/>
  <c r="S724" i="14"/>
  <c r="P724" i="14" s="1"/>
  <c r="F736" i="14" s="1"/>
  <c r="S682" i="18"/>
  <c r="F683" i="18"/>
  <c r="F682" i="18"/>
  <c r="S684" i="18"/>
  <c r="S681" i="18"/>
  <c r="S683" i="18"/>
  <c r="F679" i="18"/>
  <c r="S701" i="18"/>
  <c r="S705" i="18" s="1"/>
  <c r="S665" i="18"/>
  <c r="N10" i="18" s="1"/>
  <c r="F684" i="18"/>
  <c r="S711" i="14"/>
  <c r="P711" i="14" s="1"/>
  <c r="O10" i="14" s="1"/>
  <c r="P475" i="18"/>
  <c r="P490" i="18" s="1"/>
  <c r="O475" i="19"/>
  <c r="O490" i="19" s="1"/>
  <c r="P505" i="18"/>
  <c r="P520" i="18" s="1"/>
  <c r="L10" i="18"/>
  <c r="O505" i="19"/>
  <c r="L9" i="19"/>
  <c r="P458" i="19"/>
  <c r="P474" i="19"/>
  <c r="P489" i="19" s="1"/>
  <c r="P380" i="14"/>
  <c r="P528" i="14" s="1"/>
  <c r="I11" i="19"/>
  <c r="P473" i="19"/>
  <c r="P504" i="19"/>
  <c r="P519" i="19" s="1"/>
  <c r="O513" i="19"/>
  <c r="P488" i="18"/>
  <c r="P519" i="18"/>
  <c r="S699" i="19"/>
  <c r="S679" i="19"/>
  <c r="F679" i="19"/>
  <c r="S665" i="19"/>
  <c r="S681" i="19"/>
  <c r="S701" i="19"/>
  <c r="F681" i="19"/>
  <c r="R705" i="19"/>
  <c r="R723" i="19" s="1"/>
  <c r="P513" i="19"/>
  <c r="S680" i="19"/>
  <c r="S700" i="19"/>
  <c r="F680" i="19"/>
  <c r="E685" i="19"/>
  <c r="O418" i="19"/>
  <c r="O451" i="19" s="1"/>
  <c r="I4" i="19" s="1"/>
  <c r="O435" i="19"/>
  <c r="C4" i="19" s="1"/>
  <c r="P418" i="19"/>
  <c r="P451" i="19" s="1"/>
  <c r="I5" i="19" s="1"/>
  <c r="P435" i="19"/>
  <c r="C5" i="19" s="1"/>
  <c r="S682" i="19"/>
  <c r="F682" i="19"/>
  <c r="S702" i="19"/>
  <c r="S704" i="19"/>
  <c r="F684" i="19"/>
  <c r="S684" i="19"/>
  <c r="F683" i="19"/>
  <c r="S703" i="19"/>
  <c r="S683" i="19"/>
  <c r="R685" i="19"/>
  <c r="R724" i="19" s="1"/>
  <c r="S705" i="17"/>
  <c r="S710" i="17" s="1"/>
  <c r="P710" i="17" s="1"/>
  <c r="P10" i="17" s="1"/>
  <c r="N9" i="17"/>
  <c r="N10" i="17"/>
  <c r="S685" i="17"/>
  <c r="F685" i="17"/>
  <c r="P529" i="14"/>
  <c r="P758" i="14"/>
  <c r="O373" i="14"/>
  <c r="P385" i="14"/>
  <c r="P384" i="14"/>
  <c r="O9" i="14" l="1"/>
  <c r="F737" i="14"/>
  <c r="N9" i="18"/>
  <c r="S685" i="18"/>
  <c r="S717" i="18" s="1"/>
  <c r="P717" i="18" s="1"/>
  <c r="F730" i="18" s="1"/>
  <c r="F685" i="18"/>
  <c r="S723" i="18"/>
  <c r="P723" i="18" s="1"/>
  <c r="P9" i="18" s="1"/>
  <c r="S710" i="18"/>
  <c r="P710" i="18" s="1"/>
  <c r="P10" i="18" s="1"/>
  <c r="P475" i="19"/>
  <c r="P490" i="19" s="1"/>
  <c r="P506" i="18"/>
  <c r="P521" i="18" s="1"/>
  <c r="P505" i="19"/>
  <c r="P520" i="19" s="1"/>
  <c r="L10" i="19"/>
  <c r="O520" i="19"/>
  <c r="O506" i="19"/>
  <c r="O521" i="19" s="1"/>
  <c r="P386" i="14"/>
  <c r="P387" i="14" s="1"/>
  <c r="P388" i="14" s="1"/>
  <c r="P389" i="14" s="1"/>
  <c r="P488" i="19"/>
  <c r="C6" i="19"/>
  <c r="S723" i="17"/>
  <c r="P723" i="17" s="1"/>
  <c r="F737" i="17" s="1"/>
  <c r="S705" i="19"/>
  <c r="N10" i="19"/>
  <c r="N9" i="19"/>
  <c r="I6" i="19"/>
  <c r="F685" i="19"/>
  <c r="S685" i="19"/>
  <c r="S724" i="17"/>
  <c r="P724" i="17" s="1"/>
  <c r="S711" i="17"/>
  <c r="P711" i="17" s="1"/>
  <c r="O10" i="17" s="1"/>
  <c r="S717" i="17"/>
  <c r="P717" i="17" s="1"/>
  <c r="F730" i="17" s="1"/>
  <c r="O384" i="14"/>
  <c r="O385" i="14"/>
  <c r="S724" i="18" l="1"/>
  <c r="P724" i="18" s="1"/>
  <c r="O9" i="18" s="1"/>
  <c r="S711" i="18"/>
  <c r="P711" i="18" s="1"/>
  <c r="O10" i="18" s="1"/>
  <c r="F737" i="18"/>
  <c r="P386" i="17"/>
  <c r="P387" i="17" s="1"/>
  <c r="P506" i="19"/>
  <c r="P521" i="19" s="1"/>
  <c r="P9" i="17"/>
  <c r="S710" i="19"/>
  <c r="P710" i="19" s="1"/>
  <c r="P10" i="19" s="1"/>
  <c r="S723" i="19"/>
  <c r="P723" i="19" s="1"/>
  <c r="S717" i="19"/>
  <c r="P717" i="19" s="1"/>
  <c r="F730" i="19" s="1"/>
  <c r="S711" i="19"/>
  <c r="P711" i="19" s="1"/>
  <c r="O10" i="19" s="1"/>
  <c r="S724" i="19"/>
  <c r="P724" i="19" s="1"/>
  <c r="O9" i="17"/>
  <c r="F736" i="17"/>
  <c r="P530" i="14"/>
  <c r="P760" i="14"/>
  <c r="O387" i="14"/>
  <c r="O388" i="14" s="1"/>
  <c r="O389" i="14" s="1"/>
  <c r="P424" i="14"/>
  <c r="F736" i="18" l="1"/>
  <c r="F737" i="19"/>
  <c r="P9" i="19"/>
  <c r="O9" i="19"/>
  <c r="F736" i="19"/>
  <c r="O530" i="14"/>
  <c r="O760" i="14"/>
  <c r="O761" i="14" s="1"/>
  <c r="P457" i="14"/>
  <c r="K10" i="14" s="1"/>
  <c r="P473" i="14"/>
  <c r="P488" i="14" s="1"/>
  <c r="P425" i="14"/>
  <c r="P531" i="14"/>
  <c r="O531" i="14"/>
  <c r="O424" i="14"/>
  <c r="P504" i="14"/>
  <c r="P519" i="14" s="1"/>
  <c r="O473" i="14" l="1"/>
  <c r="O488" i="14" s="1"/>
  <c r="P474" i="14"/>
  <c r="P489" i="14" s="1"/>
  <c r="P458" i="14"/>
  <c r="L10" i="14" s="1"/>
  <c r="O425" i="14"/>
  <c r="O504" i="14"/>
  <c r="O519" i="14" s="1"/>
  <c r="O457" i="14"/>
  <c r="K9" i="14" s="1"/>
  <c r="K11" i="14" s="1"/>
  <c r="P475" i="14" l="1"/>
  <c r="P490" i="14" s="1"/>
  <c r="O474" i="14"/>
  <c r="O489" i="14" s="1"/>
  <c r="P505" i="14"/>
  <c r="P506" i="14" s="1"/>
  <c r="O458" i="14"/>
  <c r="O505" i="14" s="1"/>
  <c r="P520" i="14" l="1"/>
  <c r="O475" i="14"/>
  <c r="O490" i="14" s="1"/>
  <c r="L9" i="14"/>
  <c r="O506" i="14"/>
  <c r="O520" i="14"/>
  <c r="P521" i="14"/>
  <c r="O521" i="14" l="1"/>
  <c r="E121" i="14" l="1"/>
  <c r="D121" i="17"/>
  <c r="D121" i="18"/>
  <c r="D121" i="14"/>
  <c r="E121" i="17"/>
  <c r="E121" i="18"/>
  <c r="E121" i="19"/>
  <c r="D121" i="19"/>
  <c r="E244" i="14"/>
  <c r="P245" i="14" s="1"/>
  <c r="E250" i="14" s="1"/>
  <c r="E201" i="14"/>
  <c r="P202" i="14" s="1"/>
  <c r="P203" i="14" s="1"/>
  <c r="E208" i="14" s="1"/>
  <c r="D244" i="14"/>
  <c r="O245" i="14" s="1"/>
  <c r="E249" i="14" s="1"/>
  <c r="D201" i="17"/>
  <c r="O202" i="17" s="1"/>
  <c r="O203" i="17" s="1"/>
  <c r="E207" i="17" s="1"/>
  <c r="D244" i="18"/>
  <c r="O245" i="18" s="1"/>
  <c r="E249" i="18" s="1"/>
  <c r="D244" i="17"/>
  <c r="O245" i="17" s="1"/>
  <c r="E249" i="17" s="1"/>
  <c r="D201" i="14"/>
  <c r="O202" i="14" s="1"/>
  <c r="O203" i="14" s="1"/>
  <c r="E207" i="14" s="1"/>
  <c r="D201" i="18"/>
  <c r="O202" i="18" s="1"/>
  <c r="O203" i="18" s="1"/>
  <c r="E207" i="18" s="1"/>
  <c r="E201" i="17"/>
  <c r="P202" i="17" s="1"/>
  <c r="P203" i="17" s="1"/>
  <c r="E208" i="17" s="1"/>
  <c r="E244" i="18"/>
  <c r="P245" i="18" s="1"/>
  <c r="E250" i="18" s="1"/>
  <c r="E244" i="17"/>
  <c r="P245" i="17" s="1"/>
  <c r="E250" i="17" s="1"/>
  <c r="E201" i="18"/>
  <c r="P202" i="18" s="1"/>
  <c r="P203" i="18" s="1"/>
  <c r="E208" i="18" s="1"/>
  <c r="D244" i="19"/>
  <c r="O245" i="19" s="1"/>
  <c r="E249" i="19" s="1"/>
  <c r="E244" i="19"/>
  <c r="P245" i="19" s="1"/>
  <c r="E250" i="19" s="1"/>
  <c r="D201" i="19"/>
  <c r="O202" i="19" s="1"/>
  <c r="O203" i="19" s="1"/>
  <c r="E207" i="19" s="1"/>
  <c r="E201" i="19"/>
  <c r="P202" i="19" s="1"/>
  <c r="P203" i="19" s="1"/>
  <c r="E208" i="19" s="1"/>
  <c r="E239" i="14"/>
  <c r="P240" i="14" s="1"/>
  <c r="F250" i="14" s="1"/>
  <c r="E195" i="14"/>
  <c r="P196" i="14" s="1"/>
  <c r="P197" i="14" s="1"/>
  <c r="F208" i="14" s="1"/>
  <c r="D195" i="17"/>
  <c r="O196" i="17" s="1"/>
  <c r="O197" i="17" s="1"/>
  <c r="F207" i="17" s="1"/>
  <c r="D239" i="17"/>
  <c r="O240" i="17" s="1"/>
  <c r="F249" i="17" s="1"/>
  <c r="D195" i="18"/>
  <c r="O196" i="18" s="1"/>
  <c r="O197" i="18" s="1"/>
  <c r="F207" i="18" s="1"/>
  <c r="D195" i="14"/>
  <c r="O196" i="14" s="1"/>
  <c r="O197" i="14" s="1"/>
  <c r="F207" i="14" s="1"/>
  <c r="D239" i="18"/>
  <c r="O240" i="18" s="1"/>
  <c r="F249" i="18" s="1"/>
  <c r="D239" i="14"/>
  <c r="O240" i="14" s="1"/>
  <c r="F249" i="14" s="1"/>
  <c r="E195" i="17"/>
  <c r="P196" i="17" s="1"/>
  <c r="P197" i="17" s="1"/>
  <c r="F208" i="17" s="1"/>
  <c r="E195" i="18"/>
  <c r="P196" i="18" s="1"/>
  <c r="P197" i="18" s="1"/>
  <c r="F208" i="18" s="1"/>
  <c r="E239" i="17"/>
  <c r="P240" i="17" s="1"/>
  <c r="F250" i="17" s="1"/>
  <c r="E239" i="18"/>
  <c r="P240" i="18" s="1"/>
  <c r="F250" i="18" s="1"/>
  <c r="D195" i="19"/>
  <c r="O196" i="19" s="1"/>
  <c r="O197" i="19" s="1"/>
  <c r="F207" i="19" s="1"/>
  <c r="E195" i="19"/>
  <c r="P196" i="19" s="1"/>
  <c r="P197" i="19" s="1"/>
  <c r="F208" i="19" s="1"/>
  <c r="D239" i="19"/>
  <c r="O240" i="19" s="1"/>
  <c r="F249" i="19" s="1"/>
  <c r="E239" i="19"/>
  <c r="P240" i="19" s="1"/>
  <c r="F250" i="19" s="1"/>
  <c r="E126" i="14"/>
  <c r="D126" i="14"/>
  <c r="D126" i="17"/>
  <c r="D126" i="18"/>
  <c r="E126" i="18"/>
  <c r="E126" i="17"/>
  <c r="D126" i="19"/>
  <c r="E126" i="19"/>
  <c r="F135" i="19" l="1"/>
  <c r="P127" i="19"/>
  <c r="F132" i="19" s="1"/>
  <c r="F134" i="18"/>
  <c r="O127" i="18"/>
  <c r="F131" i="18" s="1"/>
  <c r="D208" i="19"/>
  <c r="P207" i="19" s="1"/>
  <c r="L280" i="19" s="1"/>
  <c r="D208" i="18"/>
  <c r="P207" i="18" s="1"/>
  <c r="L280" i="18" s="1"/>
  <c r="D207" i="18"/>
  <c r="O207" i="18" s="1"/>
  <c r="L279" i="18" s="1"/>
  <c r="D207" i="17"/>
  <c r="O207" i="17" s="1"/>
  <c r="L279" i="17" s="1"/>
  <c r="E134" i="19"/>
  <c r="O122" i="19"/>
  <c r="E131" i="19" s="1"/>
  <c r="E134" i="14"/>
  <c r="O122" i="14"/>
  <c r="E131" i="14" s="1"/>
  <c r="F134" i="19"/>
  <c r="O127" i="19"/>
  <c r="F131" i="19" s="1"/>
  <c r="F134" i="17"/>
  <c r="O127" i="17"/>
  <c r="F131" i="17" s="1"/>
  <c r="D207" i="19"/>
  <c r="O207" i="19" s="1"/>
  <c r="L279" i="19" s="1"/>
  <c r="D250" i="17"/>
  <c r="P249" i="17" s="1"/>
  <c r="M280" i="17" s="1"/>
  <c r="D207" i="14"/>
  <c r="O207" i="14" s="1"/>
  <c r="L279" i="14" s="1"/>
  <c r="D249" i="14"/>
  <c r="O249" i="14" s="1"/>
  <c r="M279" i="14" s="1"/>
  <c r="E135" i="19"/>
  <c r="D135" i="19" s="1"/>
  <c r="P134" i="19" s="1"/>
  <c r="E335" i="19" s="1"/>
  <c r="P336" i="19" s="1"/>
  <c r="P405" i="19" s="1"/>
  <c r="P438" i="19" s="1"/>
  <c r="P122" i="19"/>
  <c r="E132" i="19" s="1"/>
  <c r="D132" i="19" s="1"/>
  <c r="P131" i="19" s="1"/>
  <c r="P404" i="19" s="1"/>
  <c r="E134" i="18"/>
  <c r="O122" i="18"/>
  <c r="E131" i="18" s="1"/>
  <c r="F135" i="17"/>
  <c r="P127" i="17"/>
  <c r="F132" i="17" s="1"/>
  <c r="F134" i="14"/>
  <c r="O127" i="14"/>
  <c r="F131" i="14" s="1"/>
  <c r="D250" i="19"/>
  <c r="P249" i="19" s="1"/>
  <c r="M280" i="19" s="1"/>
  <c r="D250" i="18"/>
  <c r="P249" i="18" s="1"/>
  <c r="M280" i="18" s="1"/>
  <c r="D249" i="17"/>
  <c r="O249" i="17" s="1"/>
  <c r="M279" i="17" s="1"/>
  <c r="D208" i="14"/>
  <c r="P207" i="14" s="1"/>
  <c r="L280" i="14" s="1"/>
  <c r="E135" i="18"/>
  <c r="P122" i="18"/>
  <c r="E132" i="18" s="1"/>
  <c r="E134" i="17"/>
  <c r="D134" i="17" s="1"/>
  <c r="O134" i="17" s="1"/>
  <c r="D335" i="17" s="1"/>
  <c r="O336" i="17" s="1"/>
  <c r="O405" i="17" s="1"/>
  <c r="O438" i="17" s="1"/>
  <c r="O122" i="17"/>
  <c r="E131" i="17" s="1"/>
  <c r="D131" i="17" s="1"/>
  <c r="O131" i="17" s="1"/>
  <c r="O404" i="17" s="1"/>
  <c r="F135" i="18"/>
  <c r="P127" i="18"/>
  <c r="F132" i="18" s="1"/>
  <c r="F135" i="14"/>
  <c r="P127" i="14"/>
  <c r="F132" i="14" s="1"/>
  <c r="D249" i="19"/>
  <c r="O249" i="19" s="1"/>
  <c r="M279" i="19" s="1"/>
  <c r="D208" i="17"/>
  <c r="P207" i="17" s="1"/>
  <c r="L280" i="17" s="1"/>
  <c r="D249" i="18"/>
  <c r="O249" i="18" s="1"/>
  <c r="M279" i="18" s="1"/>
  <c r="D250" i="14"/>
  <c r="P249" i="14" s="1"/>
  <c r="M280" i="14" s="1"/>
  <c r="E135" i="17"/>
  <c r="D135" i="17" s="1"/>
  <c r="P134" i="17" s="1"/>
  <c r="E335" i="17" s="1"/>
  <c r="P336" i="17" s="1"/>
  <c r="P405" i="17" s="1"/>
  <c r="P438" i="17" s="1"/>
  <c r="P122" i="17"/>
  <c r="E132" i="17" s="1"/>
  <c r="E135" i="14"/>
  <c r="P122" i="14"/>
  <c r="E132" i="14" s="1"/>
  <c r="D132" i="14" l="1"/>
  <c r="P131" i="14" s="1"/>
  <c r="P404" i="14" s="1"/>
  <c r="D135" i="14"/>
  <c r="P134" i="14" s="1"/>
  <c r="E335" i="14" s="1"/>
  <c r="P336" i="14" s="1"/>
  <c r="P405" i="14" s="1"/>
  <c r="P438" i="14" s="1"/>
  <c r="D131" i="18"/>
  <c r="O131" i="18" s="1"/>
  <c r="O404" i="18" s="1"/>
  <c r="O437" i="18" s="1"/>
  <c r="D132" i="17"/>
  <c r="P131" i="17" s="1"/>
  <c r="P404" i="17" s="1"/>
  <c r="P406" i="17" s="1"/>
  <c r="D280" i="14"/>
  <c r="P279" i="14" s="1"/>
  <c r="P408" i="14" s="1"/>
  <c r="P441" i="14" s="1"/>
  <c r="E5" i="14" s="1"/>
  <c r="L301" i="14"/>
  <c r="L295" i="14"/>
  <c r="L289" i="14"/>
  <c r="M288" i="18"/>
  <c r="M300" i="18"/>
  <c r="M294" i="18"/>
  <c r="M294" i="17"/>
  <c r="M300" i="17"/>
  <c r="M288" i="17"/>
  <c r="L294" i="14"/>
  <c r="L288" i="14"/>
  <c r="L300" i="14"/>
  <c r="D279" i="14"/>
  <c r="O279" i="14" s="1"/>
  <c r="O408" i="14" s="1"/>
  <c r="O441" i="14" s="1"/>
  <c r="E4" i="14" s="1"/>
  <c r="D134" i="14"/>
  <c r="O134" i="14" s="1"/>
  <c r="D335" i="14" s="1"/>
  <c r="O336" i="14" s="1"/>
  <c r="O405" i="14" s="1"/>
  <c r="O438" i="14" s="1"/>
  <c r="D279" i="18"/>
  <c r="O279" i="18" s="1"/>
  <c r="O408" i="18" s="1"/>
  <c r="O441" i="18" s="1"/>
  <c r="E4" i="18" s="1"/>
  <c r="L300" i="18"/>
  <c r="L288" i="18"/>
  <c r="L294" i="18"/>
  <c r="D294" i="18" s="1"/>
  <c r="O294" i="18" s="1"/>
  <c r="O496" i="18" s="1"/>
  <c r="O511" i="18" s="1"/>
  <c r="D134" i="18"/>
  <c r="O134" i="18" s="1"/>
  <c r="D335" i="18" s="1"/>
  <c r="O336" i="18" s="1"/>
  <c r="O405" i="18" s="1"/>
  <c r="O438" i="18" s="1"/>
  <c r="P437" i="14"/>
  <c r="O437" i="17"/>
  <c r="O406" i="17"/>
  <c r="M300" i="14"/>
  <c r="M288" i="14"/>
  <c r="M294" i="14"/>
  <c r="D131" i="14"/>
  <c r="O131" i="14" s="1"/>
  <c r="O404" i="14" s="1"/>
  <c r="L301" i="17"/>
  <c r="L289" i="17"/>
  <c r="L295" i="17"/>
  <c r="D280" i="17"/>
  <c r="P279" i="17" s="1"/>
  <c r="P408" i="17" s="1"/>
  <c r="P441" i="17" s="1"/>
  <c r="E5" i="17" s="1"/>
  <c r="D132" i="18"/>
  <c r="P131" i="18" s="1"/>
  <c r="P404" i="18" s="1"/>
  <c r="M295" i="18"/>
  <c r="M301" i="18"/>
  <c r="M289" i="18"/>
  <c r="P437" i="19"/>
  <c r="P406" i="19"/>
  <c r="M289" i="17"/>
  <c r="M301" i="17"/>
  <c r="M295" i="17"/>
  <c r="D131" i="19"/>
  <c r="O131" i="19" s="1"/>
  <c r="O404" i="19" s="1"/>
  <c r="L289" i="18"/>
  <c r="L295" i="18"/>
  <c r="D280" i="18"/>
  <c r="P279" i="18" s="1"/>
  <c r="P408" i="18" s="1"/>
  <c r="P441" i="18" s="1"/>
  <c r="E5" i="18" s="1"/>
  <c r="L301" i="18"/>
  <c r="M301" i="14"/>
  <c r="M289" i="14"/>
  <c r="M295" i="14"/>
  <c r="L300" i="17"/>
  <c r="L294" i="17"/>
  <c r="D279" i="17"/>
  <c r="O279" i="17" s="1"/>
  <c r="O408" i="17" s="1"/>
  <c r="O441" i="17" s="1"/>
  <c r="E4" i="17" s="1"/>
  <c r="L288" i="17"/>
  <c r="M300" i="19"/>
  <c r="M294" i="19"/>
  <c r="M288" i="19"/>
  <c r="D135" i="18"/>
  <c r="P134" i="18" s="1"/>
  <c r="E335" i="18" s="1"/>
  <c r="P336" i="18" s="1"/>
  <c r="P405" i="18" s="1"/>
  <c r="P438" i="18" s="1"/>
  <c r="M295" i="19"/>
  <c r="M289" i="19"/>
  <c r="M301" i="19"/>
  <c r="D279" i="19"/>
  <c r="O279" i="19" s="1"/>
  <c r="O408" i="19" s="1"/>
  <c r="O441" i="19" s="1"/>
  <c r="E4" i="19" s="1"/>
  <c r="L288" i="19"/>
  <c r="L294" i="19"/>
  <c r="D294" i="19" s="1"/>
  <c r="O294" i="19" s="1"/>
  <c r="O496" i="19" s="1"/>
  <c r="O511" i="19" s="1"/>
  <c r="L300" i="19"/>
  <c r="D134" i="19"/>
  <c r="O134" i="19" s="1"/>
  <c r="D335" i="19" s="1"/>
  <c r="O336" i="19" s="1"/>
  <c r="O405" i="19" s="1"/>
  <c r="O438" i="19" s="1"/>
  <c r="D280" i="19"/>
  <c r="P279" i="19" s="1"/>
  <c r="P408" i="19" s="1"/>
  <c r="P441" i="19" s="1"/>
  <c r="E5" i="19" s="1"/>
  <c r="L301" i="19"/>
  <c r="L295" i="19"/>
  <c r="L289" i="19"/>
  <c r="P406" i="14" l="1"/>
  <c r="P437" i="17"/>
  <c r="D300" i="17"/>
  <c r="O300" i="17" s="1"/>
  <c r="O526" i="17" s="1"/>
  <c r="R526" i="17" s="1"/>
  <c r="D300" i="18"/>
  <c r="O300" i="18" s="1"/>
  <c r="D288" i="17"/>
  <c r="O288" i="17" s="1"/>
  <c r="O465" i="17" s="1"/>
  <c r="O480" i="17" s="1"/>
  <c r="D295" i="19"/>
  <c r="P294" i="19" s="1"/>
  <c r="P496" i="19" s="1"/>
  <c r="P511" i="19" s="1"/>
  <c r="D300" i="19"/>
  <c r="O300" i="19" s="1"/>
  <c r="D301" i="18"/>
  <c r="P300" i="18" s="1"/>
  <c r="D288" i="18"/>
  <c r="O288" i="18" s="1"/>
  <c r="O465" i="18" s="1"/>
  <c r="O480" i="18" s="1"/>
  <c r="D289" i="17"/>
  <c r="P288" i="17" s="1"/>
  <c r="P465" i="17" s="1"/>
  <c r="P480" i="17" s="1"/>
  <c r="D288" i="14"/>
  <c r="O288" i="14" s="1"/>
  <c r="O465" i="14" s="1"/>
  <c r="O480" i="14" s="1"/>
  <c r="E6" i="14"/>
  <c r="D289" i="14"/>
  <c r="P288" i="14" s="1"/>
  <c r="P465" i="14" s="1"/>
  <c r="P480" i="14" s="1"/>
  <c r="D301" i="17"/>
  <c r="P300" i="17" s="1"/>
  <c r="P526" i="17" s="1"/>
  <c r="P464" i="19"/>
  <c r="P409" i="19"/>
  <c r="P439" i="19"/>
  <c r="D5" i="19" s="1"/>
  <c r="P419" i="19"/>
  <c r="P452" i="19" s="1"/>
  <c r="E6" i="18"/>
  <c r="P437" i="18"/>
  <c r="P406" i="18"/>
  <c r="D294" i="14"/>
  <c r="O294" i="14" s="1"/>
  <c r="O496" i="14" s="1"/>
  <c r="O511" i="14" s="1"/>
  <c r="D295" i="14"/>
  <c r="P294" i="14" s="1"/>
  <c r="P496" i="14" s="1"/>
  <c r="P511" i="14" s="1"/>
  <c r="O437" i="19"/>
  <c r="O406" i="19"/>
  <c r="D301" i="19"/>
  <c r="P300" i="19" s="1"/>
  <c r="D294" i="17"/>
  <c r="O294" i="17" s="1"/>
  <c r="O496" i="17" s="1"/>
  <c r="O511" i="17" s="1"/>
  <c r="D288" i="19"/>
  <c r="O288" i="19" s="1"/>
  <c r="O465" i="19" s="1"/>
  <c r="O480" i="19" s="1"/>
  <c r="D295" i="18"/>
  <c r="P294" i="18" s="1"/>
  <c r="P496" i="18" s="1"/>
  <c r="P511" i="18" s="1"/>
  <c r="E6" i="17"/>
  <c r="P419" i="17"/>
  <c r="P452" i="17" s="1"/>
  <c r="P464" i="17"/>
  <c r="P439" i="17"/>
  <c r="D5" i="17" s="1"/>
  <c r="P409" i="17"/>
  <c r="P464" i="14"/>
  <c r="P409" i="14"/>
  <c r="P419" i="14"/>
  <c r="P452" i="14" s="1"/>
  <c r="P439" i="14"/>
  <c r="D5" i="14" s="1"/>
  <c r="D301" i="14"/>
  <c r="P300" i="14" s="1"/>
  <c r="P526" i="14" s="1"/>
  <c r="P532" i="14" s="1"/>
  <c r="O437" i="14"/>
  <c r="O406" i="14"/>
  <c r="O464" i="17"/>
  <c r="O439" i="17"/>
  <c r="D4" i="17" s="1"/>
  <c r="O409" i="17"/>
  <c r="O419" i="17"/>
  <c r="O452" i="17" s="1"/>
  <c r="D289" i="19"/>
  <c r="P288" i="19" s="1"/>
  <c r="P465" i="19" s="1"/>
  <c r="P480" i="19" s="1"/>
  <c r="E6" i="19"/>
  <c r="O406" i="18"/>
  <c r="D289" i="18"/>
  <c r="P288" i="18" s="1"/>
  <c r="P465" i="18" s="1"/>
  <c r="P480" i="18" s="1"/>
  <c r="D295" i="17"/>
  <c r="P294" i="17" s="1"/>
  <c r="P496" i="17" s="1"/>
  <c r="P511" i="17" s="1"/>
  <c r="D300" i="14"/>
  <c r="O300" i="14" s="1"/>
  <c r="P722" i="14" l="1"/>
  <c r="P725" i="14" s="1"/>
  <c r="Q9" i="14" s="1"/>
  <c r="P709" i="14"/>
  <c r="P716" i="14"/>
  <c r="P718" i="14" s="1"/>
  <c r="P479" i="17"/>
  <c r="P495" i="17"/>
  <c r="P466" i="17"/>
  <c r="P757" i="14"/>
  <c r="P761" i="14" s="1"/>
  <c r="F762" i="14" s="1"/>
  <c r="F763" i="14" s="1"/>
  <c r="P407" i="14"/>
  <c r="P440" i="14" s="1"/>
  <c r="P442" i="14"/>
  <c r="F5" i="14" s="1"/>
  <c r="P421" i="14"/>
  <c r="O409" i="18"/>
  <c r="O464" i="18"/>
  <c r="O439" i="18"/>
  <c r="D4" i="18" s="1"/>
  <c r="O419" i="18"/>
  <c r="O452" i="18" s="1"/>
  <c r="O479" i="17"/>
  <c r="O466" i="17"/>
  <c r="O495" i="17"/>
  <c r="P479" i="14"/>
  <c r="P495" i="14"/>
  <c r="P466" i="14"/>
  <c r="P373" i="17"/>
  <c r="P442" i="17"/>
  <c r="F5" i="17" s="1"/>
  <c r="P407" i="17"/>
  <c r="P440" i="17" s="1"/>
  <c r="P421" i="17"/>
  <c r="P407" i="19"/>
  <c r="P440" i="19" s="1"/>
  <c r="P442" i="19"/>
  <c r="F5" i="19" s="1"/>
  <c r="O373" i="17"/>
  <c r="O421" i="17"/>
  <c r="O442" i="17"/>
  <c r="F4" i="17" s="1"/>
  <c r="J4" i="17" s="1"/>
  <c r="F10" i="9" s="1"/>
  <c r="O407" i="17"/>
  <c r="O440" i="17" s="1"/>
  <c r="O526" i="14"/>
  <c r="O464" i="14"/>
  <c r="O419" i="14"/>
  <c r="O452" i="14" s="1"/>
  <c r="O409" i="14"/>
  <c r="O439" i="14"/>
  <c r="D4" i="14" s="1"/>
  <c r="D6" i="14" s="1"/>
  <c r="D6" i="17"/>
  <c r="O419" i="19"/>
  <c r="O452" i="19" s="1"/>
  <c r="O439" i="19"/>
  <c r="D4" i="19" s="1"/>
  <c r="D6" i="19" s="1"/>
  <c r="O464" i="19"/>
  <c r="O409" i="19"/>
  <c r="P419" i="18"/>
  <c r="P452" i="18" s="1"/>
  <c r="P439" i="18"/>
  <c r="D5" i="18" s="1"/>
  <c r="P464" i="18"/>
  <c r="P409" i="18"/>
  <c r="P479" i="19"/>
  <c r="P495" i="19"/>
  <c r="P466" i="19"/>
  <c r="D6" i="18" l="1"/>
  <c r="P466" i="18"/>
  <c r="P479" i="18"/>
  <c r="P495" i="18"/>
  <c r="O442" i="19"/>
  <c r="F4" i="19" s="1"/>
  <c r="O407" i="19"/>
  <c r="O440" i="19" s="1"/>
  <c r="O442" i="14"/>
  <c r="F4" i="14" s="1"/>
  <c r="J4" i="14" s="1"/>
  <c r="E10" i="9" s="1"/>
  <c r="G10" i="9" s="1"/>
  <c r="O421" i="14"/>
  <c r="O407" i="14"/>
  <c r="O440" i="14" s="1"/>
  <c r="P497" i="14"/>
  <c r="P510" i="14"/>
  <c r="O479" i="18"/>
  <c r="O466" i="18"/>
  <c r="O495" i="18"/>
  <c r="P510" i="17"/>
  <c r="P497" i="17"/>
  <c r="J5" i="17"/>
  <c r="F6" i="17"/>
  <c r="O407" i="18"/>
  <c r="O440" i="18" s="1"/>
  <c r="O442" i="18"/>
  <c r="F4" i="18" s="1"/>
  <c r="O466" i="14"/>
  <c r="O495" i="14"/>
  <c r="O479" i="14"/>
  <c r="O427" i="17"/>
  <c r="O460" i="17" s="1"/>
  <c r="O454" i="17"/>
  <c r="O453" i="17" s="1"/>
  <c r="O420" i="17"/>
  <c r="P385" i="17"/>
  <c r="P384" i="17"/>
  <c r="P388" i="17"/>
  <c r="O510" i="17"/>
  <c r="O497" i="17"/>
  <c r="P427" i="14"/>
  <c r="P460" i="14" s="1"/>
  <c r="P454" i="14"/>
  <c r="P453" i="14" s="1"/>
  <c r="P420" i="14"/>
  <c r="O495" i="19"/>
  <c r="O466" i="19"/>
  <c r="O479" i="19"/>
  <c r="P481" i="19"/>
  <c r="G5" i="19" s="1"/>
  <c r="P497" i="19"/>
  <c r="P510" i="19"/>
  <c r="P442" i="18"/>
  <c r="F5" i="18" s="1"/>
  <c r="P407" i="18"/>
  <c r="P440" i="18" s="1"/>
  <c r="O532" i="14"/>
  <c r="O385" i="17"/>
  <c r="O384" i="17"/>
  <c r="O388" i="17"/>
  <c r="P427" i="17"/>
  <c r="P460" i="17" s="1"/>
  <c r="P454" i="17"/>
  <c r="P453" i="17" s="1"/>
  <c r="P420" i="17"/>
  <c r="P481" i="14"/>
  <c r="G5" i="14" s="1"/>
  <c r="P470" i="14"/>
  <c r="O481" i="17"/>
  <c r="G4" i="17" s="1"/>
  <c r="O470" i="17"/>
  <c r="J5" i="14"/>
  <c r="P481" i="17"/>
  <c r="G5" i="17" s="1"/>
  <c r="P470" i="17"/>
  <c r="M5" i="14"/>
  <c r="P712" i="14"/>
  <c r="G6" i="17" l="1"/>
  <c r="F6" i="14"/>
  <c r="F6" i="18"/>
  <c r="O510" i="19"/>
  <c r="O497" i="19"/>
  <c r="P389" i="17"/>
  <c r="P424" i="17"/>
  <c r="P760" i="17"/>
  <c r="P761" i="17" s="1"/>
  <c r="P530" i="17"/>
  <c r="O470" i="14"/>
  <c r="O481" i="14"/>
  <c r="G4" i="14" s="1"/>
  <c r="G6" i="14" s="1"/>
  <c r="O497" i="18"/>
  <c r="O510" i="18"/>
  <c r="P512" i="14"/>
  <c r="P501" i="14"/>
  <c r="O427" i="14"/>
  <c r="O460" i="14" s="1"/>
  <c r="O454" i="14"/>
  <c r="O453" i="14" s="1"/>
  <c r="O420" i="14"/>
  <c r="Q10" i="14"/>
  <c r="P485" i="14"/>
  <c r="P476" i="14"/>
  <c r="P491" i="14" s="1"/>
  <c r="O709" i="14"/>
  <c r="O722" i="14"/>
  <c r="O725" i="14" s="1"/>
  <c r="F726" i="14" s="1"/>
  <c r="O716" i="14"/>
  <c r="O718" i="14" s="1"/>
  <c r="F719" i="14" s="1"/>
  <c r="O481" i="18"/>
  <c r="G4" i="18" s="1"/>
  <c r="P497" i="18"/>
  <c r="P510" i="18"/>
  <c r="P485" i="17"/>
  <c r="J6" i="14"/>
  <c r="E20" i="9"/>
  <c r="O389" i="17"/>
  <c r="O760" i="17"/>
  <c r="O761" i="17" s="1"/>
  <c r="O424" i="17"/>
  <c r="O530" i="17"/>
  <c r="O501" i="17"/>
  <c r="O512" i="17"/>
  <c r="F20" i="9"/>
  <c r="J6" i="17"/>
  <c r="P501" i="17"/>
  <c r="P512" i="17"/>
  <c r="F6" i="19"/>
  <c r="O485" i="17"/>
  <c r="P512" i="19"/>
  <c r="O481" i="19"/>
  <c r="G4" i="19" s="1"/>
  <c r="G6" i="19" s="1"/>
  <c r="O497" i="14"/>
  <c r="O510" i="14"/>
  <c r="P481" i="18"/>
  <c r="G5" i="18" s="1"/>
  <c r="G20" i="9" l="1"/>
  <c r="G6" i="18"/>
  <c r="O473" i="17"/>
  <c r="O504" i="17"/>
  <c r="O457" i="17"/>
  <c r="K9" i="17" s="1"/>
  <c r="F756" i="14"/>
  <c r="F764" i="14" s="1"/>
  <c r="G750" i="14"/>
  <c r="G744" i="14"/>
  <c r="O4" i="14" s="1"/>
  <c r="O425" i="17"/>
  <c r="O531" i="17"/>
  <c r="O532" i="17" s="1"/>
  <c r="P516" i="14"/>
  <c r="K5" i="14" s="1"/>
  <c r="P507" i="14"/>
  <c r="P473" i="17"/>
  <c r="P504" i="17"/>
  <c r="P457" i="17"/>
  <c r="K10" i="17" s="1"/>
  <c r="O512" i="14"/>
  <c r="O501" i="14"/>
  <c r="P516" i="17"/>
  <c r="K5" i="17" s="1"/>
  <c r="O516" i="17"/>
  <c r="K4" i="17" s="1"/>
  <c r="F13" i="9" s="1"/>
  <c r="P512" i="18"/>
  <c r="M4" i="14"/>
  <c r="M6" i="14" s="1"/>
  <c r="O712" i="14"/>
  <c r="F713" i="14" s="1"/>
  <c r="O512" i="18"/>
  <c r="F762" i="17"/>
  <c r="F763" i="17" s="1"/>
  <c r="F750" i="14"/>
  <c r="F744" i="14"/>
  <c r="O5" i="14" s="1"/>
  <c r="O485" i="14"/>
  <c r="O476" i="14"/>
  <c r="O491" i="14" s="1"/>
  <c r="P531" i="17"/>
  <c r="P532" i="17" s="1"/>
  <c r="P425" i="17"/>
  <c r="O512" i="19"/>
  <c r="K11" i="17" l="1"/>
  <c r="G746" i="14"/>
  <c r="G747" i="14" s="1"/>
  <c r="P4" i="14" s="1"/>
  <c r="P716" i="17"/>
  <c r="P718" i="17" s="1"/>
  <c r="P722" i="17"/>
  <c r="P725" i="17" s="1"/>
  <c r="P709" i="17"/>
  <c r="K6" i="17"/>
  <c r="P519" i="17"/>
  <c r="R532" i="17"/>
  <c r="O716" i="17"/>
  <c r="O718" i="17" s="1"/>
  <c r="O722" i="17"/>
  <c r="O725" i="17" s="1"/>
  <c r="O709" i="17"/>
  <c r="O519" i="17"/>
  <c r="P522" i="14"/>
  <c r="L5" i="14" s="1"/>
  <c r="P458" i="17"/>
  <c r="P474" i="17"/>
  <c r="P489" i="17" s="1"/>
  <c r="F746" i="14"/>
  <c r="F747" i="14" s="1"/>
  <c r="P5" i="14" s="1"/>
  <c r="O516" i="14"/>
  <c r="K4" i="14" s="1"/>
  <c r="E13" i="9" s="1"/>
  <c r="G13" i="9" s="1"/>
  <c r="O507" i="14"/>
  <c r="G751" i="14" s="1"/>
  <c r="G752" i="14" s="1"/>
  <c r="G753" i="14" s="1"/>
  <c r="Q4" i="14" s="1"/>
  <c r="P488" i="17"/>
  <c r="O458" i="17"/>
  <c r="O474" i="17"/>
  <c r="O489" i="17" s="1"/>
  <c r="O488" i="17"/>
  <c r="R4" i="14" l="1"/>
  <c r="S4" i="14"/>
  <c r="O475" i="17"/>
  <c r="O490" i="17" s="1"/>
  <c r="P475" i="17"/>
  <c r="P490" i="17" s="1"/>
  <c r="P712" i="17"/>
  <c r="M5" i="17"/>
  <c r="F726" i="17"/>
  <c r="Q9" i="17"/>
  <c r="K6" i="14"/>
  <c r="F738" i="14"/>
  <c r="F739" i="14" s="1"/>
  <c r="F740" i="14" s="1"/>
  <c r="S9" i="14" s="1"/>
  <c r="O522" i="14"/>
  <c r="L4" i="14" s="1"/>
  <c r="E16" i="9" s="1"/>
  <c r="F731" i="14"/>
  <c r="F732" i="14" s="1"/>
  <c r="F733" i="14" s="1"/>
  <c r="S10" i="14" s="1"/>
  <c r="L10" i="17"/>
  <c r="P505" i="17"/>
  <c r="F751" i="14"/>
  <c r="F752" i="14" s="1"/>
  <c r="F753" i="14" s="1"/>
  <c r="Q5" i="14" s="1"/>
  <c r="M4" i="17"/>
  <c r="O712" i="17"/>
  <c r="F719" i="17"/>
  <c r="L9" i="17"/>
  <c r="O505" i="17"/>
  <c r="E23" i="9"/>
  <c r="S5" i="14" l="1"/>
  <c r="R5" i="14"/>
  <c r="O476" i="17"/>
  <c r="O491" i="17" s="1"/>
  <c r="P476" i="17"/>
  <c r="P491" i="17" s="1"/>
  <c r="L6" i="14"/>
  <c r="G750" i="17"/>
  <c r="F756" i="17"/>
  <c r="F764" i="17" s="1"/>
  <c r="G744" i="17"/>
  <c r="O4" i="17" s="1"/>
  <c r="P520" i="17"/>
  <c r="P506" i="17"/>
  <c r="M6" i="17"/>
  <c r="O520" i="17"/>
  <c r="O506" i="17"/>
  <c r="F744" i="17"/>
  <c r="O5" i="17" s="1"/>
  <c r="F750" i="17"/>
  <c r="F713" i="17"/>
  <c r="Q10" i="17"/>
  <c r="P521" i="17" l="1"/>
  <c r="P507" i="17"/>
  <c r="O521" i="17"/>
  <c r="O507" i="17"/>
  <c r="F746" i="17"/>
  <c r="F747" i="17" s="1"/>
  <c r="P5" i="17" s="1"/>
  <c r="G746" i="17"/>
  <c r="G747" i="17" s="1"/>
  <c r="P4" i="17" s="1"/>
  <c r="O522" i="17" l="1"/>
  <c r="L4" i="17" s="1"/>
  <c r="F16" i="9" s="1"/>
  <c r="F731" i="17"/>
  <c r="F732" i="17" s="1"/>
  <c r="F733" i="17" s="1"/>
  <c r="S10" i="17" s="1"/>
  <c r="F738" i="17"/>
  <c r="F739" i="17" s="1"/>
  <c r="F740" i="17" s="1"/>
  <c r="S9" i="17" s="1"/>
  <c r="F751" i="17"/>
  <c r="F752" i="17" s="1"/>
  <c r="F753" i="17" s="1"/>
  <c r="Q5" i="17" s="1"/>
  <c r="G751" i="17"/>
  <c r="G752" i="17" s="1"/>
  <c r="G753" i="17" s="1"/>
  <c r="Q4" i="17" s="1"/>
  <c r="P522" i="17"/>
  <c r="L5" i="17" s="1"/>
  <c r="G16" i="9" l="1"/>
  <c r="R5" i="17"/>
  <c r="S5" i="17"/>
  <c r="R4" i="17"/>
  <c r="S4" i="17"/>
  <c r="L6" i="17"/>
  <c r="F23" i="9"/>
  <c r="G23" i="9" l="1"/>
  <c r="Q97" i="8"/>
  <c r="D97" i="8" s="1"/>
  <c r="Q95" i="8"/>
  <c r="D95" i="8" s="1"/>
  <c r="Q98" i="8"/>
  <c r="D98" i="8" s="1"/>
  <c r="Q96" i="8"/>
  <c r="D96" i="8" s="1"/>
  <c r="Q100" i="8"/>
  <c r="D100" i="8" s="1"/>
  <c r="Q94" i="8"/>
  <c r="D94" i="8" s="1"/>
  <c r="F305" i="18" l="1"/>
  <c r="F305" i="19"/>
  <c r="I305" i="19"/>
  <c r="I305" i="18"/>
  <c r="J305" i="19"/>
  <c r="J305" i="18"/>
  <c r="G305" i="18"/>
  <c r="G305" i="19"/>
  <c r="L305" i="19"/>
  <c r="L305" i="18"/>
  <c r="H305" i="19"/>
  <c r="H305" i="18"/>
  <c r="D307" i="19" l="1"/>
  <c r="P306" i="19" s="1"/>
  <c r="P416" i="19" s="1"/>
  <c r="D306" i="19"/>
  <c r="O306" i="19" s="1"/>
  <c r="O416" i="19" s="1"/>
  <c r="D313" i="19"/>
  <c r="P312" i="19" s="1"/>
  <c r="P468" i="19" s="1"/>
  <c r="D319" i="19"/>
  <c r="P318" i="19" s="1"/>
  <c r="P499" i="19" s="1"/>
  <c r="D325" i="19"/>
  <c r="P324" i="19" s="1"/>
  <c r="P526" i="19" s="1"/>
  <c r="P532" i="19" s="1"/>
  <c r="D312" i="19"/>
  <c r="O312" i="19" s="1"/>
  <c r="O468" i="19" s="1"/>
  <c r="D318" i="19"/>
  <c r="O318" i="19" s="1"/>
  <c r="O499" i="19" s="1"/>
  <c r="D324" i="19"/>
  <c r="O324" i="19" s="1"/>
  <c r="O526" i="19" s="1"/>
  <c r="D306" i="18"/>
  <c r="O306" i="18" s="1"/>
  <c r="O416" i="18" s="1"/>
  <c r="D307" i="18"/>
  <c r="P306" i="18" s="1"/>
  <c r="P416" i="18" s="1"/>
  <c r="D312" i="18"/>
  <c r="O312" i="18" s="1"/>
  <c r="O468" i="18" s="1"/>
  <c r="D324" i="18"/>
  <c r="O324" i="18" s="1"/>
  <c r="O526" i="18" s="1"/>
  <c r="O532" i="18" s="1"/>
  <c r="D319" i="18"/>
  <c r="P318" i="18" s="1"/>
  <c r="P499" i="18" s="1"/>
  <c r="D313" i="18"/>
  <c r="P312" i="18" s="1"/>
  <c r="P468" i="18" s="1"/>
  <c r="D325" i="18"/>
  <c r="P324" i="18" s="1"/>
  <c r="P526" i="18" s="1"/>
  <c r="P532" i="18" s="1"/>
  <c r="D318" i="18"/>
  <c r="O318" i="18" s="1"/>
  <c r="O499" i="18" s="1"/>
  <c r="P483" i="19" l="1"/>
  <c r="P469" i="19"/>
  <c r="O514" i="18"/>
  <c r="O500" i="18"/>
  <c r="O532" i="19"/>
  <c r="R526" i="19"/>
  <c r="P514" i="19"/>
  <c r="P500" i="19"/>
  <c r="O514" i="19"/>
  <c r="O500" i="19"/>
  <c r="P483" i="18"/>
  <c r="P469" i="18"/>
  <c r="P449" i="18"/>
  <c r="E10" i="18"/>
  <c r="P417" i="18"/>
  <c r="O483" i="19"/>
  <c r="O469" i="19"/>
  <c r="O449" i="19"/>
  <c r="E9" i="19"/>
  <c r="O417" i="19"/>
  <c r="O716" i="18"/>
  <c r="O718" i="18" s="1"/>
  <c r="O709" i="18"/>
  <c r="O722" i="18"/>
  <c r="O725" i="18" s="1"/>
  <c r="P722" i="18"/>
  <c r="P725" i="18" s="1"/>
  <c r="Q9" i="18" s="1"/>
  <c r="P716" i="18"/>
  <c r="P718" i="18" s="1"/>
  <c r="P709" i="18"/>
  <c r="O483" i="18"/>
  <c r="O469" i="18"/>
  <c r="P514" i="18"/>
  <c r="P500" i="18"/>
  <c r="E9" i="18"/>
  <c r="O449" i="18"/>
  <c r="O417" i="18"/>
  <c r="P716" i="19"/>
  <c r="P718" i="19" s="1"/>
  <c r="P722" i="19"/>
  <c r="P725" i="19" s="1"/>
  <c r="Q9" i="19" s="1"/>
  <c r="P709" i="19"/>
  <c r="E10" i="19"/>
  <c r="P449" i="19"/>
  <c r="P417" i="19"/>
  <c r="F719" i="18" l="1"/>
  <c r="O484" i="18"/>
  <c r="G9" i="18" s="1"/>
  <c r="O470" i="18"/>
  <c r="O450" i="19"/>
  <c r="F9" i="19" s="1"/>
  <c r="J4" i="19" s="1"/>
  <c r="F11" i="9" s="1"/>
  <c r="O415" i="19"/>
  <c r="O448" i="19" s="1"/>
  <c r="O421" i="19"/>
  <c r="O515" i="18"/>
  <c r="O501" i="18"/>
  <c r="P450" i="19"/>
  <c r="F10" i="19" s="1"/>
  <c r="P415" i="19"/>
  <c r="P448" i="19" s="1"/>
  <c r="P421" i="19"/>
  <c r="F726" i="18"/>
  <c r="E11" i="19"/>
  <c r="P450" i="18"/>
  <c r="F10" i="18" s="1"/>
  <c r="P415" i="18"/>
  <c r="P448" i="18" s="1"/>
  <c r="P421" i="18"/>
  <c r="O415" i="18"/>
  <c r="O448" i="18" s="1"/>
  <c r="O450" i="18"/>
  <c r="F9" i="18" s="1"/>
  <c r="J4" i="18" s="1"/>
  <c r="E11" i="9" s="1"/>
  <c r="O421" i="18"/>
  <c r="P712" i="19"/>
  <c r="Q10" i="19" s="1"/>
  <c r="M5" i="19"/>
  <c r="P484" i="18"/>
  <c r="G10" i="18" s="1"/>
  <c r="G11" i="18" s="1"/>
  <c r="P470" i="18"/>
  <c r="P515" i="19"/>
  <c r="P501" i="19"/>
  <c r="P515" i="18"/>
  <c r="P501" i="18"/>
  <c r="P712" i="18"/>
  <c r="Q10" i="18" s="1"/>
  <c r="M5" i="18"/>
  <c r="M4" i="18"/>
  <c r="O712" i="18"/>
  <c r="E11" i="18"/>
  <c r="O515" i="19"/>
  <c r="O501" i="19"/>
  <c r="P484" i="19"/>
  <c r="G10" i="19" s="1"/>
  <c r="P470" i="19"/>
  <c r="F744" i="18"/>
  <c r="O5" i="18" s="1"/>
  <c r="F750" i="18"/>
  <c r="O484" i="19"/>
  <c r="G9" i="19" s="1"/>
  <c r="O470" i="19"/>
  <c r="O709" i="19"/>
  <c r="R532" i="19"/>
  <c r="O716" i="19"/>
  <c r="O718" i="19" s="1"/>
  <c r="F719" i="19" s="1"/>
  <c r="O722" i="19"/>
  <c r="O725" i="19" s="1"/>
  <c r="F726" i="19" s="1"/>
  <c r="O712" i="19" l="1"/>
  <c r="F713" i="19" s="1"/>
  <c r="M4" i="19"/>
  <c r="M6" i="19" s="1"/>
  <c r="G750" i="19"/>
  <c r="G744" i="19"/>
  <c r="O4" i="19" s="1"/>
  <c r="F756" i="19"/>
  <c r="F764" i="19" s="1"/>
  <c r="F11" i="19"/>
  <c r="J5" i="19"/>
  <c r="F744" i="19"/>
  <c r="O5" i="19" s="1"/>
  <c r="F750" i="19"/>
  <c r="P485" i="19"/>
  <c r="P476" i="19"/>
  <c r="P491" i="19" s="1"/>
  <c r="P420" i="18"/>
  <c r="P427" i="18"/>
  <c r="P460" i="18" s="1"/>
  <c r="P454" i="18"/>
  <c r="P453" i="18" s="1"/>
  <c r="G750" i="18"/>
  <c r="F756" i="18"/>
  <c r="F764" i="18" s="1"/>
  <c r="G744" i="18"/>
  <c r="O4" i="18" s="1"/>
  <c r="O507" i="18"/>
  <c r="O516" i="18"/>
  <c r="K4" i="18" s="1"/>
  <c r="E14" i="9" s="1"/>
  <c r="O516" i="19"/>
  <c r="K4" i="19" s="1"/>
  <c r="F14" i="9" s="1"/>
  <c r="O507" i="19"/>
  <c r="O485" i="19"/>
  <c r="O476" i="19"/>
  <c r="O491" i="19" s="1"/>
  <c r="P507" i="19"/>
  <c r="P516" i="19"/>
  <c r="K5" i="19" s="1"/>
  <c r="F746" i="18"/>
  <c r="F747" i="18" s="1"/>
  <c r="P5" i="18" s="1"/>
  <c r="G11" i="19"/>
  <c r="F713" i="18"/>
  <c r="P507" i="18"/>
  <c r="P516" i="18"/>
  <c r="K5" i="18" s="1"/>
  <c r="P476" i="18"/>
  <c r="P491" i="18" s="1"/>
  <c r="P485" i="18"/>
  <c r="O454" i="18"/>
  <c r="O453" i="18" s="1"/>
  <c r="O427" i="18"/>
  <c r="O460" i="18" s="1"/>
  <c r="O420" i="18"/>
  <c r="P420" i="19"/>
  <c r="P454" i="19"/>
  <c r="P453" i="19" s="1"/>
  <c r="P427" i="19"/>
  <c r="P460" i="19" s="1"/>
  <c r="O485" i="18"/>
  <c r="O476" i="18"/>
  <c r="O491" i="18" s="1"/>
  <c r="M6" i="18"/>
  <c r="G11" i="9"/>
  <c r="M10" i="9" s="1"/>
  <c r="M11" i="9" s="1"/>
  <c r="F11" i="18"/>
  <c r="J5" i="18"/>
  <c r="O420" i="19"/>
  <c r="O454" i="19"/>
  <c r="O453" i="19" s="1"/>
  <c r="O427" i="19"/>
  <c r="O460" i="19" s="1"/>
  <c r="K6" i="19" l="1"/>
  <c r="F746" i="19"/>
  <c r="F747" i="19" s="1"/>
  <c r="P5" i="19" s="1"/>
  <c r="K6" i="18"/>
  <c r="G746" i="18"/>
  <c r="G747" i="18" s="1"/>
  <c r="P4" i="18" s="1"/>
  <c r="P522" i="18"/>
  <c r="L5" i="18" s="1"/>
  <c r="G751" i="18"/>
  <c r="G752" i="18" s="1"/>
  <c r="G753" i="18" s="1"/>
  <c r="Q4" i="18" s="1"/>
  <c r="F751" i="18"/>
  <c r="F752" i="18" s="1"/>
  <c r="F753" i="18" s="1"/>
  <c r="Q5" i="18" s="1"/>
  <c r="F751" i="19"/>
  <c r="F752" i="19" s="1"/>
  <c r="F753" i="19" s="1"/>
  <c r="Q5" i="19" s="1"/>
  <c r="O522" i="19"/>
  <c r="L4" i="19" s="1"/>
  <c r="F17" i="9" s="1"/>
  <c r="F738" i="19"/>
  <c r="F739" i="19" s="1"/>
  <c r="F740" i="19" s="1"/>
  <c r="S9" i="19" s="1"/>
  <c r="F731" i="19"/>
  <c r="F732" i="19" s="1"/>
  <c r="F733" i="19" s="1"/>
  <c r="S10" i="19" s="1"/>
  <c r="J6" i="19"/>
  <c r="F21" i="9"/>
  <c r="J6" i="18"/>
  <c r="E21" i="9"/>
  <c r="G21" i="9" s="1"/>
  <c r="M20" i="9" s="1"/>
  <c r="M21" i="9" s="1"/>
  <c r="P522" i="19"/>
  <c r="L5" i="19" s="1"/>
  <c r="G751" i="19"/>
  <c r="G752" i="19" s="1"/>
  <c r="G753" i="19" s="1"/>
  <c r="Q4" i="19" s="1"/>
  <c r="G14" i="9"/>
  <c r="M13" i="9" s="1"/>
  <c r="M14" i="9" s="1"/>
  <c r="G746" i="19"/>
  <c r="G747" i="19" s="1"/>
  <c r="P4" i="19" s="1"/>
  <c r="F731" i="18"/>
  <c r="F732" i="18" s="1"/>
  <c r="F733" i="18" s="1"/>
  <c r="S10" i="18" s="1"/>
  <c r="O522" i="18"/>
  <c r="L4" i="18" s="1"/>
  <c r="E17" i="9" s="1"/>
  <c r="G17" i="9" s="1"/>
  <c r="M16" i="9" s="1"/>
  <c r="M17" i="9" s="1"/>
  <c r="F738" i="18"/>
  <c r="F739" i="18" s="1"/>
  <c r="F740" i="18" s="1"/>
  <c r="S9" i="18" s="1"/>
  <c r="S5" i="19" l="1"/>
  <c r="R5" i="19"/>
  <c r="S5" i="18"/>
  <c r="R5" i="18"/>
  <c r="S4" i="18"/>
  <c r="R4" i="18"/>
  <c r="F24" i="9"/>
  <c r="L6" i="19"/>
  <c r="R4" i="19"/>
  <c r="S4" i="19"/>
  <c r="L6" i="18"/>
  <c r="E24" i="9"/>
  <c r="G24" i="9" l="1"/>
  <c r="M23" i="9" s="1"/>
  <c r="M24" i="9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Kati Jagnow</author>
  </authors>
  <commentList>
    <comment ref="B3" authorId="0" shapeId="0" xr:uid="{992D27EE-9999-4AD0-B08D-5DB87BB8F90B}">
      <text>
        <r>
          <rPr>
            <b/>
            <sz val="9"/>
            <color indexed="81"/>
            <rFont val="Segoe UI"/>
            <family val="2"/>
          </rPr>
          <t>hier einen Variantennamen eintragen (informativ)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Kati Jagnow</author>
  </authors>
  <commentList>
    <comment ref="A39" authorId="0" shapeId="0" xr:uid="{87D3203A-20C3-4D6F-A9CF-A2BBC7624F58}">
      <text>
        <r>
          <rPr>
            <b/>
            <sz val="9"/>
            <color indexed="81"/>
            <rFont val="Segoe UI"/>
            <charset val="1"/>
          </rPr>
          <t>"x" für individuelle Eingaben in dieser Rubrik (Spalte D ff.), 
sonst Zelle leerlassen (es wird dann mit den Mittelwerten aus Spalte D gerechnet)</t>
        </r>
      </text>
    </comment>
    <comment ref="D39" authorId="0" shapeId="0" xr:uid="{CE833EDD-1A72-4D9D-97B3-25CEE90314AC}">
      <text>
        <r>
          <rPr>
            <b/>
            <sz val="9"/>
            <color indexed="81"/>
            <rFont val="Segoe UI"/>
            <charset val="1"/>
          </rPr>
          <t>"v" für "vorher"
"n" für "nachher",
wenn vorher und nachher gleich, dann nur "v"</t>
        </r>
      </text>
    </comment>
    <comment ref="E39" authorId="0" shapeId="0" xr:uid="{3724F2BF-6144-47E2-9DED-6DEF6BEC1886}">
      <text>
        <r>
          <rPr>
            <b/>
            <sz val="9"/>
            <color indexed="81"/>
            <rFont val="Segoe UI"/>
            <charset val="1"/>
          </rPr>
          <t>"v" für "vorher"
"n" für "nachher",
wenn vorher und nachher gleich, dann nur "v"</t>
        </r>
      </text>
    </comment>
    <comment ref="F39" authorId="0" shapeId="0" xr:uid="{39B5D01B-AFA5-4D6A-84C5-455B289883F4}">
      <text>
        <r>
          <rPr>
            <b/>
            <sz val="9"/>
            <color indexed="81"/>
            <rFont val="Segoe UI"/>
            <charset val="1"/>
          </rPr>
          <t>"v" für "vorher"
"n" für "nachher",
wenn vorher und nachher gleich, dann nur "v"</t>
        </r>
      </text>
    </comment>
    <comment ref="G39" authorId="0" shapeId="0" xr:uid="{AC182A2A-5769-4722-BC2B-408FFFE2E332}">
      <text>
        <r>
          <rPr>
            <b/>
            <sz val="9"/>
            <color indexed="81"/>
            <rFont val="Segoe UI"/>
            <charset val="1"/>
          </rPr>
          <t>"v" für "vorher"
"n" für "nachher",
wenn vorher und nachher gleich, dann nur "v"</t>
        </r>
      </text>
    </comment>
    <comment ref="H39" authorId="0" shapeId="0" xr:uid="{AFC17409-B322-44F4-A608-E06F9E9125C9}">
      <text>
        <r>
          <rPr>
            <b/>
            <sz val="9"/>
            <color indexed="81"/>
            <rFont val="Segoe UI"/>
            <charset val="1"/>
          </rPr>
          <t>"v" für "vorher"
"n" für "nachher",
wenn vorher und nachher gleich, dann nur "v"</t>
        </r>
      </text>
    </comment>
    <comment ref="A44" authorId="0" shapeId="0" xr:uid="{00C15E27-E725-4B64-98D1-8930222165BF}">
      <text>
        <r>
          <rPr>
            <b/>
            <sz val="9"/>
            <color indexed="81"/>
            <rFont val="Segoe UI"/>
            <charset val="1"/>
          </rPr>
          <t>"x" für individuelle Eingaben in dieser Rubrik (Spalte D ff.), 
sonst Zelle leerlassen (es wird dann mit den Mittelwerten aus Spalte D gerechnet)</t>
        </r>
      </text>
    </comment>
    <comment ref="D44" authorId="0" shapeId="0" xr:uid="{E69D34B1-318D-437F-9F32-283512175E63}">
      <text>
        <r>
          <rPr>
            <b/>
            <sz val="9"/>
            <color indexed="81"/>
            <rFont val="Segoe UI"/>
            <charset val="1"/>
          </rPr>
          <t>"v" für "vorher"
"n" für "nachher",
wenn vorher und nachher gleich, dann nur "v"</t>
        </r>
      </text>
    </comment>
    <comment ref="E44" authorId="0" shapeId="0" xr:uid="{7512F7BB-8CD5-42F9-AF34-9D40FBF94020}">
      <text>
        <r>
          <rPr>
            <b/>
            <sz val="9"/>
            <color indexed="81"/>
            <rFont val="Segoe UI"/>
            <charset val="1"/>
          </rPr>
          <t>"v" für "vorher"
"n" für "nachher",
wenn vorher und nachher gleich, dann nur "v"</t>
        </r>
      </text>
    </comment>
    <comment ref="F44" authorId="0" shapeId="0" xr:uid="{ED859E64-A7B0-4331-B559-7EDC2AC5268F}">
      <text>
        <r>
          <rPr>
            <b/>
            <sz val="9"/>
            <color indexed="81"/>
            <rFont val="Segoe UI"/>
            <charset val="1"/>
          </rPr>
          <t>"v" für "vorher"
"n" für "nachher",
wenn vorher und nachher gleich, dann nur "v"</t>
        </r>
      </text>
    </comment>
    <comment ref="G44" authorId="0" shapeId="0" xr:uid="{033B205C-2B13-4A41-B96B-C98A230160A6}">
      <text>
        <r>
          <rPr>
            <b/>
            <sz val="9"/>
            <color indexed="81"/>
            <rFont val="Segoe UI"/>
            <charset val="1"/>
          </rPr>
          <t>"v" für "vorher"
"n" für "nachher",
wenn vorher und nachher gleich, dann nur "v"</t>
        </r>
      </text>
    </comment>
    <comment ref="H44" authorId="0" shapeId="0" xr:uid="{09B049E3-B56F-4096-91ED-286D61465907}">
      <text>
        <r>
          <rPr>
            <b/>
            <sz val="9"/>
            <color indexed="81"/>
            <rFont val="Segoe UI"/>
            <charset val="1"/>
          </rPr>
          <t>"v" für "vorher"
"n" für "nachher",
wenn vorher und nachher gleich, dann nur "v"</t>
        </r>
      </text>
    </comment>
    <comment ref="A50" authorId="0" shapeId="0" xr:uid="{350238CE-EE14-4733-BFD5-4C5A3667A1C4}">
      <text>
        <r>
          <rPr>
            <b/>
            <sz val="9"/>
            <color indexed="81"/>
            <rFont val="Segoe UI"/>
            <charset val="1"/>
          </rPr>
          <t>"x" für individuelle Eingaben in dieser Rubrik (Spalte D ff.), 
sonst Zelle leerlassen (es wird dann mit den Mittelwerten aus Spalte D gerechnet)</t>
        </r>
      </text>
    </comment>
    <comment ref="D50" authorId="0" shapeId="0" xr:uid="{6C132364-7D6C-4A0B-88F0-81C5DB8FABB3}">
      <text>
        <r>
          <rPr>
            <b/>
            <sz val="9"/>
            <color indexed="81"/>
            <rFont val="Segoe UI"/>
            <charset val="1"/>
          </rPr>
          <t>"v" für "vorher"
"n" für "nachher",
wenn vorher und nachher gleich, dann nur "v"</t>
        </r>
      </text>
    </comment>
    <comment ref="E50" authorId="0" shapeId="0" xr:uid="{7CD92464-8A72-406E-9EA0-5FF646C0B1B2}">
      <text>
        <r>
          <rPr>
            <b/>
            <sz val="9"/>
            <color indexed="81"/>
            <rFont val="Segoe UI"/>
            <charset val="1"/>
          </rPr>
          <t>"v" für "vorher"
"n" für "nachher",
wenn vorher und nachher gleich, dann nur "v"</t>
        </r>
      </text>
    </comment>
    <comment ref="F50" authorId="0" shapeId="0" xr:uid="{41672FDD-6F0D-4F77-A0E2-8B19525F1CAE}">
      <text>
        <r>
          <rPr>
            <b/>
            <sz val="9"/>
            <color indexed="81"/>
            <rFont val="Segoe UI"/>
            <charset val="1"/>
          </rPr>
          <t>"v" für "vorher"
"n" für "nachher",
wenn vorher und nachher gleich, dann nur "v"</t>
        </r>
      </text>
    </comment>
    <comment ref="G50" authorId="0" shapeId="0" xr:uid="{F17F46C2-1E1D-4250-9691-3C107064D346}">
      <text>
        <r>
          <rPr>
            <b/>
            <sz val="9"/>
            <color indexed="81"/>
            <rFont val="Segoe UI"/>
            <charset val="1"/>
          </rPr>
          <t>"v" für "vorher"
"n" für "nachher",
wenn vorher und nachher gleich, dann nur "v"</t>
        </r>
      </text>
    </comment>
    <comment ref="H50" authorId="0" shapeId="0" xr:uid="{3E88F453-C854-4940-9B01-4AFEE281E21F}">
      <text>
        <r>
          <rPr>
            <b/>
            <sz val="9"/>
            <color indexed="81"/>
            <rFont val="Segoe UI"/>
            <charset val="1"/>
          </rPr>
          <t>"v" für "vorher"
"n" für "nachher",
wenn vorher und nachher gleich, dann nur "v"</t>
        </r>
      </text>
    </comment>
    <comment ref="A56" authorId="0" shapeId="0" xr:uid="{10A438FC-4E36-4343-8893-EDF0591A0159}">
      <text>
        <r>
          <rPr>
            <b/>
            <sz val="9"/>
            <color indexed="81"/>
            <rFont val="Segoe UI"/>
            <charset val="1"/>
          </rPr>
          <t>"x" für individuelle Eingaben in dieser Rubrik (Spalte D ff.), 
sonst Zelle leerlassen (es wird dann mit den Mittelwerten aus Spalte D gerechnet)</t>
        </r>
      </text>
    </comment>
    <comment ref="D56" authorId="0" shapeId="0" xr:uid="{BBD1A721-5F5E-4F9F-A86B-89038E7B6DB5}">
      <text>
        <r>
          <rPr>
            <b/>
            <sz val="9"/>
            <color indexed="81"/>
            <rFont val="Segoe UI"/>
            <charset val="1"/>
          </rPr>
          <t>"v" für "vorher"
"n" für "nachher",
wenn vorher und nachher gleich, dann nur "v"</t>
        </r>
      </text>
    </comment>
    <comment ref="E56" authorId="0" shapeId="0" xr:uid="{4E5FB73C-A09F-4EB7-8D2F-7C43DB17F54F}">
      <text>
        <r>
          <rPr>
            <b/>
            <sz val="9"/>
            <color indexed="81"/>
            <rFont val="Segoe UI"/>
            <charset val="1"/>
          </rPr>
          <t>"v" für "vorher"
"n" für "nachher",
wenn vorher und nachher gleich, dann nur "v"</t>
        </r>
      </text>
    </comment>
    <comment ref="F56" authorId="0" shapeId="0" xr:uid="{8B42F460-0D43-4148-928C-798D8869135F}">
      <text>
        <r>
          <rPr>
            <b/>
            <sz val="9"/>
            <color indexed="81"/>
            <rFont val="Segoe UI"/>
            <charset val="1"/>
          </rPr>
          <t>"v" für "vorher"
"n" für "nachher",
wenn vorher und nachher gleich, dann nur "v"</t>
        </r>
      </text>
    </comment>
    <comment ref="G56" authorId="0" shapeId="0" xr:uid="{02C308ED-DC99-4496-A69A-F48AC8A150EE}">
      <text>
        <r>
          <rPr>
            <b/>
            <sz val="9"/>
            <color indexed="81"/>
            <rFont val="Segoe UI"/>
            <charset val="1"/>
          </rPr>
          <t>"v" für "vorher"
"n" für "nachher",
wenn vorher und nachher gleich, dann nur "v"</t>
        </r>
      </text>
    </comment>
    <comment ref="H56" authorId="0" shapeId="0" xr:uid="{DD94B028-856C-4E16-A441-EE4F46AC15EF}">
      <text>
        <r>
          <rPr>
            <b/>
            <sz val="9"/>
            <color indexed="81"/>
            <rFont val="Segoe UI"/>
            <charset val="1"/>
          </rPr>
          <t>"v" für "vorher"
"n" für "nachher",
wenn vorher und nachher gleich, dann nur "v"</t>
        </r>
      </text>
    </comment>
    <comment ref="A85" authorId="0" shapeId="0" xr:uid="{60AF55D3-D186-4E1B-A8DB-C7B7E9B93A73}">
      <text>
        <r>
          <rPr>
            <b/>
            <sz val="9"/>
            <color indexed="81"/>
            <rFont val="Segoe UI"/>
            <charset val="1"/>
          </rPr>
          <t>"x" für individuelle Eingaben in dieser Rubrik (Spalte D ff.), 
sonst Zelle leerlassen (es wird dann mit den Mittelwerten aus Spalte D gerechnet)</t>
        </r>
      </text>
    </comment>
    <comment ref="D85" authorId="0" shapeId="0" xr:uid="{7AB2E2BB-EBCF-42AA-8479-EF17106CA51B}">
      <text>
        <r>
          <rPr>
            <b/>
            <sz val="9"/>
            <color indexed="81"/>
            <rFont val="Segoe UI"/>
            <charset val="1"/>
          </rPr>
          <t>"v" für "vorher"
"n" für "nachher",
wenn vorher und nachher gleich, dann nur "v"</t>
        </r>
      </text>
    </comment>
    <comment ref="E85" authorId="0" shapeId="0" xr:uid="{FF576485-5D53-4E62-B094-432C13E9A137}">
      <text>
        <r>
          <rPr>
            <b/>
            <sz val="9"/>
            <color indexed="81"/>
            <rFont val="Segoe UI"/>
            <charset val="1"/>
          </rPr>
          <t>"v" für "vorher"
"n" für "nachher",
wenn vorher und nachher gleich, dann nur "v"</t>
        </r>
      </text>
    </comment>
    <comment ref="F85" authorId="0" shapeId="0" xr:uid="{C7E6A8BC-5871-4266-B940-4BA2B94B69A2}">
      <text>
        <r>
          <rPr>
            <b/>
            <sz val="9"/>
            <color indexed="81"/>
            <rFont val="Segoe UI"/>
            <charset val="1"/>
          </rPr>
          <t>"v" für "vorher"
"n" für "nachher",
wenn vorher und nachher gleich, dann nur "v"</t>
        </r>
      </text>
    </comment>
    <comment ref="A129" authorId="0" shapeId="0" xr:uid="{FF041788-08D7-482F-8020-F5D8B14A89A1}">
      <text>
        <r>
          <rPr>
            <b/>
            <sz val="9"/>
            <color indexed="81"/>
            <rFont val="Segoe UI"/>
            <charset val="1"/>
          </rPr>
          <t>"x" für individuelle Eingaben in dieser Rubrik (Spalte D ff.), 
sonst Zelle leerlassen (es wird dann mit den Mittelwerten aus Spalte D gerechnet)</t>
        </r>
      </text>
    </comment>
    <comment ref="D129" authorId="0" shapeId="0" xr:uid="{C7FE0A9C-F7E7-4F39-B5DB-D69C46F51245}">
      <text>
        <r>
          <rPr>
            <b/>
            <sz val="9"/>
            <color indexed="81"/>
            <rFont val="Segoe UI"/>
            <charset val="1"/>
          </rPr>
          <t>"v" für "vorher"
"n" für "nachher",
wenn vorher und nachher gleich, dann nur "v"</t>
        </r>
      </text>
    </comment>
    <comment ref="E129" authorId="0" shapeId="0" xr:uid="{6046D4EA-6916-46D1-B298-49A20BF818BE}">
      <text>
        <r>
          <rPr>
            <b/>
            <sz val="9"/>
            <color indexed="81"/>
            <rFont val="Segoe UI"/>
            <charset val="1"/>
          </rPr>
          <t>"v" für "vorher"
"n" für "nachher",
wenn vorher und nachher gleich, dann nur "v"</t>
        </r>
      </text>
    </comment>
    <comment ref="F129" authorId="0" shapeId="0" xr:uid="{AD3BE785-EC77-47C3-954F-152BAAE0347B}">
      <text>
        <r>
          <rPr>
            <b/>
            <sz val="9"/>
            <color indexed="81"/>
            <rFont val="Segoe UI"/>
            <charset val="1"/>
          </rPr>
          <t>"v" für "vorher"
"n" für "nachher",
wenn vorher und nachher gleich, dann nur "v"</t>
        </r>
      </text>
    </comment>
    <comment ref="G129" authorId="0" shapeId="0" xr:uid="{4D6C18D4-5DD0-4213-B427-8498B6EF4FE4}">
      <text>
        <r>
          <rPr>
            <b/>
            <sz val="9"/>
            <color indexed="81"/>
            <rFont val="Segoe UI"/>
            <charset val="1"/>
          </rPr>
          <t>"v" für "vorher"
"n" für "nachher",
wenn vorher und nachher gleich, dann nur "v"</t>
        </r>
      </text>
    </comment>
    <comment ref="A161" authorId="0" shapeId="0" xr:uid="{8BBAAD9F-FCA1-44CA-BBCF-BFFD02E10457}">
      <text>
        <r>
          <rPr>
            <b/>
            <sz val="9"/>
            <color indexed="81"/>
            <rFont val="Segoe UI"/>
            <charset val="1"/>
          </rPr>
          <t>"x" für individuelle Eingaben in dieser Rubrik (Spalte D ff.), 
sonst Zelle leerlassen (es wird dann mit den Mittelwerten aus Spalte D gerechnet)</t>
        </r>
      </text>
    </comment>
    <comment ref="D161" authorId="0" shapeId="0" xr:uid="{92F26E29-2951-443C-A3A4-45DFEBD7226A}">
      <text>
        <r>
          <rPr>
            <b/>
            <sz val="9"/>
            <color indexed="81"/>
            <rFont val="Segoe UI"/>
            <charset val="1"/>
          </rPr>
          <t>"v" für "vorher"
"n" für "nachher",
wenn vorher und nachher gleich, dann nur "v"</t>
        </r>
      </text>
    </comment>
    <comment ref="E161" authorId="0" shapeId="0" xr:uid="{EAFD9429-6C01-4CF9-823D-5E394A43AFAF}">
      <text>
        <r>
          <rPr>
            <b/>
            <sz val="9"/>
            <color indexed="81"/>
            <rFont val="Segoe UI"/>
            <charset val="1"/>
          </rPr>
          <t>"v" für "vorher"
"n" für "nachher",
wenn vorher und nachher gleich, dann nur "v"</t>
        </r>
      </text>
    </comment>
    <comment ref="F161" authorId="0" shapeId="0" xr:uid="{59B10C43-8DA8-4772-ACA4-36974707D283}">
      <text>
        <r>
          <rPr>
            <b/>
            <sz val="9"/>
            <color indexed="81"/>
            <rFont val="Segoe UI"/>
            <charset val="1"/>
          </rPr>
          <t>"v" für "vorher"
"n" für "nachher",
wenn vorher und nachher gleich, dann nur "v"</t>
        </r>
      </text>
    </comment>
    <comment ref="G161" authorId="0" shapeId="0" xr:uid="{D9F779BB-9ED3-48E6-8382-BE6515A71DFD}">
      <text>
        <r>
          <rPr>
            <b/>
            <sz val="9"/>
            <color indexed="81"/>
            <rFont val="Segoe UI"/>
            <charset val="1"/>
          </rPr>
          <t>"v" für "vorher"
"n" für "nachher",
wenn vorher und nachher gleich, dann nur "v"</t>
        </r>
      </text>
    </comment>
    <comment ref="A276" authorId="0" shapeId="0" xr:uid="{31BCA306-2CAE-4668-9BF0-A5BCAFF8E559}">
      <text>
        <r>
          <rPr>
            <b/>
            <sz val="9"/>
            <color indexed="81"/>
            <rFont val="Segoe UI"/>
            <charset val="1"/>
          </rPr>
          <t>"x" für individuelle Eingaben in dieser Rubrik (Spalte D ff.), 
sonst Zelle leerlassen (es wird dann mit den Mittelwerten aus Spalte D gerechnet)</t>
        </r>
      </text>
    </comment>
    <comment ref="D276" authorId="0" shapeId="0" xr:uid="{B75933A9-1418-4DAC-9DB7-FB15BF76F4B3}">
      <text>
        <r>
          <rPr>
            <b/>
            <sz val="9"/>
            <color indexed="81"/>
            <rFont val="Segoe UI"/>
            <charset val="1"/>
          </rPr>
          <t>"v" für "vorher"
"n" für "nachher",
wenn vorher und nachher gleich, dann nur "v"</t>
        </r>
      </text>
    </comment>
    <comment ref="E276" authorId="0" shapeId="0" xr:uid="{938BF365-C592-43BF-8EA0-0B754942956F}">
      <text>
        <r>
          <rPr>
            <b/>
            <sz val="9"/>
            <color indexed="81"/>
            <rFont val="Segoe UI"/>
            <charset val="1"/>
          </rPr>
          <t>"v" für "vorher"
"n" für "nachher",
wenn vorher und nachher gleich, dann nur "v"</t>
        </r>
      </text>
    </comment>
    <comment ref="F276" authorId="0" shapeId="0" xr:uid="{1A5F6929-ECBF-460D-BE20-284B94C2DC92}">
      <text>
        <r>
          <rPr>
            <b/>
            <sz val="9"/>
            <color indexed="81"/>
            <rFont val="Segoe UI"/>
            <charset val="1"/>
          </rPr>
          <t>"v" für "vorher"
"n" für "nachher",
wenn vorher und nachher gleich, dann nur "v"</t>
        </r>
      </text>
    </comment>
    <comment ref="G276" authorId="0" shapeId="0" xr:uid="{17E6E3F8-FB44-402F-B930-91B86B84725A}">
      <text>
        <r>
          <rPr>
            <b/>
            <sz val="9"/>
            <color indexed="81"/>
            <rFont val="Segoe UI"/>
            <charset val="1"/>
          </rPr>
          <t>"v" für "vorher"
"n" für "nachher",
wenn vorher und nachher gleich, dann nur "v"</t>
        </r>
      </text>
    </comment>
    <comment ref="H276" authorId="0" shapeId="0" xr:uid="{DA49BBD3-BF3A-431E-98DF-145B3ED05B0E}">
      <text>
        <r>
          <rPr>
            <b/>
            <sz val="9"/>
            <color indexed="81"/>
            <rFont val="Segoe UI"/>
            <charset val="1"/>
          </rPr>
          <t>"v" für "vorher"
"n" für "nachher",
wenn vorher und nachher gleich, dann nur "v"</t>
        </r>
      </text>
    </comment>
    <comment ref="I276" authorId="0" shapeId="0" xr:uid="{21B49A80-821E-4494-A940-E18A83E17731}">
      <text>
        <r>
          <rPr>
            <b/>
            <sz val="9"/>
            <color indexed="81"/>
            <rFont val="Segoe UI"/>
            <charset val="1"/>
          </rPr>
          <t>"v" für "vorher"
"n" für "nachher",
wenn vorher und nachher gleich, dann nur "v"</t>
        </r>
      </text>
    </comment>
    <comment ref="J276" authorId="0" shapeId="0" xr:uid="{24597EAC-7FA2-410B-ACFC-4398C8393700}">
      <text>
        <r>
          <rPr>
            <b/>
            <sz val="9"/>
            <color indexed="81"/>
            <rFont val="Segoe UI"/>
            <charset val="1"/>
          </rPr>
          <t>"v" für "vorher"
"n" für "nachher",
wenn vorher und nachher gleich, dann nur "v"</t>
        </r>
      </text>
    </comment>
    <comment ref="K276" authorId="0" shapeId="0" xr:uid="{0E1A3B2E-87B3-4B96-AD6C-8084FCE0F43B}">
      <text>
        <r>
          <rPr>
            <b/>
            <sz val="9"/>
            <color indexed="81"/>
            <rFont val="Segoe UI"/>
            <charset val="1"/>
          </rPr>
          <t>"v" für "vorher"
"n" für "nachher",
wenn vorher und nachher gleich, dann nur "v"</t>
        </r>
      </text>
    </comment>
    <comment ref="L276" authorId="0" shapeId="0" xr:uid="{221E7CED-8CD9-45C8-AEA7-B1E97F6B5B5E}">
      <text>
        <r>
          <rPr>
            <b/>
            <sz val="9"/>
            <color indexed="81"/>
            <rFont val="Segoe UI"/>
            <charset val="1"/>
          </rPr>
          <t>"v" für "vorher"
"n" für "nachher",
wenn vorher und nachher gleich, dann nur "v"</t>
        </r>
      </text>
    </comment>
    <comment ref="M276" authorId="0" shapeId="0" xr:uid="{4CCEB84D-D049-495C-A5D8-7CE9D3B43215}">
      <text>
        <r>
          <rPr>
            <b/>
            <sz val="9"/>
            <color indexed="81"/>
            <rFont val="Segoe UI"/>
            <charset val="1"/>
          </rPr>
          <t>"v" für "vorher"
"n" für "nachher",
wenn vorher und nachher gleich, dann nur "v"</t>
        </r>
      </text>
    </comment>
    <comment ref="A303" authorId="0" shapeId="0" xr:uid="{0AB563FD-1544-4333-B66B-86260AF24C48}">
      <text>
        <r>
          <rPr>
            <b/>
            <sz val="9"/>
            <color indexed="81"/>
            <rFont val="Segoe UI"/>
            <charset val="1"/>
          </rPr>
          <t>"x" für individuelle Eingaben in dieser Rubrik (Spalte D ff.), 
sonst Zelle leerlassen (es wird dann mit den Mittelwerten aus Spalte D gerechnet)</t>
        </r>
      </text>
    </comment>
    <comment ref="D303" authorId="0" shapeId="0" xr:uid="{861BE198-D9D0-48F0-B409-5C451F67A99D}">
      <text>
        <r>
          <rPr>
            <b/>
            <sz val="9"/>
            <color indexed="81"/>
            <rFont val="Segoe UI"/>
            <charset val="1"/>
          </rPr>
          <t>"v" für "vorher"
"n" für "nachher",
wenn vorher und nachher gleich, dann nur "v"</t>
        </r>
      </text>
    </comment>
    <comment ref="E303" authorId="0" shapeId="0" xr:uid="{3A250F57-DC08-4886-B330-6A2EF232572F}">
      <text>
        <r>
          <rPr>
            <b/>
            <sz val="9"/>
            <color indexed="81"/>
            <rFont val="Segoe UI"/>
            <charset val="1"/>
          </rPr>
          <t>"v" für "vorher"
"n" für "nachher",
wenn vorher und nachher gleich, dann nur "v"</t>
        </r>
      </text>
    </comment>
    <comment ref="F303" authorId="0" shapeId="0" xr:uid="{9A737AA7-4AEF-4DDB-9A02-74A80FA4E54C}">
      <text>
        <r>
          <rPr>
            <b/>
            <sz val="9"/>
            <color indexed="81"/>
            <rFont val="Segoe UI"/>
            <charset val="1"/>
          </rPr>
          <t>"v" für "vorher"
"n" für "nachher",
wenn vorher und nachher gleich, dann nur "v"</t>
        </r>
      </text>
    </comment>
    <comment ref="G303" authorId="0" shapeId="0" xr:uid="{DBAA6987-6DDC-4175-A794-D65ADD3C2D96}">
      <text>
        <r>
          <rPr>
            <b/>
            <sz val="9"/>
            <color indexed="81"/>
            <rFont val="Segoe UI"/>
            <charset val="1"/>
          </rPr>
          <t>"v" für "vorher"
"n" für "nachher",
wenn vorher und nachher gleich, dann nur "v"</t>
        </r>
      </text>
    </comment>
    <comment ref="H303" authorId="0" shapeId="0" xr:uid="{43043C8E-824C-4D8E-83F0-D6303DA57B24}">
      <text>
        <r>
          <rPr>
            <b/>
            <sz val="9"/>
            <color indexed="81"/>
            <rFont val="Segoe UI"/>
            <charset val="1"/>
          </rPr>
          <t>"v" für "vorher"
"n" für "nachher",
wenn vorher und nachher gleich, dann nur "v"</t>
        </r>
      </text>
    </comment>
    <comment ref="I303" authorId="0" shapeId="0" xr:uid="{163B38CD-9B9D-4A77-8DF6-BFF7AE78B049}">
      <text>
        <r>
          <rPr>
            <b/>
            <sz val="9"/>
            <color indexed="81"/>
            <rFont val="Segoe UI"/>
            <charset val="1"/>
          </rPr>
          <t>"v" für "vorher"
"n" für "nachher",
wenn vorher und nachher gleich, dann nur "v"</t>
        </r>
      </text>
    </comment>
    <comment ref="J303" authorId="0" shapeId="0" xr:uid="{ED254FEE-1729-464C-A453-E75C0D1A7563}">
      <text>
        <r>
          <rPr>
            <b/>
            <sz val="9"/>
            <color indexed="81"/>
            <rFont val="Segoe UI"/>
            <charset val="1"/>
          </rPr>
          <t>"v" für "vorher"
"n" für "nachher",
wenn vorher und nachher gleich, dann nur "v"</t>
        </r>
      </text>
    </comment>
    <comment ref="K303" authorId="0" shapeId="0" xr:uid="{B836794B-6CE2-492A-AB1C-94B2A8A7CD30}">
      <text>
        <r>
          <rPr>
            <b/>
            <sz val="9"/>
            <color indexed="81"/>
            <rFont val="Segoe UI"/>
            <charset val="1"/>
          </rPr>
          <t>"v" für "vorher"
"n" für "nachher",
wenn vorher und nachher gleich, dann nur "v"</t>
        </r>
      </text>
    </comment>
    <comment ref="L303" authorId="0" shapeId="0" xr:uid="{956BC1A2-9967-475B-BD27-535B290FE532}">
      <text>
        <r>
          <rPr>
            <b/>
            <sz val="9"/>
            <color indexed="81"/>
            <rFont val="Segoe UI"/>
            <charset val="1"/>
          </rPr>
          <t>"v" für "vorher"
"n" für "nachher",
wenn vorher und nachher gleich, dann nur "v"</t>
        </r>
      </text>
    </comment>
    <comment ref="M303" authorId="0" shapeId="0" xr:uid="{0E370216-8F63-4338-ABC6-012D596214CA}">
      <text>
        <r>
          <rPr>
            <b/>
            <sz val="9"/>
            <color indexed="81"/>
            <rFont val="Segoe UI"/>
            <charset val="1"/>
          </rPr>
          <t>"v" für "vorher"
"n" für "nachher",
wenn vorher und nachher gleich, dann nur "v"</t>
        </r>
      </text>
    </comment>
    <comment ref="A349" authorId="0" shapeId="0" xr:uid="{E2799614-0915-425B-B437-A64608F81EB2}">
      <text>
        <r>
          <rPr>
            <b/>
            <sz val="9"/>
            <color indexed="81"/>
            <rFont val="Segoe UI"/>
            <charset val="1"/>
          </rPr>
          <t>"x" für individuelle Eingaben in dieser Rubrik (Spalte D ff.), 
sonst Zelle leerlassen (es wird dann mit den Mittelwerten aus Spalte D gerechnet)</t>
        </r>
      </text>
    </comment>
    <comment ref="D349" authorId="0" shapeId="0" xr:uid="{959BA861-8FB9-446F-888C-C47FBF7C32E6}">
      <text>
        <r>
          <rPr>
            <b/>
            <sz val="9"/>
            <color indexed="81"/>
            <rFont val="Segoe UI"/>
            <charset val="1"/>
          </rPr>
          <t>"v" für "vorher"
"n" für "nachher",
wenn vorher und nachher gleich, dann nur "v"</t>
        </r>
      </text>
    </comment>
    <comment ref="E349" authorId="0" shapeId="0" xr:uid="{DE2D337A-BBEE-4109-9599-C2B1F025FEE0}">
      <text>
        <r>
          <rPr>
            <b/>
            <sz val="9"/>
            <color indexed="81"/>
            <rFont val="Segoe UI"/>
            <charset val="1"/>
          </rPr>
          <t>"v" für "vorher"
"n" für "nachher",
wenn vorher und nachher gleich, dann nur "v"</t>
        </r>
      </text>
    </comment>
    <comment ref="F349" authorId="0" shapeId="0" xr:uid="{887020E2-A001-4B5D-8198-B7B40800D088}">
      <text>
        <r>
          <rPr>
            <b/>
            <sz val="9"/>
            <color indexed="81"/>
            <rFont val="Segoe UI"/>
            <charset val="1"/>
          </rPr>
          <t>"v" für "vorher"
"n" für "nachher",
wenn vorher und nachher gleich, dann nur "v"</t>
        </r>
      </text>
    </comment>
    <comment ref="A354" authorId="0" shapeId="0" xr:uid="{CF977BCE-5F3B-41CF-A05D-D691506BEFCB}">
      <text>
        <r>
          <rPr>
            <b/>
            <sz val="9"/>
            <color indexed="81"/>
            <rFont val="Segoe UI"/>
            <charset val="1"/>
          </rPr>
          <t>"x" für individuelle Eingaben in dieser Rubrik (Spalte D ff.), 
sonst Zelle leerlassen (es wird dann mit den Mittelwerten aus Spalte D gerechnet)</t>
        </r>
      </text>
    </comment>
    <comment ref="D354" authorId="0" shapeId="0" xr:uid="{3DE1A6BF-5371-45B6-9D6E-64C3A1E47FB8}">
      <text>
        <r>
          <rPr>
            <b/>
            <sz val="9"/>
            <color indexed="81"/>
            <rFont val="Segoe UI"/>
            <charset val="1"/>
          </rPr>
          <t>"v" für "vorher"
"n" für "nachher",
wenn vorher und nachher gleich, dann nur "v"</t>
        </r>
      </text>
    </comment>
    <comment ref="E354" authorId="0" shapeId="0" xr:uid="{81712A2E-5613-45C1-84B0-43389A51A086}">
      <text>
        <r>
          <rPr>
            <b/>
            <sz val="9"/>
            <color indexed="81"/>
            <rFont val="Segoe UI"/>
            <charset val="1"/>
          </rPr>
          <t>"v" für "vorher"
"n" für "nachher",
wenn vorher und nachher gleich, dann nur "v"</t>
        </r>
      </text>
    </comment>
    <comment ref="F354" authorId="0" shapeId="0" xr:uid="{B15583CA-B194-4A2A-BA54-49018E33EEA4}">
      <text>
        <r>
          <rPr>
            <b/>
            <sz val="9"/>
            <color indexed="81"/>
            <rFont val="Segoe UI"/>
            <charset val="1"/>
          </rPr>
          <t>"v" für "vorher"
"n" für "nachher",
wenn vorher und nachher gleich, dann nur "v"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Kati Jagnow</author>
  </authors>
  <commentList>
    <comment ref="A39" authorId="0" shapeId="0" xr:uid="{B2FFDA36-C3D3-4609-8BF5-46553D98B49B}">
      <text>
        <r>
          <rPr>
            <b/>
            <sz val="9"/>
            <color indexed="81"/>
            <rFont val="Segoe UI"/>
            <charset val="1"/>
          </rPr>
          <t>"x" für individuelle Eingaben in dieser Rubrik (Spalte D ff.), 
sonst Zelle leerlassen (es wird dann mit den Mittelwerten aus Spalte D gerechnet)</t>
        </r>
      </text>
    </comment>
    <comment ref="D39" authorId="0" shapeId="0" xr:uid="{C9EA48A1-5BB4-410A-BEC1-CFC77CC45D5E}">
      <text>
        <r>
          <rPr>
            <b/>
            <sz val="9"/>
            <color indexed="81"/>
            <rFont val="Segoe UI"/>
            <charset val="1"/>
          </rPr>
          <t>"v" für "vorher"
"n" für "nachher",
wenn vorher und nachher gleich, dann nur "v"</t>
        </r>
      </text>
    </comment>
    <comment ref="E39" authorId="0" shapeId="0" xr:uid="{71135934-6A3B-4786-A098-2B75032E06EE}">
      <text>
        <r>
          <rPr>
            <b/>
            <sz val="9"/>
            <color indexed="81"/>
            <rFont val="Segoe UI"/>
            <charset val="1"/>
          </rPr>
          <t>"v" für "vorher"
"n" für "nachher",
wenn vorher und nachher gleich, dann nur "v"</t>
        </r>
      </text>
    </comment>
    <comment ref="F39" authorId="0" shapeId="0" xr:uid="{53249FDA-B8CB-443A-BE2B-FD0AA4316E64}">
      <text>
        <r>
          <rPr>
            <b/>
            <sz val="9"/>
            <color indexed="81"/>
            <rFont val="Segoe UI"/>
            <charset val="1"/>
          </rPr>
          <t>"v" für "vorher"
"n" für "nachher",
wenn vorher und nachher gleich, dann nur "v"</t>
        </r>
      </text>
    </comment>
    <comment ref="G39" authorId="0" shapeId="0" xr:uid="{7E6B7041-BFCA-45A6-A1FE-E3D5F9F50DD8}">
      <text>
        <r>
          <rPr>
            <b/>
            <sz val="9"/>
            <color indexed="81"/>
            <rFont val="Segoe UI"/>
            <charset val="1"/>
          </rPr>
          <t>"v" für "vorher"
"n" für "nachher",
wenn vorher und nachher gleich, dann nur "v"</t>
        </r>
      </text>
    </comment>
    <comment ref="H39" authorId="0" shapeId="0" xr:uid="{FC50B798-5B52-47F8-8A12-A7B5640D62DE}">
      <text>
        <r>
          <rPr>
            <b/>
            <sz val="9"/>
            <color indexed="81"/>
            <rFont val="Segoe UI"/>
            <charset val="1"/>
          </rPr>
          <t>"v" für "vorher"
"n" für "nachher",
wenn vorher und nachher gleich, dann nur "v"</t>
        </r>
      </text>
    </comment>
    <comment ref="A44" authorId="0" shapeId="0" xr:uid="{B0AC458E-B02C-45E8-A94C-BD650B3F6C51}">
      <text>
        <r>
          <rPr>
            <b/>
            <sz val="9"/>
            <color indexed="81"/>
            <rFont val="Segoe UI"/>
            <charset val="1"/>
          </rPr>
          <t>"x" für individuelle Eingaben in dieser Rubrik (Spalte D ff.), 
sonst Zelle leerlassen (es wird dann mit den Mittelwerten aus Spalte D gerechnet)</t>
        </r>
      </text>
    </comment>
    <comment ref="D44" authorId="0" shapeId="0" xr:uid="{11A98E89-25DE-4169-9DFD-63F0492E2893}">
      <text>
        <r>
          <rPr>
            <b/>
            <sz val="9"/>
            <color indexed="81"/>
            <rFont val="Segoe UI"/>
            <charset val="1"/>
          </rPr>
          <t>"v" für "vorher"
"n" für "nachher",
wenn vorher und nachher gleich, dann nur "v"</t>
        </r>
      </text>
    </comment>
    <comment ref="E44" authorId="0" shapeId="0" xr:uid="{1D706C1F-C713-478F-80B7-57E9FF3AFC3E}">
      <text>
        <r>
          <rPr>
            <b/>
            <sz val="9"/>
            <color indexed="81"/>
            <rFont val="Segoe UI"/>
            <charset val="1"/>
          </rPr>
          <t>"v" für "vorher"
"n" für "nachher",
wenn vorher und nachher gleich, dann nur "v"</t>
        </r>
      </text>
    </comment>
    <comment ref="F44" authorId="0" shapeId="0" xr:uid="{3B5D23E0-A076-42CE-89D0-50B20489CC10}">
      <text>
        <r>
          <rPr>
            <b/>
            <sz val="9"/>
            <color indexed="81"/>
            <rFont val="Segoe UI"/>
            <charset val="1"/>
          </rPr>
          <t>"v" für "vorher"
"n" für "nachher",
wenn vorher und nachher gleich, dann nur "v"</t>
        </r>
      </text>
    </comment>
    <comment ref="G44" authorId="0" shapeId="0" xr:uid="{9AB7B79E-5B5E-4CFC-BC18-2A4BB45188A7}">
      <text>
        <r>
          <rPr>
            <b/>
            <sz val="9"/>
            <color indexed="81"/>
            <rFont val="Segoe UI"/>
            <charset val="1"/>
          </rPr>
          <t>"v" für "vorher"
"n" für "nachher",
wenn vorher und nachher gleich, dann nur "v"</t>
        </r>
      </text>
    </comment>
    <comment ref="H44" authorId="0" shapeId="0" xr:uid="{C7B836B8-FAC0-4422-961C-03EEFE54AA66}">
      <text>
        <r>
          <rPr>
            <b/>
            <sz val="9"/>
            <color indexed="81"/>
            <rFont val="Segoe UI"/>
            <charset val="1"/>
          </rPr>
          <t>"v" für "vorher"
"n" für "nachher",
wenn vorher und nachher gleich, dann nur "v"</t>
        </r>
      </text>
    </comment>
    <comment ref="A50" authorId="0" shapeId="0" xr:uid="{8D8BDE3D-840E-42BE-9C82-E3BF98B2F64A}">
      <text>
        <r>
          <rPr>
            <b/>
            <sz val="9"/>
            <color indexed="81"/>
            <rFont val="Segoe UI"/>
            <charset val="1"/>
          </rPr>
          <t>"x" für individuelle Eingaben in dieser Rubrik (Spalte D ff.), 
sonst Zelle leerlassen (es wird dann mit den Mittelwerten aus Spalte D gerechnet)</t>
        </r>
      </text>
    </comment>
    <comment ref="D50" authorId="0" shapeId="0" xr:uid="{476E9E7B-407A-454A-9343-E6355AA8CCF4}">
      <text>
        <r>
          <rPr>
            <b/>
            <sz val="9"/>
            <color indexed="81"/>
            <rFont val="Segoe UI"/>
            <charset val="1"/>
          </rPr>
          <t>"v" für "vorher"
"n" für "nachher",
wenn vorher und nachher gleich, dann nur "v"</t>
        </r>
      </text>
    </comment>
    <comment ref="E50" authorId="0" shapeId="0" xr:uid="{8121C470-0D88-4BFC-95ED-442F85BD4ADF}">
      <text>
        <r>
          <rPr>
            <b/>
            <sz val="9"/>
            <color indexed="81"/>
            <rFont val="Segoe UI"/>
            <charset val="1"/>
          </rPr>
          <t>"v" für "vorher"
"n" für "nachher",
wenn vorher und nachher gleich, dann nur "v"</t>
        </r>
      </text>
    </comment>
    <comment ref="F50" authorId="0" shapeId="0" xr:uid="{D86BBCA1-B722-4008-9929-16844298FC7E}">
      <text>
        <r>
          <rPr>
            <b/>
            <sz val="9"/>
            <color indexed="81"/>
            <rFont val="Segoe UI"/>
            <charset val="1"/>
          </rPr>
          <t>"v" für "vorher"
"n" für "nachher",
wenn vorher und nachher gleich, dann nur "v"</t>
        </r>
      </text>
    </comment>
    <comment ref="G50" authorId="0" shapeId="0" xr:uid="{0BED8887-7328-4E87-A552-D15875C0EB1A}">
      <text>
        <r>
          <rPr>
            <b/>
            <sz val="9"/>
            <color indexed="81"/>
            <rFont val="Segoe UI"/>
            <charset val="1"/>
          </rPr>
          <t>"v" für "vorher"
"n" für "nachher",
wenn vorher und nachher gleich, dann nur "v"</t>
        </r>
      </text>
    </comment>
    <comment ref="H50" authorId="0" shapeId="0" xr:uid="{22AE7C02-1EE0-47E5-A678-23EEB0BA63D7}">
      <text>
        <r>
          <rPr>
            <b/>
            <sz val="9"/>
            <color indexed="81"/>
            <rFont val="Segoe UI"/>
            <charset val="1"/>
          </rPr>
          <t>"v" für "vorher"
"n" für "nachher",
wenn vorher und nachher gleich, dann nur "v"</t>
        </r>
      </text>
    </comment>
    <comment ref="A56" authorId="0" shapeId="0" xr:uid="{4E1098C6-04C7-40C9-802B-2B226A7D6629}">
      <text>
        <r>
          <rPr>
            <b/>
            <sz val="9"/>
            <color indexed="81"/>
            <rFont val="Segoe UI"/>
            <charset val="1"/>
          </rPr>
          <t>"x" für individuelle Eingaben in dieser Rubrik (Spalte D ff.), 
sonst Zelle leerlassen (es wird dann mit den Mittelwerten aus Spalte D gerechnet)</t>
        </r>
      </text>
    </comment>
    <comment ref="D56" authorId="0" shapeId="0" xr:uid="{256A5432-12F1-42E2-9BE7-9B6A6AE2622C}">
      <text>
        <r>
          <rPr>
            <b/>
            <sz val="9"/>
            <color indexed="81"/>
            <rFont val="Segoe UI"/>
            <charset val="1"/>
          </rPr>
          <t>"v" für "vorher"
"n" für "nachher",
wenn vorher und nachher gleich, dann nur "v"</t>
        </r>
      </text>
    </comment>
    <comment ref="E56" authorId="0" shapeId="0" xr:uid="{F4E6BA51-68B2-4662-9AC4-A35773FF7A8A}">
      <text>
        <r>
          <rPr>
            <b/>
            <sz val="9"/>
            <color indexed="81"/>
            <rFont val="Segoe UI"/>
            <charset val="1"/>
          </rPr>
          <t>"v" für "vorher"
"n" für "nachher",
wenn vorher und nachher gleich, dann nur "v"</t>
        </r>
      </text>
    </comment>
    <comment ref="F56" authorId="0" shapeId="0" xr:uid="{E00AE32C-D73E-4DF8-9E3C-A98414A692F5}">
      <text>
        <r>
          <rPr>
            <b/>
            <sz val="9"/>
            <color indexed="81"/>
            <rFont val="Segoe UI"/>
            <charset val="1"/>
          </rPr>
          <t>"v" für "vorher"
"n" für "nachher",
wenn vorher und nachher gleich, dann nur "v"</t>
        </r>
      </text>
    </comment>
    <comment ref="G56" authorId="0" shapeId="0" xr:uid="{03AD657D-CC06-41D9-99CA-E98D6D86391F}">
      <text>
        <r>
          <rPr>
            <b/>
            <sz val="9"/>
            <color indexed="81"/>
            <rFont val="Segoe UI"/>
            <charset val="1"/>
          </rPr>
          <t>"v" für "vorher"
"n" für "nachher",
wenn vorher und nachher gleich, dann nur "v"</t>
        </r>
      </text>
    </comment>
    <comment ref="H56" authorId="0" shapeId="0" xr:uid="{B65C98D7-3329-4C41-AD1E-D4595144AEFE}">
      <text>
        <r>
          <rPr>
            <b/>
            <sz val="9"/>
            <color indexed="81"/>
            <rFont val="Segoe UI"/>
            <charset val="1"/>
          </rPr>
          <t>"v" für "vorher"
"n" für "nachher",
wenn vorher und nachher gleich, dann nur "v"</t>
        </r>
      </text>
    </comment>
    <comment ref="A85" authorId="0" shapeId="0" xr:uid="{A166DFB2-DC47-4FFA-81ED-B2F37971AB8E}">
      <text>
        <r>
          <rPr>
            <b/>
            <sz val="9"/>
            <color indexed="81"/>
            <rFont val="Segoe UI"/>
            <charset val="1"/>
          </rPr>
          <t>"x" für individuelle Eingaben in dieser Rubrik (Spalte D ff.), 
sonst Zelle leerlassen (es wird dann mit den Mittelwerten aus Spalte D gerechnet)</t>
        </r>
      </text>
    </comment>
    <comment ref="D85" authorId="0" shapeId="0" xr:uid="{468473DC-A30E-4678-923E-3BD9C9F161F1}">
      <text>
        <r>
          <rPr>
            <b/>
            <sz val="9"/>
            <color indexed="81"/>
            <rFont val="Segoe UI"/>
            <charset val="1"/>
          </rPr>
          <t>"v" für "vorher"
"n" für "nachher",
wenn vorher und nachher gleich, dann nur "v"</t>
        </r>
      </text>
    </comment>
    <comment ref="E85" authorId="0" shapeId="0" xr:uid="{0F3AC118-7E47-4B94-BA2A-603EDE2D57BA}">
      <text>
        <r>
          <rPr>
            <b/>
            <sz val="9"/>
            <color indexed="81"/>
            <rFont val="Segoe UI"/>
            <charset val="1"/>
          </rPr>
          <t>"v" für "vorher"
"n" für "nachher",
wenn vorher und nachher gleich, dann nur "v"</t>
        </r>
      </text>
    </comment>
    <comment ref="F85" authorId="0" shapeId="0" xr:uid="{95E2329F-EB56-4336-8088-EE80CE06953C}">
      <text>
        <r>
          <rPr>
            <b/>
            <sz val="9"/>
            <color indexed="81"/>
            <rFont val="Segoe UI"/>
            <charset val="1"/>
          </rPr>
          <t>"v" für "vorher"
"n" für "nachher",
wenn vorher und nachher gleich, dann nur "v"</t>
        </r>
      </text>
    </comment>
    <comment ref="A129" authorId="0" shapeId="0" xr:uid="{CF0FD790-A982-429D-A886-287496BE0853}">
      <text>
        <r>
          <rPr>
            <b/>
            <sz val="9"/>
            <color indexed="81"/>
            <rFont val="Segoe UI"/>
            <charset val="1"/>
          </rPr>
          <t>"x" für individuelle Eingaben in dieser Rubrik (Spalte D ff.), 
sonst Zelle leerlassen (es wird dann mit den Mittelwerten aus Spalte D gerechnet)</t>
        </r>
      </text>
    </comment>
    <comment ref="D129" authorId="0" shapeId="0" xr:uid="{88E2D03B-62A5-4146-84E5-01D02EFEE040}">
      <text>
        <r>
          <rPr>
            <b/>
            <sz val="9"/>
            <color indexed="81"/>
            <rFont val="Segoe UI"/>
            <charset val="1"/>
          </rPr>
          <t>"v" für "vorher"
"n" für "nachher",
wenn vorher und nachher gleich, dann nur "v"</t>
        </r>
      </text>
    </comment>
    <comment ref="E129" authorId="0" shapeId="0" xr:uid="{02579FDE-9983-4B7B-9AD8-D686E07D9032}">
      <text>
        <r>
          <rPr>
            <b/>
            <sz val="9"/>
            <color indexed="81"/>
            <rFont val="Segoe UI"/>
            <charset val="1"/>
          </rPr>
          <t>"v" für "vorher"
"n" für "nachher",
wenn vorher und nachher gleich, dann nur "v"</t>
        </r>
      </text>
    </comment>
    <comment ref="F129" authorId="0" shapeId="0" xr:uid="{46709438-40A7-4A2A-A2AB-D5D0338CFB20}">
      <text>
        <r>
          <rPr>
            <b/>
            <sz val="9"/>
            <color indexed="81"/>
            <rFont val="Segoe UI"/>
            <charset val="1"/>
          </rPr>
          <t>"v" für "vorher"
"n" für "nachher",
wenn vorher und nachher gleich, dann nur "v"</t>
        </r>
      </text>
    </comment>
    <comment ref="G129" authorId="0" shapeId="0" xr:uid="{38E8BAF3-26C6-4834-86F0-568BD22E975E}">
      <text>
        <r>
          <rPr>
            <b/>
            <sz val="9"/>
            <color indexed="81"/>
            <rFont val="Segoe UI"/>
            <charset val="1"/>
          </rPr>
          <t>"v" für "vorher"
"n" für "nachher",
wenn vorher und nachher gleich, dann nur "v"</t>
        </r>
      </text>
    </comment>
    <comment ref="A161" authorId="0" shapeId="0" xr:uid="{33322F17-A43E-42F8-B2C2-2DF77FF5F792}">
      <text>
        <r>
          <rPr>
            <b/>
            <sz val="9"/>
            <color indexed="81"/>
            <rFont val="Segoe UI"/>
            <charset val="1"/>
          </rPr>
          <t>"x" für individuelle Eingaben in dieser Rubrik (Spalte D ff.), 
sonst Zelle leerlassen (es wird dann mit den Mittelwerten aus Spalte D gerechnet)</t>
        </r>
      </text>
    </comment>
    <comment ref="D161" authorId="0" shapeId="0" xr:uid="{36A20C52-4C14-4FD9-9A99-8468643CDD62}">
      <text>
        <r>
          <rPr>
            <b/>
            <sz val="9"/>
            <color indexed="81"/>
            <rFont val="Segoe UI"/>
            <charset val="1"/>
          </rPr>
          <t>"v" für "vorher"
"n" für "nachher",
wenn vorher und nachher gleich, dann nur "v"</t>
        </r>
      </text>
    </comment>
    <comment ref="E161" authorId="0" shapeId="0" xr:uid="{4F462936-CE64-48E5-B99C-01CED043DF1B}">
      <text>
        <r>
          <rPr>
            <b/>
            <sz val="9"/>
            <color indexed="81"/>
            <rFont val="Segoe UI"/>
            <charset val="1"/>
          </rPr>
          <t>"v" für "vorher"
"n" für "nachher",
wenn vorher und nachher gleich, dann nur "v"</t>
        </r>
      </text>
    </comment>
    <comment ref="F161" authorId="0" shapeId="0" xr:uid="{6F600775-AC76-4BC5-9BAB-FFB02BC0F059}">
      <text>
        <r>
          <rPr>
            <b/>
            <sz val="9"/>
            <color indexed="81"/>
            <rFont val="Segoe UI"/>
            <charset val="1"/>
          </rPr>
          <t>"v" für "vorher"
"n" für "nachher",
wenn vorher und nachher gleich, dann nur "v"</t>
        </r>
      </text>
    </comment>
    <comment ref="G161" authorId="0" shapeId="0" xr:uid="{D118FB0E-5EC0-4603-B688-78B7B85F00DE}">
      <text>
        <r>
          <rPr>
            <b/>
            <sz val="9"/>
            <color indexed="81"/>
            <rFont val="Segoe UI"/>
            <charset val="1"/>
          </rPr>
          <t>"v" für "vorher"
"n" für "nachher",
wenn vorher und nachher gleich, dann nur "v"</t>
        </r>
      </text>
    </comment>
    <comment ref="A276" authorId="0" shapeId="0" xr:uid="{0632E4D4-6C96-4A05-BD49-646EA922E7C7}">
      <text>
        <r>
          <rPr>
            <b/>
            <sz val="9"/>
            <color indexed="81"/>
            <rFont val="Segoe UI"/>
            <charset val="1"/>
          </rPr>
          <t>"x" für individuelle Eingaben in dieser Rubrik (Spalte D ff.), 
sonst Zelle leerlassen (es wird dann mit den Mittelwerten aus Spalte D gerechnet)</t>
        </r>
      </text>
    </comment>
    <comment ref="D276" authorId="0" shapeId="0" xr:uid="{3F53ECC4-824C-44FA-9D43-99C17B9DDAC3}">
      <text>
        <r>
          <rPr>
            <b/>
            <sz val="9"/>
            <color indexed="81"/>
            <rFont val="Segoe UI"/>
            <charset val="1"/>
          </rPr>
          <t>"v" für "vorher"
"n" für "nachher",
wenn vorher und nachher gleich, dann nur "v"</t>
        </r>
      </text>
    </comment>
    <comment ref="E276" authorId="0" shapeId="0" xr:uid="{52B489C5-3FE8-4777-962D-6A6E8C5A883D}">
      <text>
        <r>
          <rPr>
            <b/>
            <sz val="9"/>
            <color indexed="81"/>
            <rFont val="Segoe UI"/>
            <charset val="1"/>
          </rPr>
          <t>"v" für "vorher"
"n" für "nachher",
wenn vorher und nachher gleich, dann nur "v"</t>
        </r>
      </text>
    </comment>
    <comment ref="F276" authorId="0" shapeId="0" xr:uid="{D2C3EEC2-D229-4398-B6FE-173D014EBB99}">
      <text>
        <r>
          <rPr>
            <b/>
            <sz val="9"/>
            <color indexed="81"/>
            <rFont val="Segoe UI"/>
            <charset val="1"/>
          </rPr>
          <t>"v" für "vorher"
"n" für "nachher",
wenn vorher und nachher gleich, dann nur "v"</t>
        </r>
      </text>
    </comment>
    <comment ref="G276" authorId="0" shapeId="0" xr:uid="{0E41EE5F-76FF-442E-8061-AD4F8F21F132}">
      <text>
        <r>
          <rPr>
            <b/>
            <sz val="9"/>
            <color indexed="81"/>
            <rFont val="Segoe UI"/>
            <charset val="1"/>
          </rPr>
          <t>"v" für "vorher"
"n" für "nachher",
wenn vorher und nachher gleich, dann nur "v"</t>
        </r>
      </text>
    </comment>
    <comment ref="H276" authorId="0" shapeId="0" xr:uid="{CA1BEEE7-F29C-42B0-B288-6D8008062BD6}">
      <text>
        <r>
          <rPr>
            <b/>
            <sz val="9"/>
            <color indexed="81"/>
            <rFont val="Segoe UI"/>
            <charset val="1"/>
          </rPr>
          <t>"v" für "vorher"
"n" für "nachher",
wenn vorher und nachher gleich, dann nur "v"</t>
        </r>
      </text>
    </comment>
    <comment ref="I276" authorId="0" shapeId="0" xr:uid="{B43C0C32-4CFB-4B96-8D3B-93563386FB5D}">
      <text>
        <r>
          <rPr>
            <b/>
            <sz val="9"/>
            <color indexed="81"/>
            <rFont val="Segoe UI"/>
            <charset val="1"/>
          </rPr>
          <t>"v" für "vorher"
"n" für "nachher",
wenn vorher und nachher gleich, dann nur "v"</t>
        </r>
      </text>
    </comment>
    <comment ref="J276" authorId="0" shapeId="0" xr:uid="{C63DF941-2519-44D1-8417-EF1C57533E8C}">
      <text>
        <r>
          <rPr>
            <b/>
            <sz val="9"/>
            <color indexed="81"/>
            <rFont val="Segoe UI"/>
            <charset val="1"/>
          </rPr>
          <t>"v" für "vorher"
"n" für "nachher",
wenn vorher und nachher gleich, dann nur "v"</t>
        </r>
      </text>
    </comment>
    <comment ref="K276" authorId="0" shapeId="0" xr:uid="{3F120E55-1465-4F6A-835C-690AC47B63EB}">
      <text>
        <r>
          <rPr>
            <b/>
            <sz val="9"/>
            <color indexed="81"/>
            <rFont val="Segoe UI"/>
            <charset val="1"/>
          </rPr>
          <t>"v" für "vorher"
"n" für "nachher",
wenn vorher und nachher gleich, dann nur "v"</t>
        </r>
      </text>
    </comment>
    <comment ref="L276" authorId="0" shapeId="0" xr:uid="{7064BF54-8F7E-4FE7-9177-06F055F51A4D}">
      <text>
        <r>
          <rPr>
            <b/>
            <sz val="9"/>
            <color indexed="81"/>
            <rFont val="Segoe UI"/>
            <charset val="1"/>
          </rPr>
          <t>"v" für "vorher"
"n" für "nachher",
wenn vorher und nachher gleich, dann nur "v"</t>
        </r>
      </text>
    </comment>
    <comment ref="M276" authorId="0" shapeId="0" xr:uid="{F4761EE9-D158-49EB-A869-F858BF8005D0}">
      <text>
        <r>
          <rPr>
            <b/>
            <sz val="9"/>
            <color indexed="81"/>
            <rFont val="Segoe UI"/>
            <charset val="1"/>
          </rPr>
          <t>"v" für "vorher"
"n" für "nachher",
wenn vorher und nachher gleich, dann nur "v"</t>
        </r>
      </text>
    </comment>
    <comment ref="A303" authorId="0" shapeId="0" xr:uid="{D89591AC-87A3-4DAB-9E43-D295EE8854FC}">
      <text>
        <r>
          <rPr>
            <b/>
            <sz val="9"/>
            <color indexed="81"/>
            <rFont val="Segoe UI"/>
            <charset val="1"/>
          </rPr>
          <t>"x" für individuelle Eingaben in dieser Rubrik (Spalte D ff.), 
sonst Zelle leerlassen (es wird dann mit den Mittelwerten aus Spalte D gerechnet)</t>
        </r>
      </text>
    </comment>
    <comment ref="D303" authorId="0" shapeId="0" xr:uid="{0E3D9035-B49E-474B-8C26-4C4F3496DC19}">
      <text>
        <r>
          <rPr>
            <b/>
            <sz val="9"/>
            <color indexed="81"/>
            <rFont val="Segoe UI"/>
            <charset val="1"/>
          </rPr>
          <t>"v" für "vorher"
"n" für "nachher",
wenn vorher und nachher gleich, dann nur "v"</t>
        </r>
      </text>
    </comment>
    <comment ref="E303" authorId="0" shapeId="0" xr:uid="{0FD4FA68-C1CE-484F-9AF1-95819BF597B8}">
      <text>
        <r>
          <rPr>
            <b/>
            <sz val="9"/>
            <color indexed="81"/>
            <rFont val="Segoe UI"/>
            <charset val="1"/>
          </rPr>
          <t>"v" für "vorher"
"n" für "nachher",
wenn vorher und nachher gleich, dann nur "v"</t>
        </r>
      </text>
    </comment>
    <comment ref="F303" authorId="0" shapeId="0" xr:uid="{3A954340-7987-474F-9C2C-03209A6DDD3F}">
      <text>
        <r>
          <rPr>
            <b/>
            <sz val="9"/>
            <color indexed="81"/>
            <rFont val="Segoe UI"/>
            <charset val="1"/>
          </rPr>
          <t>"v" für "vorher"
"n" für "nachher",
wenn vorher und nachher gleich, dann nur "v"</t>
        </r>
      </text>
    </comment>
    <comment ref="G303" authorId="0" shapeId="0" xr:uid="{6D0ECC46-859C-4906-A585-9DE5E7B6D917}">
      <text>
        <r>
          <rPr>
            <b/>
            <sz val="9"/>
            <color indexed="81"/>
            <rFont val="Segoe UI"/>
            <charset val="1"/>
          </rPr>
          <t>"v" für "vorher"
"n" für "nachher",
wenn vorher und nachher gleich, dann nur "v"</t>
        </r>
      </text>
    </comment>
    <comment ref="H303" authorId="0" shapeId="0" xr:uid="{13AB55B7-9535-401C-92A0-E90DF0B9D828}">
      <text>
        <r>
          <rPr>
            <b/>
            <sz val="9"/>
            <color indexed="81"/>
            <rFont val="Segoe UI"/>
            <charset val="1"/>
          </rPr>
          <t>"v" für "vorher"
"n" für "nachher",
wenn vorher und nachher gleich, dann nur "v"</t>
        </r>
      </text>
    </comment>
    <comment ref="I303" authorId="0" shapeId="0" xr:uid="{7DE42880-2D71-48C0-9D51-A2670AFA9F23}">
      <text>
        <r>
          <rPr>
            <b/>
            <sz val="9"/>
            <color indexed="81"/>
            <rFont val="Segoe UI"/>
            <charset val="1"/>
          </rPr>
          <t>"v" für "vorher"
"n" für "nachher",
wenn vorher und nachher gleich, dann nur "v"</t>
        </r>
      </text>
    </comment>
    <comment ref="J303" authorId="0" shapeId="0" xr:uid="{69464393-DDF9-48B7-AB14-8BF642A1A72D}">
      <text>
        <r>
          <rPr>
            <b/>
            <sz val="9"/>
            <color indexed="81"/>
            <rFont val="Segoe UI"/>
            <charset val="1"/>
          </rPr>
          <t>"v" für "vorher"
"n" für "nachher",
wenn vorher und nachher gleich, dann nur "v"</t>
        </r>
      </text>
    </comment>
    <comment ref="K303" authorId="0" shapeId="0" xr:uid="{B7260B5E-704F-4065-B188-6E05586B83B9}">
      <text>
        <r>
          <rPr>
            <b/>
            <sz val="9"/>
            <color indexed="81"/>
            <rFont val="Segoe UI"/>
            <charset val="1"/>
          </rPr>
          <t>"v" für "vorher"
"n" für "nachher",
wenn vorher und nachher gleich, dann nur "v"</t>
        </r>
      </text>
    </comment>
    <comment ref="L303" authorId="0" shapeId="0" xr:uid="{5EAC8B71-63C2-46A0-BBAF-84A52C061288}">
      <text>
        <r>
          <rPr>
            <b/>
            <sz val="9"/>
            <color indexed="81"/>
            <rFont val="Segoe UI"/>
            <charset val="1"/>
          </rPr>
          <t>"v" für "vorher"
"n" für "nachher",
wenn vorher und nachher gleich, dann nur "v"</t>
        </r>
      </text>
    </comment>
    <comment ref="M303" authorId="0" shapeId="0" xr:uid="{CB82D151-5A37-45D8-8E7F-BCFD060F94B4}">
      <text>
        <r>
          <rPr>
            <b/>
            <sz val="9"/>
            <color indexed="81"/>
            <rFont val="Segoe UI"/>
            <charset val="1"/>
          </rPr>
          <t>"v" für "vorher"
"n" für "nachher",
wenn vorher und nachher gleich, dann nur "v"</t>
        </r>
      </text>
    </comment>
    <comment ref="A349" authorId="0" shapeId="0" xr:uid="{28852E7C-C450-4749-9467-7ED49ED48BFD}">
      <text>
        <r>
          <rPr>
            <b/>
            <sz val="9"/>
            <color indexed="81"/>
            <rFont val="Segoe UI"/>
            <charset val="1"/>
          </rPr>
          <t>"x" für individuelle Eingaben in dieser Rubrik (Spalte D ff.), 
sonst Zelle leerlassen (es wird dann mit den Mittelwerten aus Spalte D gerechnet)</t>
        </r>
      </text>
    </comment>
    <comment ref="D349" authorId="0" shapeId="0" xr:uid="{14B7BED4-F435-4113-8A01-56E073232D2C}">
      <text>
        <r>
          <rPr>
            <b/>
            <sz val="9"/>
            <color indexed="81"/>
            <rFont val="Segoe UI"/>
            <charset val="1"/>
          </rPr>
          <t>"v" für "vorher"
"n" für "nachher",
wenn vorher und nachher gleich, dann nur "v"</t>
        </r>
      </text>
    </comment>
    <comment ref="E349" authorId="0" shapeId="0" xr:uid="{2594CB2C-C469-46D4-BAA3-9682054CBCA5}">
      <text>
        <r>
          <rPr>
            <b/>
            <sz val="9"/>
            <color indexed="81"/>
            <rFont val="Segoe UI"/>
            <charset val="1"/>
          </rPr>
          <t>"v" für "vorher"
"n" für "nachher",
wenn vorher und nachher gleich, dann nur "v"</t>
        </r>
      </text>
    </comment>
    <comment ref="F349" authorId="0" shapeId="0" xr:uid="{0664B144-0F65-4AAC-AE28-920F28DE7A5C}">
      <text>
        <r>
          <rPr>
            <b/>
            <sz val="9"/>
            <color indexed="81"/>
            <rFont val="Segoe UI"/>
            <charset val="1"/>
          </rPr>
          <t>"v" für "vorher"
"n" für "nachher",
wenn vorher und nachher gleich, dann nur "v"</t>
        </r>
      </text>
    </comment>
    <comment ref="A354" authorId="0" shapeId="0" xr:uid="{A0FEFD26-6AB1-4527-9CF4-84F3920F01DB}">
      <text>
        <r>
          <rPr>
            <b/>
            <sz val="9"/>
            <color indexed="81"/>
            <rFont val="Segoe UI"/>
            <charset val="1"/>
          </rPr>
          <t>"x" für individuelle Eingaben in dieser Rubrik (Spalte D ff.), 
sonst Zelle leerlassen (es wird dann mit den Mittelwerten aus Spalte D gerechnet)</t>
        </r>
      </text>
    </comment>
    <comment ref="D354" authorId="0" shapeId="0" xr:uid="{6AA3EB1C-9191-42E3-BA80-F7F56695120C}">
      <text>
        <r>
          <rPr>
            <b/>
            <sz val="9"/>
            <color indexed="81"/>
            <rFont val="Segoe UI"/>
            <charset val="1"/>
          </rPr>
          <t>"v" für "vorher"
"n" für "nachher",
wenn vorher und nachher gleich, dann nur "v"</t>
        </r>
      </text>
    </comment>
    <comment ref="E354" authorId="0" shapeId="0" xr:uid="{C4961059-AEFE-4C2B-B2B3-31A9D113F531}">
      <text>
        <r>
          <rPr>
            <b/>
            <sz val="9"/>
            <color indexed="81"/>
            <rFont val="Segoe UI"/>
            <charset val="1"/>
          </rPr>
          <t>"v" für "vorher"
"n" für "nachher",
wenn vorher und nachher gleich, dann nur "v"</t>
        </r>
      </text>
    </comment>
    <comment ref="F354" authorId="0" shapeId="0" xr:uid="{53D92688-ADCF-43D7-9EC0-FE26065E1D07}">
      <text>
        <r>
          <rPr>
            <b/>
            <sz val="9"/>
            <color indexed="81"/>
            <rFont val="Segoe UI"/>
            <charset val="1"/>
          </rPr>
          <t>"v" für "vorher"
"n" für "nachher",
wenn vorher und nachher gleich, dann nur "v"</t>
        </r>
      </text>
    </comment>
  </commentList>
</comments>
</file>

<file path=xl/sharedStrings.xml><?xml version="1.0" encoding="utf-8"?>
<sst xmlns="http://schemas.openxmlformats.org/spreadsheetml/2006/main" count="8407" uniqueCount="902">
  <si>
    <t>Energiepreise</t>
  </si>
  <si>
    <t>brennwertbezogen</t>
  </si>
  <si>
    <t>Erdgas</t>
  </si>
  <si>
    <t>Heizöl</t>
  </si>
  <si>
    <t>Steinkohle</t>
  </si>
  <si>
    <t>Braunkohle</t>
  </si>
  <si>
    <t>Holz</t>
  </si>
  <si>
    <t>Strom</t>
  </si>
  <si>
    <t>Fernwärme</t>
  </si>
  <si>
    <t>Photovoltaik</t>
  </si>
  <si>
    <t>Solarthermie</t>
  </si>
  <si>
    <t>Baupreisindex bzw. Preisverfall durch Lernkurve</t>
  </si>
  <si>
    <t>Fenster</t>
  </si>
  <si>
    <t>[-]</t>
  </si>
  <si>
    <t>Wartung und Instandhaltung als Anteil der Investitionskosten</t>
  </si>
  <si>
    <t>Ölkessel</t>
  </si>
  <si>
    <t>Außenwand</t>
  </si>
  <si>
    <t>Dach</t>
  </si>
  <si>
    <t>Kellerdecke</t>
  </si>
  <si>
    <t>Bodenplatte</t>
  </si>
  <si>
    <t>BHKW</t>
  </si>
  <si>
    <t>Holzkessel</t>
  </si>
  <si>
    <t>Gaskessel</t>
  </si>
  <si>
    <t>Solar</t>
  </si>
  <si>
    <t>WRG</t>
  </si>
  <si>
    <t>Leitung</t>
  </si>
  <si>
    <t>Netzanschluss</t>
  </si>
  <si>
    <t>Speicher</t>
  </si>
  <si>
    <t>DLE</t>
  </si>
  <si>
    <t>OGD</t>
  </si>
  <si>
    <t>Abluft</t>
  </si>
  <si>
    <t>[€/kWh]</t>
  </si>
  <si>
    <t>gesamt</t>
  </si>
  <si>
    <t>Biomassebudget</t>
  </si>
  <si>
    <t>[a]</t>
  </si>
  <si>
    <t>Nutzungsdauer</t>
  </si>
  <si>
    <t>Investitionskosten</t>
  </si>
  <si>
    <t>Zins</t>
  </si>
  <si>
    <t>[1/a]</t>
  </si>
  <si>
    <t>Geschützte Fassaden</t>
  </si>
  <si>
    <t>-</t>
  </si>
  <si>
    <t>BAK bis 1978</t>
  </si>
  <si>
    <t>EFH</t>
  </si>
  <si>
    <t>MFH</t>
  </si>
  <si>
    <t>Summe</t>
  </si>
  <si>
    <t>mit</t>
  </si>
  <si>
    <t>Anlagen</t>
  </si>
  <si>
    <t>alle</t>
  </si>
  <si>
    <t>[St.]</t>
  </si>
  <si>
    <t>Fläche</t>
  </si>
  <si>
    <t>[m²]</t>
  </si>
  <si>
    <t>Leistung</t>
  </si>
  <si>
    <t>[kWp]</t>
  </si>
  <si>
    <t>Lüftung</t>
  </si>
  <si>
    <t>[kW/G]</t>
  </si>
  <si>
    <t>Trasse/Gebäude</t>
  </si>
  <si>
    <t>[m/G]</t>
  </si>
  <si>
    <t>Leistung/Gebäude</t>
  </si>
  <si>
    <t>[kWh/(m²a)]</t>
  </si>
  <si>
    <t>Belegung</t>
  </si>
  <si>
    <t>Fläche/Person</t>
  </si>
  <si>
    <t>[m²/P]</t>
  </si>
  <si>
    <t>Heizgrenze</t>
  </si>
  <si>
    <t>[W/(m²K)]</t>
  </si>
  <si>
    <t>[°C]</t>
  </si>
  <si>
    <t>mittel</t>
  </si>
  <si>
    <t>Warmwasser</t>
  </si>
  <si>
    <t>Kaltwasser</t>
  </si>
  <si>
    <t>Stoffwerte</t>
  </si>
  <si>
    <t>Menge</t>
  </si>
  <si>
    <t>[kWh/(m³K)]</t>
  </si>
  <si>
    <t>[l/Pd]</t>
  </si>
  <si>
    <t>Energiemenge</t>
  </si>
  <si>
    <t>[kWh/(Pa)]</t>
  </si>
  <si>
    <t>Trinkwarmwassernutzen</t>
  </si>
  <si>
    <t>Gesamtkosten</t>
  </si>
  <si>
    <t>Sowiesokosten</t>
  </si>
  <si>
    <t>[€]</t>
  </si>
  <si>
    <t>· A [m²]</t>
  </si>
  <si>
    <t>· d [cm]</t>
  </si>
  <si>
    <t>· A [m²] +</t>
  </si>
  <si>
    <t>· Q̇th ^</t>
  </si>
  <si>
    <t>EWärmepumpe</t>
  </si>
  <si>
    <t>AWärmepumpe</t>
  </si>
  <si>
    <t>Optimierung</t>
  </si>
  <si>
    <t>Monitoring</t>
  </si>
  <si>
    <t>· Awohn ^</t>
  </si>
  <si>
    <t>· V +</t>
  </si>
  <si>
    <t>· nWE</t>
  </si>
  <si>
    <t>· Q̇el ^</t>
  </si>
  <si>
    <t>· AWohn</t>
  </si>
  <si>
    <t>· AKoll</t>
  </si>
  <si>
    <t>· Ppeak</t>
  </si>
  <si>
    <t>· LTR</t>
  </si>
  <si>
    <t>Zuschlag KG 700</t>
  </si>
  <si>
    <t>Wohnfläche</t>
  </si>
  <si>
    <t>Grunddaten</t>
  </si>
  <si>
    <t>Wohneinheiten</t>
  </si>
  <si>
    <t>Stückzahl</t>
  </si>
  <si>
    <t>Gesamtfläche</t>
  </si>
  <si>
    <t>[G]</t>
  </si>
  <si>
    <t>[WE]</t>
  </si>
  <si>
    <t>Typgebäude</t>
  </si>
  <si>
    <t>Hüllflächen</t>
  </si>
  <si>
    <t>Dach/OGD</t>
  </si>
  <si>
    <t>Boden/Kellerdecke</t>
  </si>
  <si>
    <t>Wand</t>
  </si>
  <si>
    <t>Langzeit</t>
  </si>
  <si>
    <t>AGEB Faktor (Gegenprobe)</t>
  </si>
  <si>
    <t>Personen</t>
  </si>
  <si>
    <t>[P]</t>
  </si>
  <si>
    <t>Bevölkerung</t>
  </si>
  <si>
    <t>Solarthermieertrag</t>
  </si>
  <si>
    <t>Ertrag/Kollektorfläche</t>
  </si>
  <si>
    <t>ohne QS</t>
  </si>
  <si>
    <t>mit QS</t>
  </si>
  <si>
    <t>Kollektorfläche/Person</t>
  </si>
  <si>
    <t>Standard</t>
  </si>
  <si>
    <t>Auslegungstemperatur</t>
  </si>
  <si>
    <t>ϑe,min</t>
  </si>
  <si>
    <t>Photovoltaikertrag</t>
  </si>
  <si>
    <t>Ertrag/Peakleistung</t>
  </si>
  <si>
    <t>[kWh/kWpeak]</t>
  </si>
  <si>
    <t>Luftwechsel</t>
  </si>
  <si>
    <t>[h-1]</t>
  </si>
  <si>
    <t>personenbezogen</t>
  </si>
  <si>
    <t>[m³/(hP)]</t>
  </si>
  <si>
    <t>Raumhöhe</t>
  </si>
  <si>
    <t>[m]</t>
  </si>
  <si>
    <t>Wärmerückgewinnung und Ventilatoren</t>
  </si>
  <si>
    <t>Wärmerückgewinnung</t>
  </si>
  <si>
    <t>Ventilatorleistung ZU+AB</t>
  </si>
  <si>
    <t>[W/(m³/h)]</t>
  </si>
  <si>
    <t>Wärmebrücken</t>
  </si>
  <si>
    <t>Haushaltsstromverbrauch</t>
  </si>
  <si>
    <t>Stromverbrauch</t>
  </si>
  <si>
    <t>[kWh/P]</t>
  </si>
  <si>
    <t>Luftvolumen</t>
  </si>
  <si>
    <t>[m³]</t>
  </si>
  <si>
    <t>Solarstrahlung</t>
  </si>
  <si>
    <t>für Ost/West</t>
  </si>
  <si>
    <t>Wärmebrücken (reale Wirksamkeit!)</t>
  </si>
  <si>
    <t>gut</t>
  </si>
  <si>
    <t>schlecht</t>
  </si>
  <si>
    <t>durchschnitt</t>
  </si>
  <si>
    <t>Restriktionen für die Berechnung</t>
  </si>
  <si>
    <t>Solarthermiefläche für Trinkwarmwasser</t>
  </si>
  <si>
    <t>Innentemperatur</t>
  </si>
  <si>
    <t>Interne Wärmegewinne aus Personen und Geräten</t>
  </si>
  <si>
    <t>[kW/P]</t>
  </si>
  <si>
    <t>Personenabwärme</t>
  </si>
  <si>
    <t>+ ϑHG ·</t>
  </si>
  <si>
    <t>Korrektur</t>
  </si>
  <si>
    <t>[K]</t>
  </si>
  <si>
    <t xml:space="preserve">· </t>
  </si>
  <si>
    <t>(P/AWohn) ^</t>
  </si>
  <si>
    <t>· (h) ^</t>
  </si>
  <si>
    <t>Anteil</t>
  </si>
  <si>
    <t>für 1990 - 2019</t>
  </si>
  <si>
    <t>Heizperiodenlänge</t>
  </si>
  <si>
    <t>[d/a]</t>
  </si>
  <si>
    <t>ϑe,m in der Heizperiode</t>
  </si>
  <si>
    <t>ϑe,m im Jahr</t>
  </si>
  <si>
    <t>ϑe,m im Erdreich</t>
  </si>
  <si>
    <t>Klimadaten Heizperiode</t>
  </si>
  <si>
    <t>Jahresklima</t>
  </si>
  <si>
    <t>(separate Datei)</t>
  </si>
  <si>
    <t>(Annahme)</t>
  </si>
  <si>
    <t>(ZENSUS18)</t>
  </si>
  <si>
    <t>(STATBuAmt)</t>
  </si>
  <si>
    <t>(BMWI18)</t>
  </si>
  <si>
    <t>Anteile Wärmeübergabe</t>
  </si>
  <si>
    <t>(IWU2013)</t>
  </si>
  <si>
    <t>Heizkörper</t>
  </si>
  <si>
    <t>Fußbodenheizung</t>
  </si>
  <si>
    <t>+ h ·</t>
  </si>
  <si>
    <t>U-Wert</t>
  </si>
  <si>
    <t>[W/(mK)]</t>
  </si>
  <si>
    <t>Anteile</t>
  </si>
  <si>
    <t>Keller</t>
  </si>
  <si>
    <t>Rest</t>
  </si>
  <si>
    <t>Heizungsleitung im Keller</t>
  </si>
  <si>
    <t>Heizungsnetzlänge und Dämmung</t>
  </si>
  <si>
    <t>(Keller)</t>
  </si>
  <si>
    <t>Verlegedichte</t>
  </si>
  <si>
    <t>[m/m²]</t>
  </si>
  <si>
    <t>(PROKLIMA12)</t>
  </si>
  <si>
    <t>Trinkwassernetzlänge und Dämmung</t>
  </si>
  <si>
    <t>(alle)</t>
  </si>
  <si>
    <t>dezentral</t>
  </si>
  <si>
    <t>Qualitätssicherung Anlagentechnik</t>
  </si>
  <si>
    <t>ohne</t>
  </si>
  <si>
    <t>Länge dezentral</t>
  </si>
  <si>
    <t>Länge zentral beheizt</t>
  </si>
  <si>
    <t>Art Trinkwasserbereitung</t>
  </si>
  <si>
    <t>zentral</t>
  </si>
  <si>
    <t>Zuschlag Zirkulation</t>
  </si>
  <si>
    <t>Länge zentral unbeheizt</t>
  </si>
  <si>
    <t>Trinkwasserspeichergröße</t>
  </si>
  <si>
    <t>Zirkulation bei zentraler Versorgung</t>
  </si>
  <si>
    <t>(IWUDATENBASIS16)</t>
  </si>
  <si>
    <t>(IWUDATENBASIS16, eigene)</t>
  </si>
  <si>
    <t>[l/P]</t>
  </si>
  <si>
    <t xml:space="preserve"> · P + </t>
  </si>
  <si>
    <t>Speicher Solar</t>
  </si>
  <si>
    <t>Heizungsspeichergröße</t>
  </si>
  <si>
    <t>[l/kW]</t>
  </si>
  <si>
    <t>[W/K]</t>
  </si>
  <si>
    <t>(eigene)</t>
  </si>
  <si>
    <t>· V ^</t>
  </si>
  <si>
    <t>Speicherverlustleistung H oder TW</t>
  </si>
  <si>
    <t>Kellertemperatur</t>
  </si>
  <si>
    <t>fortgeschrieben mit ca. 0,5 %/a</t>
  </si>
  <si>
    <t>fortgeschrieben mit ca. 1,0 %/a</t>
  </si>
  <si>
    <t>g-Wert und Abminderung Fenster</t>
  </si>
  <si>
    <t>Abminderung</t>
  </si>
  <si>
    <t>(Rahmen, Verschattung, Verschmutzung, nicht senkrechter Lichteinfall)</t>
  </si>
  <si>
    <t>g-Wert</t>
  </si>
  <si>
    <t xml:space="preserve"> · U + </t>
  </si>
  <si>
    <t>(IWUEPASS97, eigene)</t>
  </si>
  <si>
    <t>Holz, Wärmepumpe, BHKW</t>
  </si>
  <si>
    <t>gerundet und nicht fortgeschrieben</t>
  </si>
  <si>
    <t>Kessel, Fernwärme, Elektro Nutzungsgrad (brennwertbezogen)</t>
  </si>
  <si>
    <t>Wahl</t>
  </si>
  <si>
    <t>(ohne Anteile für Wärme - TWW und H)</t>
  </si>
  <si>
    <t xml:space="preserve"> + h · </t>
  </si>
  <si>
    <t>(Fortschreibung)</t>
  </si>
  <si>
    <t>[g/kWh]</t>
  </si>
  <si>
    <t>Wärmedurchgangskoeffizient, Wand</t>
  </si>
  <si>
    <t>Wärmedurchgangskoeffizient, Dach/OGD</t>
  </si>
  <si>
    <t>Wärmedurchgangskoeffizient, Boden/Kellerdecke</t>
  </si>
  <si>
    <t>Wärmedurchgangskoeffizient, Fenster</t>
  </si>
  <si>
    <t>Deckungsanteil Wärmepumpe Außenluft</t>
  </si>
  <si>
    <t xml:space="preserve">· ϑbiv ^2 + </t>
  </si>
  <si>
    <t>αGrund</t>
  </si>
  <si>
    <t>Bivalenztemperatur</t>
  </si>
  <si>
    <t>Randdaten Wärmepumpenberechnung</t>
  </si>
  <si>
    <t>Untertemperatur Verdampfer</t>
  </si>
  <si>
    <t>Übertemperatur Kondensator</t>
  </si>
  <si>
    <t>Prüftemperatur Vorlauf</t>
  </si>
  <si>
    <t>Prüftemperatur Boden</t>
  </si>
  <si>
    <t>Prüftemperatur Luft</t>
  </si>
  <si>
    <t>Leistungskorrekturfaktor</t>
  </si>
  <si>
    <t>+ ϑV ·</t>
  </si>
  <si>
    <t>Wärmepumpe exergetischer Gütegrad</t>
  </si>
  <si>
    <t>Klima</t>
  </si>
  <si>
    <t>Nutzung</t>
  </si>
  <si>
    <t>Restriktionen</t>
  </si>
  <si>
    <t>Qualitätssicherung</t>
  </si>
  <si>
    <t>Netz und Speicher</t>
  </si>
  <si>
    <t>Haupterzeuger</t>
  </si>
  <si>
    <t>Zusatzerzeuger</t>
  </si>
  <si>
    <t>Photovoltaikfläche</t>
  </si>
  <si>
    <t>Fläche/Peakleistung</t>
  </si>
  <si>
    <t>[m²/kWpeak]</t>
  </si>
  <si>
    <t>Geometrie</t>
  </si>
  <si>
    <t>Hülle</t>
  </si>
  <si>
    <t>Endenergie, heizwertbezogen</t>
  </si>
  <si>
    <t>Heizung</t>
  </si>
  <si>
    <t xml:space="preserve">Warmwasser </t>
  </si>
  <si>
    <t>nicht erneuerbar</t>
  </si>
  <si>
    <t>(AGEB20)</t>
  </si>
  <si>
    <t>(BDEW20)</t>
  </si>
  <si>
    <t>Gas</t>
  </si>
  <si>
    <t>Wärmepumpe</t>
  </si>
  <si>
    <t>Sonstige, incl. Biomasse</t>
  </si>
  <si>
    <t>Photovoltaik Dachanlagen</t>
  </si>
  <si>
    <t>(BDH20)</t>
  </si>
  <si>
    <t>(PVEEG18, EEGDATEN20)</t>
  </si>
  <si>
    <t>(AGFW19)</t>
  </si>
  <si>
    <t>Erzeugerart, nach Wohneinheiten</t>
  </si>
  <si>
    <t>Nutz- und Endenergie TWW</t>
  </si>
  <si>
    <t>(TECHEM19)</t>
  </si>
  <si>
    <t>Erdgas BW</t>
  </si>
  <si>
    <t>Erdgas NT</t>
  </si>
  <si>
    <t>Heizöl NT</t>
  </si>
  <si>
    <t>Heizöl BW</t>
  </si>
  <si>
    <t>Außenluft WP</t>
  </si>
  <si>
    <t>Erdreich WP</t>
  </si>
  <si>
    <t>Nutzen</t>
  </si>
  <si>
    <t>Verteilung/Speicherung</t>
  </si>
  <si>
    <t>(OPTIMUS06)</t>
  </si>
  <si>
    <t>Nutzen+Verteilung+Speicherung</t>
  </si>
  <si>
    <t>EFH o. Zirk.</t>
  </si>
  <si>
    <t>EFH m. Zirk.</t>
  </si>
  <si>
    <t>(DENAGEB16)</t>
  </si>
  <si>
    <t>EZFH</t>
  </si>
  <si>
    <t>3-12WE</t>
  </si>
  <si>
    <t>&gt;13WE</t>
  </si>
  <si>
    <t>bis 1978</t>
  </si>
  <si>
    <t>dazwischen</t>
  </si>
  <si>
    <t>ab 2009</t>
  </si>
  <si>
    <t>WW (zen)</t>
  </si>
  <si>
    <t>Endenergie Gesamt</t>
  </si>
  <si>
    <t>Endenergie TWW</t>
  </si>
  <si>
    <t>(WALBERG11, separate Datei)</t>
  </si>
  <si>
    <t>Ökologische Bewertung</t>
  </si>
  <si>
    <t>Primärenergiefaktoren, fossil</t>
  </si>
  <si>
    <t>Primärenergiefaktoren, gesamt</t>
  </si>
  <si>
    <t>Emissionsfaktoren, brennwertbezogen</t>
  </si>
  <si>
    <t>(GEMIS/INAAS, IWU, eigene)</t>
  </si>
  <si>
    <t>Sonstige Wirtschaftlichkeitsranddaten</t>
  </si>
  <si>
    <t>Energiepreis</t>
  </si>
  <si>
    <t>HI/HS</t>
  </si>
  <si>
    <t>undämmbare Kellerdecken</t>
  </si>
  <si>
    <t>Anteil Wohnbau</t>
  </si>
  <si>
    <t>Dachbelegung</t>
  </si>
  <si>
    <t>[m²/m²]</t>
  </si>
  <si>
    <t>best</t>
  </si>
  <si>
    <t>QT</t>
  </si>
  <si>
    <t>HT</t>
  </si>
  <si>
    <t>U</t>
  </si>
  <si>
    <t>A</t>
  </si>
  <si>
    <t>notwendige Dämmdicke</t>
  </si>
  <si>
    <t>Wärmeleitfähigkeit der Dämmung</t>
  </si>
  <si>
    <t>λ</t>
  </si>
  <si>
    <t>[W/mK)]</t>
  </si>
  <si>
    <t>[cm]</t>
  </si>
  <si>
    <t>Fx</t>
  </si>
  <si>
    <t>vorher</t>
  </si>
  <si>
    <t>· HT' +</t>
  </si>
  <si>
    <t>HT'</t>
  </si>
  <si>
    <t>ΔUWB</t>
  </si>
  <si>
    <t>HT' (o. WB)</t>
  </si>
  <si>
    <t>Transmission Summe</t>
  </si>
  <si>
    <t>HT (WB)</t>
  </si>
  <si>
    <t>[1/h]</t>
  </si>
  <si>
    <t>nPers</t>
  </si>
  <si>
    <t>nInf</t>
  </si>
  <si>
    <t>Lüftungstechnik</t>
  </si>
  <si>
    <t>nAnl</t>
  </si>
  <si>
    <t>nEff</t>
  </si>
  <si>
    <t>nachher</t>
  </si>
  <si>
    <t>Sanierungsfläche</t>
  </si>
  <si>
    <t>nges</t>
  </si>
  <si>
    <t>Zusatzluftwechsel WRG</t>
  </si>
  <si>
    <t>HV</t>
  </si>
  <si>
    <t>Transmission</t>
  </si>
  <si>
    <t>HT + HT</t>
  </si>
  <si>
    <t>h</t>
  </si>
  <si>
    <t>Transmission und Lüftung</t>
  </si>
  <si>
    <t>ϑa</t>
  </si>
  <si>
    <t>Heizperiodendaten</t>
  </si>
  <si>
    <t>tHP</t>
  </si>
  <si>
    <t>ϑHG</t>
  </si>
  <si>
    <t>Strahlung</t>
  </si>
  <si>
    <t>G</t>
  </si>
  <si>
    <t>ϑi</t>
  </si>
  <si>
    <t>[kWh/a]</t>
  </si>
  <si>
    <t>QV</t>
  </si>
  <si>
    <t>Nutzerverhalten</t>
  </si>
  <si>
    <t>pro Person</t>
  </si>
  <si>
    <t>[kWh/[Pa)]</t>
  </si>
  <si>
    <t>Haushaltsstrom</t>
  </si>
  <si>
    <t>Ventilatorleistung</t>
  </si>
  <si>
    <t>[W]</t>
  </si>
  <si>
    <t>Qel,WRG</t>
  </si>
  <si>
    <t>Qel,Rest</t>
  </si>
  <si>
    <t>Qel</t>
  </si>
  <si>
    <t>Heizwärmebedarf</t>
  </si>
  <si>
    <t>Solargewinne</t>
  </si>
  <si>
    <t>QS</t>
  </si>
  <si>
    <t>g</t>
  </si>
  <si>
    <t>innere Gewinne ohne Anlagentechnik</t>
  </si>
  <si>
    <t>QI,PG</t>
  </si>
  <si>
    <t>Zuschlag Qualitätssicherung</t>
  </si>
  <si>
    <t>Heizlast</t>
  </si>
  <si>
    <t xml:space="preserve">Q̇ </t>
  </si>
  <si>
    <t>[kW]</t>
  </si>
  <si>
    <t>ϑi,Ausl</t>
  </si>
  <si>
    <t>Ppk</t>
  </si>
  <si>
    <t>PV-Fläche</t>
  </si>
  <si>
    <t>QPV</t>
  </si>
  <si>
    <t>ϑNetz</t>
  </si>
  <si>
    <t>Heizkörperheizung</t>
  </si>
  <si>
    <t>Qd</t>
  </si>
  <si>
    <t>Leitungslängen</t>
  </si>
  <si>
    <t>unbeheizt</t>
  </si>
  <si>
    <t>ohne Zirkulation</t>
  </si>
  <si>
    <t>beheizt</t>
  </si>
  <si>
    <t>mit Zirkulation</t>
  </si>
  <si>
    <t>Qd unbeheizt</t>
  </si>
  <si>
    <t>Qd beheizt</t>
  </si>
  <si>
    <t>TWW dezentral</t>
  </si>
  <si>
    <t>Wassertemperaturen</t>
  </si>
  <si>
    <t>Netz, Zirkulation</t>
  </si>
  <si>
    <t>Netz, keine Zirkulation</t>
  </si>
  <si>
    <t>TWW zentral mit Zirkulation</t>
  </si>
  <si>
    <t>TWW zentral ohne Zirkulation</t>
  </si>
  <si>
    <t>Ø</t>
  </si>
  <si>
    <t>L Heizung</t>
  </si>
  <si>
    <t>L TWW</t>
  </si>
  <si>
    <t>zen/oZ</t>
  </si>
  <si>
    <t>zen/mZ</t>
  </si>
  <si>
    <t>Verteilverlust H</t>
  </si>
  <si>
    <t>innere Gewinne aus Trinkwarmwassernetz</t>
  </si>
  <si>
    <t>Qh</t>
  </si>
  <si>
    <t>Qd,H</t>
  </si>
  <si>
    <t>FBH</t>
  </si>
  <si>
    <t>HK</t>
  </si>
  <si>
    <t>Verteilnetze und Übergabe Heizung</t>
  </si>
  <si>
    <t>Verteilnetze Trinkwarmwasser</t>
  </si>
  <si>
    <t>Erdgas/Heizöl NT</t>
  </si>
  <si>
    <t>Erdgas/Heizöl BW</t>
  </si>
  <si>
    <t>ϑbiv</t>
  </si>
  <si>
    <t>ϑi,soll</t>
  </si>
  <si>
    <t>ϑa,min</t>
  </si>
  <si>
    <t>ϑV</t>
  </si>
  <si>
    <t>mittlere Heiznetztemperatur</t>
  </si>
  <si>
    <t>minimale Vorlauftemperatur</t>
  </si>
  <si>
    <t>ϑV,biv</t>
  </si>
  <si>
    <t>COPbiv</t>
  </si>
  <si>
    <t>fP</t>
  </si>
  <si>
    <t>Q̇biv/Q̇prüf</t>
  </si>
  <si>
    <t>Leistung im Bivalenzpunkt FBH, Außenluft</t>
  </si>
  <si>
    <t>Leistung im Bivalenzpunkt HK, Außenluft</t>
  </si>
  <si>
    <t>COPAus</t>
  </si>
  <si>
    <t>Leistung im Auslegungspunkt FBH, Erdreich</t>
  </si>
  <si>
    <t>Leistung im Auslegungspunkt HK, Erdreich</t>
  </si>
  <si>
    <t>Q̇Aus/Q̇prüf</t>
  </si>
  <si>
    <t>Auslegungsleistung</t>
  </si>
  <si>
    <t>mittlere Vorlauftemperatur</t>
  </si>
  <si>
    <t>ϑe,min im Erdreich</t>
  </si>
  <si>
    <t>ϑa,min Erdreich</t>
  </si>
  <si>
    <t>ϑa,m Jahr</t>
  </si>
  <si>
    <t>ϑa,m HP</t>
  </si>
  <si>
    <t>ϑa,m Erdreich</t>
  </si>
  <si>
    <t>[l]</t>
  </si>
  <si>
    <t>Vorarbeiten zur Bewertung anderer Erzeuger</t>
  </si>
  <si>
    <t>Nutzungsgrade</t>
  </si>
  <si>
    <t>Erzeuger Minimalleistung</t>
  </si>
  <si>
    <t>GasNT</t>
  </si>
  <si>
    <t>ÖlNT</t>
  </si>
  <si>
    <t>GasBW</t>
  </si>
  <si>
    <t>ÖlBW</t>
  </si>
  <si>
    <t>FW</t>
  </si>
  <si>
    <t>AUWP</t>
  </si>
  <si>
    <t>EWP</t>
  </si>
  <si>
    <t>Gewichtung Heizkörper und Fußbodenheizung</t>
  </si>
  <si>
    <t>Vorarbeiten zur Wärmepumpenbewertung Außenluft</t>
  </si>
  <si>
    <t>Vorarbeiten zur Wärmepumpenbewertung Erdreich</t>
  </si>
  <si>
    <t>dez</t>
  </si>
  <si>
    <t>(Netz im Keller)</t>
  </si>
  <si>
    <t>Speicherverlust Heizung</t>
  </si>
  <si>
    <t>Volumen</t>
  </si>
  <si>
    <t>Q̇th</t>
  </si>
  <si>
    <t>Speichervolumen</t>
  </si>
  <si>
    <t>Q̇s</t>
  </si>
  <si>
    <t xml:space="preserve">Erzeugerleistung </t>
  </si>
  <si>
    <t>Trinkwarmwasser</t>
  </si>
  <si>
    <t>(abgeleitet aus Heizung sowie Art Trinkwasserbereitung)</t>
  </si>
  <si>
    <t>Erzeuger</t>
  </si>
  <si>
    <t>Akoll</t>
  </si>
  <si>
    <t>Vorhandensein von Solarthermie</t>
  </si>
  <si>
    <t>Kollektorfläche</t>
  </si>
  <si>
    <t>Erzeugerleistung</t>
  </si>
  <si>
    <t>Sowieso</t>
  </si>
  <si>
    <t>Kostenschätzung</t>
  </si>
  <si>
    <t>Photovoltaik und Solarthermie</t>
  </si>
  <si>
    <t>Vorhandensein von PV</t>
  </si>
  <si>
    <t>Peakleistung</t>
  </si>
  <si>
    <t>Speichervolumen Heizung</t>
  </si>
  <si>
    <t>Speichervolumen TWW</t>
  </si>
  <si>
    <t>Speicher Sonstige</t>
  </si>
  <si>
    <t>Speicherverlust TWW</t>
  </si>
  <si>
    <t>Speicherverluste</t>
  </si>
  <si>
    <t>Endenergiebilanz</t>
  </si>
  <si>
    <t>ΔQQS</t>
  </si>
  <si>
    <t>Qw</t>
  </si>
  <si>
    <t>Heizwärme</t>
  </si>
  <si>
    <t>QW</t>
  </si>
  <si>
    <t>QH</t>
  </si>
  <si>
    <t>Solarerzeugung</t>
  </si>
  <si>
    <t>Endenergie Wärme</t>
  </si>
  <si>
    <t>Endenergie Strom</t>
  </si>
  <si>
    <t>QI,W</t>
  </si>
  <si>
    <t>QHH</t>
  </si>
  <si>
    <t>Qd,W</t>
  </si>
  <si>
    <t>Qs,H</t>
  </si>
  <si>
    <t>Qs,W</t>
  </si>
  <si>
    <t>Qsol</t>
  </si>
  <si>
    <t>Qoutg,H</t>
  </si>
  <si>
    <t>Qoutg,W</t>
  </si>
  <si>
    <t>Qoutg</t>
  </si>
  <si>
    <t>Qhw</t>
  </si>
  <si>
    <t>ηW/JAZW</t>
  </si>
  <si>
    <t>JAZ, FBH, Außenluft</t>
  </si>
  <si>
    <t>JAZH</t>
  </si>
  <si>
    <t>JAZH mit Nachheizung</t>
  </si>
  <si>
    <t>JAZ, HK, Außenluft</t>
  </si>
  <si>
    <t>JAZ, TWW, Außenluft</t>
  </si>
  <si>
    <t>JAZW</t>
  </si>
  <si>
    <t>JAZW mit Nachheizung</t>
  </si>
  <si>
    <t>JAZ, FBH, Erdreich</t>
  </si>
  <si>
    <t>JAZ, HK, Erdreich</t>
  </si>
  <si>
    <t>JAZ, TWW, Erdreich</t>
  </si>
  <si>
    <t>Q</t>
  </si>
  <si>
    <t>QHW</t>
  </si>
  <si>
    <t>Endenergie Heizung</t>
  </si>
  <si>
    <t>Erzeugereffizienz Heizung</t>
  </si>
  <si>
    <t>Erzeugereffizienz TWW</t>
  </si>
  <si>
    <t>Interne Gewinne Personen/Geräte</t>
  </si>
  <si>
    <t>Interne Gewinne TWW</t>
  </si>
  <si>
    <t>Verteilung Heizung</t>
  </si>
  <si>
    <t>Speicherung Heizung</t>
  </si>
  <si>
    <t>Verteilung TWW</t>
  </si>
  <si>
    <t>Speicherung TWW</t>
  </si>
  <si>
    <t>Erzeugernutzwärmeabgabe</t>
  </si>
  <si>
    <t>Erzeugernutzwärmeabgabe Heizung</t>
  </si>
  <si>
    <t>Erzeugernutzwärmeabgabe TWW</t>
  </si>
  <si>
    <t>absolute Zahlen</t>
  </si>
  <si>
    <t>flächenbezogen</t>
  </si>
  <si>
    <t>qT</t>
  </si>
  <si>
    <t>qV</t>
  </si>
  <si>
    <t>qI,PG</t>
  </si>
  <si>
    <t>qI,W</t>
  </si>
  <si>
    <t>qS</t>
  </si>
  <si>
    <t>qh</t>
  </si>
  <si>
    <t>ΔqqS</t>
  </si>
  <si>
    <t>qd,H</t>
  </si>
  <si>
    <t>qs,H</t>
  </si>
  <si>
    <t>qoutg,H</t>
  </si>
  <si>
    <t>qH</t>
  </si>
  <si>
    <t>qw</t>
  </si>
  <si>
    <t>qd,W</t>
  </si>
  <si>
    <t>qs,W</t>
  </si>
  <si>
    <t>qsol</t>
  </si>
  <si>
    <t>qoutg,W</t>
  </si>
  <si>
    <t>qW</t>
  </si>
  <si>
    <t>qhw</t>
  </si>
  <si>
    <t>qoutg</t>
  </si>
  <si>
    <t>qHW</t>
  </si>
  <si>
    <t>qHH</t>
  </si>
  <si>
    <t>qPV</t>
  </si>
  <si>
    <t>qel</t>
  </si>
  <si>
    <t>q</t>
  </si>
  <si>
    <t>Erzeugerverlust/gewinn Heizung</t>
  </si>
  <si>
    <t>Qg,H</t>
  </si>
  <si>
    <t>Erzeugerverlust/gewinn TWW</t>
  </si>
  <si>
    <t>Qg,W</t>
  </si>
  <si>
    <t>qg,H</t>
  </si>
  <si>
    <t>qg,W</t>
  </si>
  <si>
    <t>nur H (WW dez.)</t>
  </si>
  <si>
    <t>H (WW zen)</t>
  </si>
  <si>
    <t>MFH zen</t>
  </si>
  <si>
    <t>MFH dez</t>
  </si>
  <si>
    <t>MFH Nutzen</t>
  </si>
  <si>
    <t>MFH Verlust</t>
  </si>
  <si>
    <t>gewichtet: 50 % Gas, 25 % Öl, 25 % FW</t>
  </si>
  <si>
    <t>gewichtet: 50 % Gas, 25 % Öl, 25 % FW und brennwertbezogen</t>
  </si>
  <si>
    <t>ca. brennwertbezogen, Umrechnung mit 1,07 (0,5 * 1,11 + 0,25 * 1,06 + 0,25 * 1,0)</t>
  </si>
  <si>
    <t>(Annahme: nur 20 % große Gebäude)</t>
  </si>
  <si>
    <t>Personen in Gebäuden mit Solarthermie</t>
  </si>
  <si>
    <t>fossil</t>
  </si>
  <si>
    <t>(ca. 18 % gut, 32 % mittel, 51 % schlecht)</t>
  </si>
  <si>
    <t>(ca. 14 % gut, 35 % mittel, 51 % schlecht)</t>
  </si>
  <si>
    <t>Solarfläche/Person</t>
  </si>
  <si>
    <t>PV-Fläche im Wohnungsbau</t>
  </si>
  <si>
    <t>Dachflächen aller Wohnbauten mit PV</t>
  </si>
  <si>
    <t>Heizwärmebedarf und Heizlast</t>
  </si>
  <si>
    <t>Übergeordnete Randdaten für die Bilanz</t>
  </si>
  <si>
    <t>Dachbelegung bei den PV Häusern</t>
  </si>
  <si>
    <t>Infiltration (reale Wirksamkeit!)</t>
  </si>
  <si>
    <t>_vorher</t>
  </si>
  <si>
    <t>_nachher</t>
  </si>
  <si>
    <t>n</t>
  </si>
  <si>
    <t>Art der Erzeugung Heizung</t>
  </si>
  <si>
    <t>Art der Erzeugung Trinkwarmwasser</t>
  </si>
  <si>
    <t>Verteilnetz W</t>
  </si>
  <si>
    <t xml:space="preserve">Erzeugereffizienz </t>
  </si>
  <si>
    <t>fP,fossil</t>
  </si>
  <si>
    <t>xCO2</t>
  </si>
  <si>
    <t>xCO2 / ηH</t>
  </si>
  <si>
    <t>fP,fossil / ηH</t>
  </si>
  <si>
    <t>(wird nur individuell ausgewiesen</t>
  </si>
  <si>
    <t>Primärenergiebilanz</t>
  </si>
  <si>
    <t>fP,fossil / ηW</t>
  </si>
  <si>
    <t>xCO2 / ηW</t>
  </si>
  <si>
    <t>ηH|JAZH</t>
  </si>
  <si>
    <t>ηW|JAZW</t>
  </si>
  <si>
    <t>η|JAZ</t>
  </si>
  <si>
    <t>fP/η|JAZ</t>
  </si>
  <si>
    <t>qPH</t>
  </si>
  <si>
    <t>Primärenergiefaktor/Erzeugereffizienz H</t>
  </si>
  <si>
    <t>Primärenergiefaktor/Erzeugereffizienz TWW</t>
  </si>
  <si>
    <t>QPH</t>
  </si>
  <si>
    <t>Primärenergie fossil Heizung</t>
  </si>
  <si>
    <t>Primärenergie fossil TWW</t>
  </si>
  <si>
    <t>Primärenergie fossil Wärme</t>
  </si>
  <si>
    <t>QPHW</t>
  </si>
  <si>
    <t>Primärenergiefaktor Strom</t>
  </si>
  <si>
    <t>Primärenergie fossil Gesamt</t>
  </si>
  <si>
    <t>QPel</t>
  </si>
  <si>
    <t>QP</t>
  </si>
  <si>
    <t>qPHW</t>
  </si>
  <si>
    <t>qPel</t>
  </si>
  <si>
    <t>qP</t>
  </si>
  <si>
    <t>Emissionsbilanz</t>
  </si>
  <si>
    <t>Emissionsfaktor/Erzeugereffizienz H</t>
  </si>
  <si>
    <t>Emission Heizung</t>
  </si>
  <si>
    <t>Emissionsfaktor/Erzeugereffizienz TWW</t>
  </si>
  <si>
    <t>Emission TWW</t>
  </si>
  <si>
    <t>Emission Wärme</t>
  </si>
  <si>
    <t>Emissionsfaktor Strom</t>
  </si>
  <si>
    <t>Emission Strom</t>
  </si>
  <si>
    <t>Emission Gesamt</t>
  </si>
  <si>
    <t>EH</t>
  </si>
  <si>
    <t>EW</t>
  </si>
  <si>
    <t>qPW</t>
  </si>
  <si>
    <t>η|JAZH</t>
  </si>
  <si>
    <t>η|JAZW</t>
  </si>
  <si>
    <t>xCO2/η|JAZ</t>
  </si>
  <si>
    <t>eH</t>
  </si>
  <si>
    <t>eW</t>
  </si>
  <si>
    <t>eHW</t>
  </si>
  <si>
    <t>e</t>
  </si>
  <si>
    <t>eel</t>
  </si>
  <si>
    <t>EWH</t>
  </si>
  <si>
    <t>Eel</t>
  </si>
  <si>
    <t>E</t>
  </si>
  <si>
    <t>[kg/kWh]</t>
  </si>
  <si>
    <t>[kg/a]</t>
  </si>
  <si>
    <t>[kKh/a]</t>
  </si>
  <si>
    <t>qoutgH</t>
  </si>
  <si>
    <t>qoutgW</t>
  </si>
  <si>
    <t>· h ^</t>
  </si>
  <si>
    <t>kWh/(m²a)</t>
  </si>
  <si>
    <t>(IWU Toolbox 01)</t>
  </si>
  <si>
    <t>[l/m²Koll]</t>
  </si>
  <si>
    <t xml:space="preserve">Temperaturkorrekturfaktor </t>
  </si>
  <si>
    <t>Fx, unten</t>
  </si>
  <si>
    <t>Fx, oben</t>
  </si>
  <si>
    <t>(je zu 50 % OGD und DA)</t>
  </si>
  <si>
    <t>Q̇S</t>
  </si>
  <si>
    <t>Prüfstands-COP</t>
  </si>
  <si>
    <t>Δq</t>
  </si>
  <si>
    <t>Hüllflächenanteile</t>
  </si>
  <si>
    <t>[€/m²]</t>
  </si>
  <si>
    <t>spez. Kosten</t>
  </si>
  <si>
    <t>Kosten</t>
  </si>
  <si>
    <t>incl. KG700</t>
  </si>
  <si>
    <t>incl. Preiskorrektur/Lernkurve</t>
  </si>
  <si>
    <t>oberer Gebäudeabschluss</t>
  </si>
  <si>
    <t>Lüftungsanlage</t>
  </si>
  <si>
    <t>sowieso</t>
  </si>
  <si>
    <t>unterer Gebäudeabschluss</t>
  </si>
  <si>
    <t>[€/kWpeak]</t>
  </si>
  <si>
    <t>Heizungspufferspeicher</t>
  </si>
  <si>
    <t>Trinkwasserspeicher</t>
  </si>
  <si>
    <t>Solarthermiekollektoren</t>
  </si>
  <si>
    <t>Durchlauferhitzer</t>
  </si>
  <si>
    <t>Stück</t>
  </si>
  <si>
    <t>Außenluftwärmepumpe</t>
  </si>
  <si>
    <t>Vorhandensein</t>
  </si>
  <si>
    <t>[0/1]</t>
  </si>
  <si>
    <t>Erdreichwärmepumpe</t>
  </si>
  <si>
    <t>Fernwärmeanschluss</t>
  </si>
  <si>
    <t>Gasbrennwert</t>
  </si>
  <si>
    <t>Ölbrennwert</t>
  </si>
  <si>
    <t>Kapitalkosten und Wartung</t>
  </si>
  <si>
    <t>Kapitalkosten</t>
  </si>
  <si>
    <t>Allgemeine Randdaten</t>
  </si>
  <si>
    <t>Annuität</t>
  </si>
  <si>
    <t>Zins für Annuität und Betrachtungszeitraum</t>
  </si>
  <si>
    <t>Betrachtungszeitraum</t>
  </si>
  <si>
    <t>fP,s,m,n</t>
  </si>
  <si>
    <t>Investition und Lebensdauer</t>
  </si>
  <si>
    <t>Wartungskosten</t>
  </si>
  <si>
    <t>Wartungsanteil</t>
  </si>
  <si>
    <t>[€/a]</t>
  </si>
  <si>
    <t>Energiekosten</t>
  </si>
  <si>
    <t>ke</t>
  </si>
  <si>
    <t>Umrechnung in Primärenergie fossil, TWW</t>
  </si>
  <si>
    <t>Umrechnung in Primärenergie fossil, Heizung</t>
  </si>
  <si>
    <t>Unrechnung in Emissionen, Heizung</t>
  </si>
  <si>
    <t>Unrechnung in Kosten, Heizung</t>
  </si>
  <si>
    <t>Unrechnung in Emissionen, TWW</t>
  </si>
  <si>
    <t>ke / ηH</t>
  </si>
  <si>
    <t>ke / ηW</t>
  </si>
  <si>
    <t>Unrechnung in Kosten, TWW</t>
  </si>
  <si>
    <t>I0</t>
  </si>
  <si>
    <t>Ki</t>
  </si>
  <si>
    <t>Ku</t>
  </si>
  <si>
    <t>Ke</t>
  </si>
  <si>
    <t>Ka</t>
  </si>
  <si>
    <t>Strom für Warmwasser</t>
  </si>
  <si>
    <t>für HH</t>
  </si>
  <si>
    <t>für TWW</t>
  </si>
  <si>
    <t>für H</t>
  </si>
  <si>
    <t>Haushalt incl. Strom für WRG</t>
  </si>
  <si>
    <t>Strom für Heizung</t>
  </si>
  <si>
    <t>individuell</t>
  </si>
  <si>
    <t>pauschal</t>
  </si>
  <si>
    <t>PV-Selbstnutzung</t>
  </si>
  <si>
    <t>erzeuger PV-Strom</t>
  </si>
  <si>
    <t>Selbstnutzung von PV-Strom für Haushalt und Warmwasser</t>
  </si>
  <si>
    <t>fS</t>
  </si>
  <si>
    <t>· ln (Ppk/Qel)</t>
  </si>
  <si>
    <t>Faktor</t>
  </si>
  <si>
    <t>[kW/(h/a)]</t>
  </si>
  <si>
    <t>mH</t>
  </si>
  <si>
    <t>nH</t>
  </si>
  <si>
    <t>[h/a]</t>
  </si>
  <si>
    <t>ts</t>
  </si>
  <si>
    <t>Ps</t>
  </si>
  <si>
    <t>genutze PV Menge</t>
  </si>
  <si>
    <t>PV-Strom Selbstnutzung</t>
  </si>
  <si>
    <t>Gutschrift für PV-Strom Rückspeisung</t>
  </si>
  <si>
    <t>PV-Strom</t>
  </si>
  <si>
    <t>PV Strom selbst genutzt</t>
  </si>
  <si>
    <t>QPV,selbst</t>
  </si>
  <si>
    <t>PV Strom rückgespeist</t>
  </si>
  <si>
    <t>QPV,rück</t>
  </si>
  <si>
    <t>Endenergie PV</t>
  </si>
  <si>
    <t>qPV,selbst</t>
  </si>
  <si>
    <t>qPV,rück</t>
  </si>
  <si>
    <t>Primärenergie fossil Haushaltsstrom</t>
  </si>
  <si>
    <t>Primärenergie PV Strom selbst genutzt</t>
  </si>
  <si>
    <t>QPPV,selbst</t>
  </si>
  <si>
    <t>QPPV,rück</t>
  </si>
  <si>
    <t>QPPV</t>
  </si>
  <si>
    <t>qPPV,selbst</t>
  </si>
  <si>
    <t>qPPV,rück</t>
  </si>
  <si>
    <t>qPPV</t>
  </si>
  <si>
    <t>Emission PV Strom selbst genutzt</t>
  </si>
  <si>
    <t>Emission PV Strom rückgespeist</t>
  </si>
  <si>
    <t>Emission PV</t>
  </si>
  <si>
    <t>EPV,selbst</t>
  </si>
  <si>
    <t>EPV,rück</t>
  </si>
  <si>
    <t>EPV</t>
  </si>
  <si>
    <t>ePV,selbst</t>
  </si>
  <si>
    <t>ePV,rück</t>
  </si>
  <si>
    <t>ePV</t>
  </si>
  <si>
    <t>[kg/(m²a)]</t>
  </si>
  <si>
    <t>qPVselbst</t>
  </si>
  <si>
    <t>Strombezug Haushalt</t>
  </si>
  <si>
    <t>+</t>
  </si>
  <si>
    <t>Primärenergie fossil PV</t>
  </si>
  <si>
    <t>Primärenergie PV Strom rückgespeist</t>
  </si>
  <si>
    <t>Ergebnisauswertung</t>
  </si>
  <si>
    <t>Fehlbetrag</t>
  </si>
  <si>
    <t>restliche PV Menge (für H)</t>
  </si>
  <si>
    <t>I0 · fpsmn</t>
  </si>
  <si>
    <t>Anteil der Gesamtinvestition</t>
  </si>
  <si>
    <t>Äquivalenter CO2-Preis</t>
  </si>
  <si>
    <t>ΔKu</t>
  </si>
  <si>
    <t>ΔE</t>
  </si>
  <si>
    <t>äquivalenter CO2-Preis</t>
  </si>
  <si>
    <t>[€/kg]</t>
  </si>
  <si>
    <t>[€/t]</t>
  </si>
  <si>
    <t>notwendiger Zuschuss</t>
  </si>
  <si>
    <t>notwendige CO2-Bepreisung</t>
  </si>
  <si>
    <t>Emissionsdifferenz</t>
  </si>
  <si>
    <t>notwendige Bepreisung</t>
  </si>
  <si>
    <t>notwendige Strompreisabsenkung</t>
  </si>
  <si>
    <t>Differenz Strombezug</t>
  </si>
  <si>
    <t>PV-Selbstnutzung (pauschal)</t>
  </si>
  <si>
    <t>Anteil Geb. mit PV</t>
  </si>
  <si>
    <t>Anteil Geb. mit Thermie</t>
  </si>
  <si>
    <t>Luftwechsel natürliche Lüftung (incl.  Abluftanlagen)</t>
  </si>
  <si>
    <t>enrgetischer Luftwechsel Lüftungsanlage mit WRG</t>
  </si>
  <si>
    <t>[W/m²]</t>
  </si>
  <si>
    <t>Leitungslängen im Keller</t>
  </si>
  <si>
    <t>fKompressor</t>
  </si>
  <si>
    <t>ηH o. JAZH</t>
  </si>
  <si>
    <t>Endenergie Gesamt (bei Negativwerten "Plusenergiehaus")</t>
  </si>
  <si>
    <t>Wärme (Heizung und WW)</t>
  </si>
  <si>
    <t>PV-Strom Rückspeisung</t>
  </si>
  <si>
    <t>ΔKi (energiebedingte Mehrkosten)</t>
  </si>
  <si>
    <t>notwendiger Zuschuss auf die Investition</t>
  </si>
  <si>
    <t>Entscheidung ob pauschale oder individuelle Bewertung des PV Ertrags</t>
  </si>
  <si>
    <t>Individuelle Bewertung: Energiemengen für Stromanwendungen</t>
  </si>
  <si>
    <t>Individuelle Bewertung: PV für Haushaltsstrom und Warmwasser</t>
  </si>
  <si>
    <t>Individuelle Bewertung: PV für Heizung</t>
  </si>
  <si>
    <t>Individuelle Bewertung: Nutzung des PV Stroms für Elektroanwendungen</t>
  </si>
  <si>
    <t>pauschale Bewertung: Selbstnutzung PV</t>
  </si>
  <si>
    <t>Energie</t>
  </si>
  <si>
    <t>Wartung</t>
  </si>
  <si>
    <t>auf Basis der energiebedingten Mehrkosten</t>
  </si>
  <si>
    <t>auf Basis der Vollkosten</t>
  </si>
  <si>
    <t>Kapital</t>
  </si>
  <si>
    <t>Mehr- oder Minderkosten</t>
  </si>
  <si>
    <t>V:</t>
  </si>
  <si>
    <t>N:</t>
  </si>
  <si>
    <t xml:space="preserve">q̇ </t>
  </si>
  <si>
    <t>m²</t>
  </si>
  <si>
    <t>mitQS</t>
  </si>
  <si>
    <t>ohneQS</t>
  </si>
  <si>
    <t>gewichtet</t>
  </si>
  <si>
    <t>TWh/a</t>
  </si>
  <si>
    <t>Emissionen für Wärme und Strom</t>
  </si>
  <si>
    <t>kg/(m²a)</t>
  </si>
  <si>
    <t>Gt/a</t>
  </si>
  <si>
    <t>Beschreibung der aktuellen Version</t>
  </si>
  <si>
    <t>Gesamtbilanz vorher</t>
  </si>
  <si>
    <t>Endenergien für Wärme</t>
  </si>
  <si>
    <t>Gesamtbilanz nachher</t>
  </si>
  <si>
    <t>Emissionen für Wärme</t>
  </si>
  <si>
    <t>(eigene Fortschreibung))</t>
  </si>
  <si>
    <t>Personen/WE</t>
  </si>
  <si>
    <t>[P/WE]</t>
  </si>
  <si>
    <t>[WE/G]</t>
  </si>
  <si>
    <t>Personen/Gebäude</t>
  </si>
  <si>
    <t>[P/G]</t>
  </si>
  <si>
    <t>Personenanteil</t>
  </si>
  <si>
    <t>(70 % Wirksamkeit, wg. Spül- und Waschmaschinen)</t>
  </si>
  <si>
    <t>[kW/K]</t>
  </si>
  <si>
    <t>(informativ)</t>
  </si>
  <si>
    <t>ΔKi (Vollkosten)</t>
  </si>
  <si>
    <t>auf Basis der Vollkosten, jedoch ohne Wartung/Unterhalt der Investition</t>
  </si>
  <si>
    <t>auf Basis der energiebedingten Mehrkosten incl. Wartung der Investition</t>
  </si>
  <si>
    <t>Vollkosten</t>
  </si>
  <si>
    <t>Mehrkosten</t>
  </si>
  <si>
    <t>auf Basis der Vollkosten ohne Wartung/Unterhalt</t>
  </si>
  <si>
    <t>Voll:</t>
  </si>
  <si>
    <t>Mehr:</t>
  </si>
  <si>
    <t>ΔK</t>
  </si>
  <si>
    <t>Wärmepumpenstrom</t>
  </si>
  <si>
    <t>genutzte PV Menge für WW und HH</t>
  </si>
  <si>
    <t>genutzte PV Menge für WW</t>
  </si>
  <si>
    <t>genutzte PV Menge für HH</t>
  </si>
  <si>
    <t>genutze PV Menge für H</t>
  </si>
  <si>
    <t>nicht genutze PV Menge</t>
  </si>
  <si>
    <t>PV-Strom selbst genutzt HH</t>
  </si>
  <si>
    <t>PV-Strom selbst genutzt W</t>
  </si>
  <si>
    <t>allgemeiner Strompreis</t>
  </si>
  <si>
    <t>WP?</t>
  </si>
  <si>
    <t>Rückspeisepreis</t>
  </si>
  <si>
    <t>WP-Tarif oder allg. Strompreis</t>
  </si>
  <si>
    <t>PV-Strom selbst genutzt H</t>
  </si>
  <si>
    <t xml:space="preserve"> </t>
  </si>
  <si>
    <t>notwendige Strompreisabsenkung Wärmepumpe</t>
  </si>
  <si>
    <t>Strom für Heizung mit WP</t>
  </si>
  <si>
    <t>Strom für WW mit WP</t>
  </si>
  <si>
    <t>PV-Strom für Heizung mit WP</t>
  </si>
  <si>
    <t>PV-Strom für TWW mit WP</t>
  </si>
  <si>
    <t>WP-Strom-Bilanz</t>
  </si>
  <si>
    <t>resultierender WP-Strompreis</t>
  </si>
  <si>
    <t>Heizlast max</t>
  </si>
  <si>
    <t>Heizlast min</t>
  </si>
  <si>
    <t>Außentemperatur</t>
  </si>
  <si>
    <t>Heilast bei ϑbiv</t>
  </si>
  <si>
    <t>sparsam</t>
  </si>
  <si>
    <t>normal</t>
  </si>
  <si>
    <t>Sanierung</t>
  </si>
  <si>
    <t>ambitioniert</t>
  </si>
  <si>
    <t>Bilanz für</t>
  </si>
  <si>
    <t>wärmer</t>
  </si>
  <si>
    <t>heutiges</t>
  </si>
  <si>
    <t>reformiert</t>
  </si>
  <si>
    <t>beschleunigt</t>
  </si>
  <si>
    <t>üblich</t>
  </si>
  <si>
    <t>[m²/G]</t>
  </si>
  <si>
    <t>Wasserverbrauch</t>
  </si>
  <si>
    <t>(normales Verhalten)</t>
  </si>
  <si>
    <t>(sparsames Verhalten)</t>
  </si>
  <si>
    <t>(Variante Beschleunigung)</t>
  </si>
  <si>
    <t>(Variante Klimaerwärmung)</t>
  </si>
  <si>
    <t>(für 1990 - 2019)</t>
  </si>
  <si>
    <t>(alle Varianten)</t>
  </si>
  <si>
    <t>(Variante Energiepreisänderung)</t>
  </si>
  <si>
    <t>(bitte wählen)</t>
  </si>
  <si>
    <t>Blattschutz</t>
  </si>
  <si>
    <t>Passwort:</t>
  </si>
  <si>
    <t>Ausgaben</t>
  </si>
  <si>
    <t>Kennwerte Heizung</t>
  </si>
  <si>
    <t>Kennwerte Trinkwarmwasser</t>
  </si>
  <si>
    <t>Kennwerte Kosten</t>
  </si>
  <si>
    <t>Kennwerte Emissionen</t>
  </si>
  <si>
    <t>Eingaben des Anwenders</t>
  </si>
  <si>
    <t>Randdaten der Programmierung und Zwischenwerte</t>
  </si>
  <si>
    <t>Daten verschiedener Wichtigkeit</t>
  </si>
  <si>
    <t>Daten zur Variantenbildung</t>
  </si>
  <si>
    <t>Kennwerte Endenergie bzw. summierte Energiemengen</t>
  </si>
  <si>
    <t>sonstige Auswertung</t>
  </si>
  <si>
    <t>nicht verwendete, informative Daten</t>
  </si>
  <si>
    <t>Vorgehensweise</t>
  </si>
  <si>
    <t>Programmierer:</t>
  </si>
  <si>
    <t>Blätter "Bil_EZFH_oQS" und "Bil_MFH_oQS" sind verlinkt, dort keine Eingaben machen, nur Ergebnisse oben ablesen</t>
  </si>
  <si>
    <t>Blatt "Übersicht" liefert die summierten Ergebnisse aller Gebäude</t>
  </si>
  <si>
    <t>Einsteiger:</t>
  </si>
  <si>
    <t>Fortgeschrittene:</t>
  </si>
  <si>
    <t>in Blättern "Bil_ ..." Blattschutz aufheben, dann 3. Ebene einschalten,  kompletten Rechengang nachvollziehen</t>
  </si>
  <si>
    <t>hier Eingaben in Form von Buchstaben/Text tätigen; Sprechblasentext beachten</t>
  </si>
  <si>
    <t>hier anklicken und aus einer Liste von Eingaben wählen</t>
  </si>
  <si>
    <t>Art der Erzeugung TWW</t>
  </si>
  <si>
    <t>W/(m²K)</t>
  </si>
  <si>
    <t>---</t>
  </si>
  <si>
    <t>€/a</t>
  </si>
  <si>
    <t>€/tCO2</t>
  </si>
  <si>
    <t>€/kWh</t>
  </si>
  <si>
    <t>W/m²</t>
  </si>
  <si>
    <t>€</t>
  </si>
  <si>
    <t>Wichtige Ergebnisse</t>
  </si>
  <si>
    <t>Zuschuss I0</t>
  </si>
  <si>
    <t>käqu</t>
  </si>
  <si>
    <t>zus. kem</t>
  </si>
  <si>
    <t>zuerst Blatt "Übersicht" bearbeiten</t>
  </si>
  <si>
    <t>kein Passwort vorhanden; nur Blattschutz aufheben (Menü "Überprüfen")</t>
  </si>
  <si>
    <t>Blätter "Bil_EZFH_mQS" und "Bil_MFH_mQS" ausfüllen (gelbe Felder), Ergebnisse oben ablesen</t>
  </si>
  <si>
    <t>in allen Blättern Blattschutz aufheben, jeweils maximale Ebene einschalten (= alle Zeilen sichtbar machen), Zellen ändern</t>
  </si>
  <si>
    <t>Mein Versionsname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</si>
</sst>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00"/>
    <numFmt numFmtId="165" formatCode="0.0"/>
    <numFmt numFmtId="166" formatCode="#,##0.0"/>
    <numFmt numFmtId="167" formatCode="0.000000"/>
    <numFmt numFmtId="168" formatCode="0.0000"/>
    <numFmt numFmtId="169" formatCode="#,##0.000"/>
  </numFmts>
  <fonts count="15" x14ac:knownFonts="1">
    <font>
      <sz val="11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3"/>
      <color theme="1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sz val="5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Segoe UI"/>
      <charset val="1"/>
    </font>
    <font>
      <sz val="9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indexed="81"/>
      <name val="Segoe UI"/>
      <family val="2"/>
    </font>
  </fonts>
  <fills count="37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09156"/>
        <bgColor indexed="64"/>
      </patternFill>
    </fill>
    <fill>
      <patternFill patternType="solid">
        <fgColor rgb="FFF29E6A"/>
        <bgColor indexed="64"/>
      </patternFill>
    </fill>
    <fill>
      <patternFill patternType="solid">
        <fgColor rgb="FFAFCEEB"/>
        <bgColor indexed="64"/>
      </patternFill>
    </fill>
    <fill>
      <patternFill patternType="solid">
        <fgColor rgb="FFCADFF2"/>
        <bgColor indexed="64"/>
      </patternFill>
    </fill>
    <fill>
      <patternFill patternType="solid">
        <fgColor rgb="FFB9D9A3"/>
        <bgColor indexed="64"/>
      </patternFill>
    </fill>
    <fill>
      <patternFill patternType="solid">
        <fgColor rgb="FF93C472"/>
        <bgColor indexed="64"/>
      </patternFill>
    </fill>
    <fill>
      <patternFill patternType="solid">
        <fgColor rgb="FFFF66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9BDE"/>
        <bgColor indexed="64"/>
      </patternFill>
    </fill>
    <fill>
      <patternFill patternType="solid">
        <fgColor rgb="FFFFB3E6"/>
        <bgColor indexed="64"/>
      </patternFill>
    </fill>
    <fill>
      <patternFill patternType="solid">
        <fgColor rgb="FFFFE5F6"/>
        <bgColor indexed="64"/>
      </patternFill>
    </fill>
    <fill>
      <patternFill patternType="solid">
        <fgColor rgb="FFFFFF00"/>
        <bgColor auto="1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AF"/>
        <bgColor indexed="64"/>
      </patternFill>
    </fill>
    <fill>
      <patternFill patternType="solid">
        <fgColor rgb="FFCC0099"/>
        <bgColor indexed="64"/>
      </patternFill>
    </fill>
    <fill>
      <patternFill patternType="lightHorizontal">
        <fgColor theme="0" tint="-0.34998626667073579"/>
        <bgColor theme="0"/>
      </patternFill>
    </fill>
  </fills>
  <borders count="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3">
    <xf numFmtId="0" fontId="0" fillId="0" borderId="0"/>
    <xf numFmtId="0" fontId="1" fillId="0" borderId="0"/>
    <xf numFmtId="9" fontId="9" fillId="0" borderId="0" applyFont="0" applyFill="0" applyBorder="0" applyAlignment="0" applyProtection="0"/>
  </cellStyleXfs>
  <cellXfs count="341">
    <xf numFmtId="0" fontId="0" fillId="0" borderId="0" xfId="0"/>
    <xf numFmtId="0" fontId="0" fillId="2" borderId="0" xfId="0" applyFill="1"/>
    <xf numFmtId="0" fontId="0" fillId="3" borderId="0" xfId="0" applyFill="1"/>
    <xf numFmtId="164" fontId="0" fillId="0" borderId="0" xfId="0" applyNumberFormat="1"/>
    <xf numFmtId="0" fontId="0" fillId="0" borderId="0" xfId="0" applyAlignment="1">
      <alignment horizontal="left"/>
    </xf>
    <xf numFmtId="165" fontId="0" fillId="0" borderId="0" xfId="0" applyNumberFormat="1"/>
    <xf numFmtId="0" fontId="0" fillId="4" borderId="0" xfId="0" applyFill="1"/>
    <xf numFmtId="3" fontId="0" fillId="0" borderId="0" xfId="0" applyNumberFormat="1"/>
    <xf numFmtId="0" fontId="0" fillId="0" borderId="0" xfId="0" applyAlignment="1">
      <alignment horizontal="right"/>
    </xf>
    <xf numFmtId="0" fontId="0" fillId="0" borderId="0" xfId="0" applyFont="1"/>
    <xf numFmtId="0" fontId="0" fillId="0" borderId="0" xfId="0" applyAlignment="1">
      <alignment horizontal="center"/>
    </xf>
    <xf numFmtId="0" fontId="0" fillId="4" borderId="0" xfId="0" applyFill="1" applyAlignment="1">
      <alignment horizontal="center"/>
    </xf>
    <xf numFmtId="0" fontId="0" fillId="3" borderId="0" xfId="0" applyFill="1" applyAlignment="1">
      <alignment horizontal="center"/>
    </xf>
    <xf numFmtId="2" fontId="0" fillId="6" borderId="0" xfId="0" applyNumberFormat="1" applyFill="1" applyAlignment="1">
      <alignment horizontal="center"/>
    </xf>
    <xf numFmtId="165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0" xfId="0" quotePrefix="1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 applyFont="1" applyAlignment="1">
      <alignment horizontal="center"/>
    </xf>
    <xf numFmtId="1" fontId="0" fillId="0" borderId="0" xfId="0" applyNumberFormat="1" applyFont="1" applyAlignment="1">
      <alignment horizontal="center"/>
    </xf>
    <xf numFmtId="3" fontId="0" fillId="0" borderId="0" xfId="0" applyNumberFormat="1" applyAlignment="1">
      <alignment horizontal="center"/>
    </xf>
    <xf numFmtId="0" fontId="2" fillId="7" borderId="0" xfId="0" applyFont="1" applyFill="1"/>
    <xf numFmtId="0" fontId="3" fillId="7" borderId="0" xfId="0" applyFont="1" applyFill="1"/>
    <xf numFmtId="0" fontId="3" fillId="7" borderId="0" xfId="0" applyFont="1" applyFill="1" applyAlignment="1">
      <alignment horizontal="left"/>
    </xf>
    <xf numFmtId="0" fontId="3" fillId="7" borderId="0" xfId="0" applyFont="1" applyFill="1" applyAlignment="1">
      <alignment horizontal="right"/>
    </xf>
    <xf numFmtId="1" fontId="0" fillId="8" borderId="0" xfId="0" applyNumberFormat="1" applyFill="1" applyAlignment="1">
      <alignment horizontal="center"/>
    </xf>
    <xf numFmtId="0" fontId="0" fillId="8" borderId="0" xfId="0" applyFill="1" applyAlignment="1">
      <alignment horizontal="center"/>
    </xf>
    <xf numFmtId="4" fontId="0" fillId="0" borderId="0" xfId="0" applyNumberFormat="1" applyAlignment="1">
      <alignment horizontal="center"/>
    </xf>
    <xf numFmtId="0" fontId="5" fillId="0" borderId="0" xfId="0" applyFont="1" applyAlignment="1">
      <alignment horizontal="center"/>
    </xf>
    <xf numFmtId="1" fontId="0" fillId="0" borderId="0" xfId="0" applyNumberFormat="1" applyAlignment="1">
      <alignment horizontal="center"/>
    </xf>
    <xf numFmtId="1" fontId="0" fillId="6" borderId="0" xfId="0" applyNumberFormat="1" applyFill="1" applyAlignment="1">
      <alignment horizontal="center"/>
    </xf>
    <xf numFmtId="1" fontId="6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horizontal="center"/>
    </xf>
    <xf numFmtId="0" fontId="0" fillId="0" borderId="0" xfId="0" applyBorder="1"/>
    <xf numFmtId="0" fontId="0" fillId="0" borderId="0" xfId="0" applyFill="1" applyBorder="1"/>
    <xf numFmtId="0" fontId="0" fillId="18" borderId="0" xfId="0" applyFill="1"/>
    <xf numFmtId="0" fontId="0" fillId="18" borderId="0" xfId="0" applyFill="1" applyAlignment="1">
      <alignment horizontal="left"/>
    </xf>
    <xf numFmtId="0" fontId="0" fillId="18" borderId="0" xfId="0" applyFill="1" applyAlignment="1">
      <alignment horizontal="center"/>
    </xf>
    <xf numFmtId="0" fontId="3" fillId="7" borderId="0" xfId="0" applyFont="1" applyFill="1" applyBorder="1"/>
    <xf numFmtId="0" fontId="2" fillId="7" borderId="0" xfId="0" applyFont="1" applyFill="1" applyBorder="1"/>
    <xf numFmtId="0" fontId="3" fillId="7" borderId="0" xfId="0" applyFont="1" applyFill="1" applyBorder="1" applyAlignment="1">
      <alignment horizontal="left"/>
    </xf>
    <xf numFmtId="0" fontId="3" fillId="7" borderId="0" xfId="0" applyFont="1" applyFill="1" applyBorder="1" applyAlignment="1">
      <alignment horizontal="right"/>
    </xf>
    <xf numFmtId="0" fontId="0" fillId="16" borderId="0" xfId="0" applyFont="1" applyFill="1"/>
    <xf numFmtId="0" fontId="0" fillId="19" borderId="0" xfId="0" applyFont="1" applyFill="1"/>
    <xf numFmtId="0" fontId="0" fillId="19" borderId="0" xfId="0" applyFont="1" applyFill="1" applyAlignment="1">
      <alignment horizontal="center"/>
    </xf>
    <xf numFmtId="0" fontId="0" fillId="16" borderId="0" xfId="0" applyFont="1" applyFill="1" applyAlignment="1">
      <alignment horizontal="center"/>
    </xf>
    <xf numFmtId="0" fontId="0" fillId="16" borderId="0" xfId="0" applyFont="1" applyFill="1" applyAlignment="1">
      <alignment horizontal="left"/>
    </xf>
    <xf numFmtId="0" fontId="0" fillId="19" borderId="0" xfId="0" applyFont="1" applyFill="1" applyAlignment="1">
      <alignment horizontal="left"/>
    </xf>
    <xf numFmtId="0" fontId="0" fillId="16" borderId="0" xfId="0" applyFont="1" applyFill="1" applyAlignment="1"/>
    <xf numFmtId="0" fontId="0" fillId="19" borderId="0" xfId="0" applyFill="1"/>
    <xf numFmtId="0" fontId="0" fillId="19" borderId="0" xfId="0" applyFill="1" applyAlignment="1">
      <alignment horizontal="center"/>
    </xf>
    <xf numFmtId="0" fontId="0" fillId="19" borderId="0" xfId="0" applyFill="1" applyAlignment="1">
      <alignment horizontal="right"/>
    </xf>
    <xf numFmtId="0" fontId="0" fillId="19" borderId="0" xfId="0" applyFill="1" applyAlignment="1">
      <alignment horizontal="left"/>
    </xf>
    <xf numFmtId="0" fontId="4" fillId="19" borderId="0" xfId="0" applyFont="1" applyFill="1" applyAlignment="1">
      <alignment horizontal="center"/>
    </xf>
    <xf numFmtId="0" fontId="0" fillId="16" borderId="0" xfId="0" applyFill="1"/>
    <xf numFmtId="0" fontId="0" fillId="16" borderId="0" xfId="0" applyFill="1" applyAlignment="1">
      <alignment horizontal="left"/>
    </xf>
    <xf numFmtId="0" fontId="0" fillId="16" borderId="0" xfId="0" applyFill="1" applyAlignment="1">
      <alignment horizontal="center"/>
    </xf>
    <xf numFmtId="0" fontId="0" fillId="16" borderId="0" xfId="0" applyFill="1" applyAlignment="1">
      <alignment horizontal="right"/>
    </xf>
    <xf numFmtId="164" fontId="0" fillId="27" borderId="0" xfId="0" applyNumberFormat="1" applyFill="1" applyAlignment="1">
      <alignment horizontal="center"/>
    </xf>
    <xf numFmtId="2" fontId="0" fillId="31" borderId="0" xfId="0" applyNumberFormat="1" applyFill="1" applyAlignment="1">
      <alignment horizontal="center"/>
    </xf>
    <xf numFmtId="164" fontId="0" fillId="31" borderId="0" xfId="0" applyNumberFormat="1" applyFill="1" applyAlignment="1">
      <alignment horizontal="center"/>
    </xf>
    <xf numFmtId="1" fontId="0" fillId="31" borderId="0" xfId="0" applyNumberFormat="1" applyFill="1" applyAlignment="1">
      <alignment horizontal="center"/>
    </xf>
    <xf numFmtId="0" fontId="0" fillId="31" borderId="0" xfId="0" applyFill="1" applyAlignment="1">
      <alignment horizontal="center"/>
    </xf>
    <xf numFmtId="165" fontId="0" fillId="31" borderId="0" xfId="0" applyNumberFormat="1" applyFill="1" applyAlignment="1">
      <alignment horizontal="center"/>
    </xf>
    <xf numFmtId="165" fontId="0" fillId="31" borderId="0" xfId="0" applyNumberFormat="1" applyFont="1" applyFill="1" applyAlignment="1">
      <alignment horizontal="center"/>
    </xf>
    <xf numFmtId="1" fontId="0" fillId="31" borderId="0" xfId="0" applyNumberFormat="1" applyFont="1" applyFill="1" applyAlignment="1">
      <alignment horizontal="center"/>
    </xf>
    <xf numFmtId="2" fontId="0" fillId="31" borderId="0" xfId="0" applyNumberFormat="1" applyFont="1" applyFill="1" applyAlignment="1">
      <alignment horizontal="center"/>
    </xf>
    <xf numFmtId="165" fontId="0" fillId="27" borderId="0" xfId="0" applyNumberFormat="1" applyFill="1" applyAlignment="1">
      <alignment horizontal="center"/>
    </xf>
    <xf numFmtId="2" fontId="0" fillId="27" borderId="0" xfId="0" applyNumberFormat="1" applyFill="1" applyAlignment="1">
      <alignment horizontal="center"/>
    </xf>
    <xf numFmtId="1" fontId="0" fillId="27" borderId="0" xfId="0" applyNumberFormat="1" applyFill="1" applyAlignment="1">
      <alignment horizontal="center"/>
    </xf>
    <xf numFmtId="0" fontId="0" fillId="27" borderId="0" xfId="0" applyFill="1" applyAlignment="1">
      <alignment horizontal="center"/>
    </xf>
    <xf numFmtId="1" fontId="0" fillId="27" borderId="0" xfId="0" applyNumberFormat="1" applyFont="1" applyFill="1" applyAlignment="1">
      <alignment horizontal="center"/>
    </xf>
    <xf numFmtId="165" fontId="0" fillId="35" borderId="0" xfId="0" applyNumberFormat="1" applyFill="1" applyAlignment="1">
      <alignment horizontal="center"/>
    </xf>
    <xf numFmtId="1" fontId="0" fillId="35" borderId="0" xfId="0" applyNumberFormat="1" applyFill="1" applyAlignment="1">
      <alignment horizontal="center"/>
    </xf>
    <xf numFmtId="2" fontId="0" fillId="35" borderId="0" xfId="0" applyNumberFormat="1" applyFill="1" applyAlignment="1">
      <alignment horizontal="center"/>
    </xf>
    <xf numFmtId="0" fontId="0" fillId="35" borderId="0" xfId="0" applyFill="1" applyAlignment="1">
      <alignment horizontal="center"/>
    </xf>
    <xf numFmtId="164" fontId="0" fillId="35" borderId="0" xfId="0" applyNumberFormat="1" applyFill="1" applyAlignment="1">
      <alignment horizontal="center"/>
    </xf>
    <xf numFmtId="3" fontId="0" fillId="35" borderId="0" xfId="0" applyNumberFormat="1" applyFill="1" applyAlignment="1">
      <alignment horizontal="center"/>
    </xf>
    <xf numFmtId="0" fontId="0" fillId="36" borderId="0" xfId="0" applyFill="1" applyAlignment="1">
      <alignment horizontal="center"/>
    </xf>
    <xf numFmtId="2" fontId="0" fillId="36" borderId="0" xfId="0" applyNumberFormat="1" applyFill="1" applyAlignment="1">
      <alignment horizontal="center"/>
    </xf>
    <xf numFmtId="2" fontId="4" fillId="35" borderId="0" xfId="0" applyNumberFormat="1" applyFont="1" applyFill="1" applyAlignment="1">
      <alignment horizontal="center"/>
    </xf>
    <xf numFmtId="2" fontId="0" fillId="27" borderId="0" xfId="0" applyNumberFormat="1" applyFont="1" applyFill="1" applyAlignment="1">
      <alignment horizontal="center"/>
    </xf>
    <xf numFmtId="0" fontId="4" fillId="35" borderId="0" xfId="0" applyFont="1" applyFill="1" applyAlignment="1">
      <alignment horizontal="center"/>
    </xf>
    <xf numFmtId="165" fontId="0" fillId="36" borderId="0" xfId="0" applyNumberFormat="1" applyFill="1" applyAlignment="1">
      <alignment horizontal="center"/>
    </xf>
    <xf numFmtId="1" fontId="0" fillId="36" borderId="0" xfId="0" applyNumberFormat="1" applyFill="1" applyAlignment="1">
      <alignment horizontal="center"/>
    </xf>
    <xf numFmtId="1" fontId="0" fillId="35" borderId="0" xfId="0" applyNumberFormat="1" applyFont="1" applyFill="1" applyAlignment="1">
      <alignment horizontal="center"/>
    </xf>
    <xf numFmtId="164" fontId="4" fillId="35" borderId="0" xfId="0" applyNumberFormat="1" applyFont="1" applyFill="1" applyAlignment="1">
      <alignment horizontal="center"/>
    </xf>
    <xf numFmtId="164" fontId="0" fillId="36" borderId="0" xfId="0" applyNumberFormat="1" applyFill="1" applyAlignment="1">
      <alignment horizontal="center"/>
    </xf>
    <xf numFmtId="165" fontId="0" fillId="27" borderId="0" xfId="0" applyNumberFormat="1" applyFont="1" applyFill="1" applyAlignment="1">
      <alignment horizontal="center"/>
    </xf>
    <xf numFmtId="3" fontId="0" fillId="27" borderId="0" xfId="0" applyNumberFormat="1" applyFont="1" applyFill="1" applyAlignment="1">
      <alignment horizontal="center"/>
    </xf>
    <xf numFmtId="2" fontId="0" fillId="35" borderId="0" xfId="0" applyNumberFormat="1" applyFont="1" applyFill="1" applyAlignment="1">
      <alignment horizontal="center"/>
    </xf>
    <xf numFmtId="164" fontId="0" fillId="35" borderId="0" xfId="0" applyNumberFormat="1" applyFont="1" applyFill="1" applyAlignment="1">
      <alignment horizontal="center"/>
    </xf>
    <xf numFmtId="3" fontId="0" fillId="31" borderId="0" xfId="0" applyNumberFormat="1" applyFont="1" applyFill="1" applyAlignment="1">
      <alignment horizontal="center"/>
    </xf>
    <xf numFmtId="3" fontId="0" fillId="31" borderId="0" xfId="0" applyNumberFormat="1" applyFont="1" applyFill="1"/>
    <xf numFmtId="0" fontId="0" fillId="31" borderId="0" xfId="0" applyFont="1" applyFill="1" applyAlignment="1">
      <alignment horizontal="center"/>
    </xf>
    <xf numFmtId="165" fontId="0" fillId="35" borderId="0" xfId="0" applyNumberFormat="1" applyFont="1" applyFill="1" applyAlignment="1">
      <alignment horizontal="center"/>
    </xf>
    <xf numFmtId="164" fontId="0" fillId="31" borderId="0" xfId="0" applyNumberFormat="1" applyFont="1" applyFill="1" applyAlignment="1">
      <alignment horizontal="center"/>
    </xf>
    <xf numFmtId="164" fontId="0" fillId="27" borderId="0" xfId="0" applyNumberFormat="1" applyFont="1" applyFill="1" applyAlignment="1">
      <alignment horizontal="center"/>
    </xf>
    <xf numFmtId="3" fontId="0" fillId="35" borderId="0" xfId="0" applyNumberFormat="1" applyFont="1" applyFill="1" applyAlignment="1">
      <alignment horizontal="center"/>
    </xf>
    <xf numFmtId="3" fontId="0" fillId="35" borderId="0" xfId="0" applyNumberFormat="1" applyFont="1" applyFill="1"/>
    <xf numFmtId="166" fontId="0" fillId="27" borderId="0" xfId="0" applyNumberFormat="1" applyFont="1" applyFill="1" applyAlignment="1">
      <alignment horizontal="center"/>
    </xf>
    <xf numFmtId="4" fontId="0" fillId="27" borderId="0" xfId="0" applyNumberFormat="1" applyFont="1" applyFill="1" applyAlignment="1">
      <alignment horizontal="center"/>
    </xf>
    <xf numFmtId="169" fontId="0" fillId="27" borderId="0" xfId="0" applyNumberFormat="1" applyFont="1" applyFill="1" applyAlignment="1">
      <alignment horizontal="center"/>
    </xf>
    <xf numFmtId="166" fontId="0" fillId="31" borderId="0" xfId="0" applyNumberFormat="1" applyFont="1" applyFill="1" applyAlignment="1">
      <alignment horizontal="center"/>
    </xf>
    <xf numFmtId="168" fontId="0" fillId="31" borderId="0" xfId="0" applyNumberFormat="1" applyFont="1" applyFill="1" applyAlignment="1">
      <alignment horizontal="center"/>
    </xf>
    <xf numFmtId="0" fontId="2" fillId="7" borderId="0" xfId="0" applyFont="1" applyFill="1" applyBorder="1" applyProtection="1"/>
    <xf numFmtId="0" fontId="3" fillId="7" borderId="0" xfId="0" applyFont="1" applyFill="1" applyBorder="1" applyAlignment="1" applyProtection="1">
      <alignment horizontal="left"/>
    </xf>
    <xf numFmtId="0" fontId="3" fillId="7" borderId="0" xfId="0" applyFont="1" applyFill="1" applyBorder="1" applyAlignment="1" applyProtection="1">
      <alignment horizontal="right"/>
    </xf>
    <xf numFmtId="0" fontId="3" fillId="7" borderId="0" xfId="0" applyFont="1" applyFill="1" applyBorder="1" applyProtection="1"/>
    <xf numFmtId="0" fontId="8" fillId="0" borderId="0" xfId="0" applyFont="1" applyFill="1" applyBorder="1" applyAlignment="1" applyProtection="1">
      <alignment horizontal="center" shrinkToFit="1"/>
    </xf>
    <xf numFmtId="0" fontId="8" fillId="0" borderId="0" xfId="0" applyFont="1" applyFill="1" applyBorder="1" applyAlignment="1" applyProtection="1">
      <alignment horizontal="center"/>
    </xf>
    <xf numFmtId="0" fontId="0" fillId="0" borderId="0" xfId="0" applyFill="1" applyBorder="1" applyAlignment="1" applyProtection="1">
      <alignment horizontal="right"/>
    </xf>
    <xf numFmtId="2" fontId="0" fillId="14" borderId="0" xfId="0" applyNumberFormat="1" applyFill="1" applyBorder="1" applyAlignment="1" applyProtection="1">
      <alignment horizontal="center"/>
    </xf>
    <xf numFmtId="165" fontId="0" fillId="11" borderId="0" xfId="0" applyNumberFormat="1" applyFill="1" applyBorder="1" applyAlignment="1" applyProtection="1">
      <alignment horizontal="center"/>
    </xf>
    <xf numFmtId="165" fontId="0" fillId="15" borderId="0" xfId="0" applyNumberFormat="1" applyFill="1" applyBorder="1" applyAlignment="1" applyProtection="1">
      <alignment horizontal="center"/>
    </xf>
    <xf numFmtId="2" fontId="0" fillId="15" borderId="0" xfId="0" applyNumberFormat="1" applyFill="1" applyBorder="1" applyAlignment="1" applyProtection="1">
      <alignment horizontal="center"/>
    </xf>
    <xf numFmtId="165" fontId="0" fillId="22" borderId="0" xfId="0" applyNumberFormat="1" applyFill="1" applyBorder="1" applyAlignment="1" applyProtection="1">
      <alignment horizontal="center"/>
    </xf>
    <xf numFmtId="165" fontId="0" fillId="13" borderId="0" xfId="0" applyNumberFormat="1" applyFill="1" applyBorder="1" applyAlignment="1" applyProtection="1">
      <alignment horizontal="center"/>
    </xf>
    <xf numFmtId="165" fontId="0" fillId="25" borderId="0" xfId="0" applyNumberFormat="1" applyFont="1" applyFill="1" applyBorder="1" applyAlignment="1" applyProtection="1">
      <alignment horizontal="center"/>
    </xf>
    <xf numFmtId="165" fontId="0" fillId="16" borderId="0" xfId="0" applyNumberFormat="1" applyFill="1" applyBorder="1" applyAlignment="1" applyProtection="1">
      <alignment horizontal="center"/>
    </xf>
    <xf numFmtId="3" fontId="0" fillId="6" borderId="0" xfId="0" applyNumberFormat="1" applyFill="1" applyBorder="1" applyAlignment="1" applyProtection="1">
      <alignment horizontal="center"/>
    </xf>
    <xf numFmtId="9" fontId="3" fillId="7" borderId="0" xfId="2" applyFont="1" applyFill="1" applyBorder="1" applyAlignment="1" applyProtection="1">
      <alignment horizontal="center"/>
    </xf>
    <xf numFmtId="1" fontId="3" fillId="7" borderId="0" xfId="0" applyNumberFormat="1" applyFont="1" applyFill="1" applyBorder="1" applyAlignment="1" applyProtection="1">
      <alignment horizontal="center"/>
    </xf>
    <xf numFmtId="1" fontId="3" fillId="33" borderId="0" xfId="0" applyNumberFormat="1" applyFont="1" applyFill="1" applyBorder="1" applyAlignment="1" applyProtection="1">
      <alignment horizontal="center"/>
    </xf>
    <xf numFmtId="0" fontId="0" fillId="0" borderId="0" xfId="0" applyFill="1" applyBorder="1" applyProtection="1"/>
    <xf numFmtId="9" fontId="0" fillId="14" borderId="0" xfId="2" applyFont="1" applyFill="1" applyBorder="1" applyAlignment="1" applyProtection="1">
      <alignment horizontal="center"/>
    </xf>
    <xf numFmtId="9" fontId="0" fillId="11" borderId="0" xfId="2" applyFont="1" applyFill="1" applyBorder="1" applyAlignment="1" applyProtection="1">
      <alignment horizontal="center"/>
    </xf>
    <xf numFmtId="9" fontId="0" fillId="15" borderId="0" xfId="2" applyFont="1" applyFill="1" applyBorder="1" applyAlignment="1" applyProtection="1">
      <alignment horizontal="center"/>
    </xf>
    <xf numFmtId="9" fontId="0" fillId="22" borderId="0" xfId="2" applyFont="1" applyFill="1" applyBorder="1" applyAlignment="1" applyProtection="1">
      <alignment horizontal="center"/>
    </xf>
    <xf numFmtId="9" fontId="0" fillId="13" borderId="0" xfId="2" applyFont="1" applyFill="1" applyBorder="1" applyAlignment="1" applyProtection="1">
      <alignment horizontal="center"/>
    </xf>
    <xf numFmtId="9" fontId="0" fillId="25" borderId="0" xfId="2" applyFont="1" applyFill="1" applyBorder="1" applyAlignment="1" applyProtection="1">
      <alignment horizontal="center"/>
    </xf>
    <xf numFmtId="9" fontId="0" fillId="16" borderId="0" xfId="2" applyFont="1" applyFill="1" applyBorder="1" applyAlignment="1" applyProtection="1">
      <alignment horizontal="center"/>
    </xf>
    <xf numFmtId="9" fontId="0" fillId="6" borderId="0" xfId="0" applyNumberFormat="1" applyFill="1" applyBorder="1" applyAlignment="1" applyProtection="1">
      <alignment horizontal="center"/>
    </xf>
    <xf numFmtId="9" fontId="0" fillId="0" borderId="0" xfId="2" applyFont="1" applyFill="1" applyBorder="1" applyProtection="1"/>
    <xf numFmtId="0" fontId="8" fillId="0" borderId="0" xfId="0" applyFont="1" applyFill="1" applyBorder="1" applyAlignment="1" applyProtection="1">
      <alignment horizontal="right" shrinkToFit="1"/>
    </xf>
    <xf numFmtId="0" fontId="0" fillId="0" borderId="0" xfId="0" applyBorder="1" applyAlignment="1" applyProtection="1">
      <alignment horizontal="right"/>
    </xf>
    <xf numFmtId="1" fontId="0" fillId="14" borderId="0" xfId="0" applyNumberFormat="1" applyFill="1" applyBorder="1" applyAlignment="1" applyProtection="1">
      <alignment horizontal="center"/>
    </xf>
    <xf numFmtId="165" fontId="0" fillId="4" borderId="0" xfId="0" applyNumberFormat="1" applyFill="1" applyBorder="1" applyAlignment="1" applyProtection="1">
      <alignment horizontal="center"/>
    </xf>
    <xf numFmtId="165" fontId="0" fillId="24" borderId="0" xfId="0" applyNumberFormat="1" applyFill="1" applyBorder="1" applyAlignment="1" applyProtection="1">
      <alignment horizontal="center"/>
    </xf>
    <xf numFmtId="2" fontId="0" fillId="24" borderId="0" xfId="0" applyNumberFormat="1" applyFill="1" applyBorder="1" applyAlignment="1" applyProtection="1">
      <alignment horizontal="center"/>
    </xf>
    <xf numFmtId="165" fontId="0" fillId="23" borderId="0" xfId="0" applyNumberFormat="1" applyFill="1" applyBorder="1" applyAlignment="1" applyProtection="1">
      <alignment horizontal="center"/>
    </xf>
    <xf numFmtId="165" fontId="0" fillId="25" borderId="0" xfId="0" applyNumberFormat="1" applyFill="1" applyBorder="1" applyAlignment="1" applyProtection="1">
      <alignment horizontal="center"/>
    </xf>
    <xf numFmtId="165" fontId="0" fillId="26" borderId="0" xfId="0" applyNumberFormat="1" applyFill="1" applyBorder="1" applyAlignment="1" applyProtection="1">
      <alignment horizontal="center"/>
    </xf>
    <xf numFmtId="165" fontId="0" fillId="28" borderId="0" xfId="0" applyNumberFormat="1" applyFill="1" applyBorder="1" applyAlignment="1" applyProtection="1">
      <alignment horizontal="center"/>
    </xf>
    <xf numFmtId="3" fontId="0" fillId="17" borderId="0" xfId="0" applyNumberFormat="1" applyFill="1" applyBorder="1" applyAlignment="1" applyProtection="1">
      <alignment horizontal="center"/>
    </xf>
    <xf numFmtId="0" fontId="0" fillId="0" borderId="0" xfId="0" applyBorder="1" applyProtection="1"/>
    <xf numFmtId="3" fontId="0" fillId="0" borderId="0" xfId="0" applyNumberFormat="1" applyBorder="1" applyProtection="1"/>
    <xf numFmtId="9" fontId="0" fillId="4" borderId="0" xfId="2" applyFont="1" applyFill="1" applyBorder="1" applyAlignment="1" applyProtection="1">
      <alignment horizontal="center"/>
    </xf>
    <xf numFmtId="9" fontId="0" fillId="24" borderId="0" xfId="2" applyFont="1" applyFill="1" applyBorder="1" applyAlignment="1" applyProtection="1">
      <alignment horizontal="center"/>
    </xf>
    <xf numFmtId="9" fontId="0" fillId="23" borderId="0" xfId="2" applyFont="1" applyFill="1" applyBorder="1" applyAlignment="1" applyProtection="1">
      <alignment horizontal="center"/>
    </xf>
    <xf numFmtId="9" fontId="0" fillId="26" borderId="0" xfId="2" applyFont="1" applyFill="1" applyBorder="1" applyAlignment="1" applyProtection="1">
      <alignment horizontal="center"/>
    </xf>
    <xf numFmtId="9" fontId="0" fillId="28" borderId="0" xfId="2" applyFont="1" applyFill="1" applyBorder="1" applyAlignment="1" applyProtection="1">
      <alignment horizontal="center"/>
    </xf>
    <xf numFmtId="0" fontId="0" fillId="7" borderId="0" xfId="0" applyFill="1" applyBorder="1" applyProtection="1"/>
    <xf numFmtId="0" fontId="0" fillId="7" borderId="0" xfId="0" applyFill="1" applyBorder="1" applyAlignment="1" applyProtection="1">
      <alignment horizontal="left"/>
    </xf>
    <xf numFmtId="0" fontId="0" fillId="7" borderId="0" xfId="0" applyFill="1" applyProtection="1"/>
    <xf numFmtId="0" fontId="2" fillId="7" borderId="0" xfId="0" applyFont="1" applyFill="1" applyProtection="1"/>
    <xf numFmtId="0" fontId="3" fillId="7" borderId="0" xfId="0" applyFont="1" applyFill="1" applyAlignment="1" applyProtection="1">
      <alignment horizontal="left"/>
    </xf>
    <xf numFmtId="0" fontId="3" fillId="7" borderId="0" xfId="0" applyFont="1" applyFill="1" applyAlignment="1" applyProtection="1">
      <alignment horizontal="right"/>
    </xf>
    <xf numFmtId="0" fontId="3" fillId="7" borderId="0" xfId="0" applyFont="1" applyFill="1" applyProtection="1"/>
    <xf numFmtId="0" fontId="3" fillId="7" borderId="2" xfId="0" applyFont="1" applyFill="1" applyBorder="1" applyProtection="1"/>
    <xf numFmtId="0" fontId="3" fillId="7" borderId="1" xfId="0" applyFont="1" applyFill="1" applyBorder="1" applyProtection="1"/>
    <xf numFmtId="0" fontId="0" fillId="9" borderId="0" xfId="0" applyFont="1" applyFill="1" applyProtection="1"/>
    <xf numFmtId="0" fontId="0" fillId="9" borderId="0" xfId="0" applyFont="1" applyFill="1" applyAlignment="1" applyProtection="1">
      <alignment horizontal="left"/>
    </xf>
    <xf numFmtId="0" fontId="0" fillId="9" borderId="2" xfId="0" applyFont="1" applyFill="1" applyBorder="1" applyProtection="1"/>
    <xf numFmtId="0" fontId="0" fillId="9" borderId="1" xfId="0" applyFont="1" applyFill="1" applyBorder="1" applyProtection="1"/>
    <xf numFmtId="0" fontId="0" fillId="10" borderId="0" xfId="0" applyFont="1" applyFill="1" applyAlignment="1" applyProtection="1">
      <alignment horizontal="center"/>
    </xf>
    <xf numFmtId="0" fontId="0" fillId="10" borderId="0" xfId="0" applyFont="1" applyFill="1" applyAlignment="1" applyProtection="1">
      <alignment horizontal="left"/>
    </xf>
    <xf numFmtId="0" fontId="0" fillId="10" borderId="2" xfId="0" applyFont="1" applyFill="1" applyBorder="1" applyAlignment="1" applyProtection="1">
      <alignment horizontal="center"/>
    </xf>
    <xf numFmtId="0" fontId="0" fillId="10" borderId="1" xfId="0" applyFont="1" applyFill="1" applyBorder="1" applyAlignment="1" applyProtection="1">
      <alignment horizontal="center"/>
    </xf>
    <xf numFmtId="0" fontId="0" fillId="10" borderId="0" xfId="0" applyFont="1" applyFill="1" applyProtection="1"/>
    <xf numFmtId="0" fontId="0" fillId="10" borderId="2" xfId="0" applyFont="1" applyFill="1" applyBorder="1" applyProtection="1"/>
    <xf numFmtId="0" fontId="0" fillId="10" borderId="1" xfId="0" applyFont="1" applyFill="1" applyBorder="1" applyProtection="1"/>
    <xf numFmtId="0" fontId="0" fillId="0" borderId="0" xfId="0" applyProtection="1"/>
    <xf numFmtId="0" fontId="0" fillId="0" borderId="0" xfId="0" applyAlignment="1" applyProtection="1">
      <alignment horizontal="left"/>
    </xf>
    <xf numFmtId="0" fontId="0" fillId="0" borderId="0" xfId="0" applyFont="1" applyAlignment="1" applyProtection="1">
      <alignment horizontal="center"/>
    </xf>
    <xf numFmtId="165" fontId="0" fillId="27" borderId="2" xfId="0" applyNumberFormat="1" applyFill="1" applyBorder="1" applyAlignment="1" applyProtection="1">
      <alignment horizontal="center"/>
    </xf>
    <xf numFmtId="165" fontId="0" fillId="27" borderId="1" xfId="0" applyNumberFormat="1" applyFill="1" applyBorder="1" applyAlignment="1" applyProtection="1">
      <alignment horizontal="center"/>
    </xf>
    <xf numFmtId="0" fontId="0" fillId="0" borderId="2" xfId="0" applyBorder="1" applyProtection="1"/>
    <xf numFmtId="0" fontId="0" fillId="0" borderId="1" xfId="0" applyBorder="1" applyProtection="1"/>
    <xf numFmtId="1" fontId="0" fillId="27" borderId="2" xfId="0" applyNumberFormat="1" applyFill="1" applyBorder="1" applyAlignment="1" applyProtection="1">
      <alignment horizontal="center"/>
    </xf>
    <xf numFmtId="1" fontId="0" fillId="27" borderId="1" xfId="0" applyNumberFormat="1" applyFill="1" applyBorder="1" applyAlignment="1" applyProtection="1">
      <alignment horizontal="center"/>
    </xf>
    <xf numFmtId="165" fontId="0" fillId="31" borderId="2" xfId="0" applyNumberFormat="1" applyFill="1" applyBorder="1" applyAlignment="1" applyProtection="1">
      <alignment horizontal="center"/>
    </xf>
    <xf numFmtId="165" fontId="0" fillId="31" borderId="1" xfId="0" applyNumberFormat="1" applyFill="1" applyBorder="1" applyAlignment="1" applyProtection="1">
      <alignment horizontal="center"/>
    </xf>
    <xf numFmtId="1" fontId="0" fillId="30" borderId="0" xfId="0" applyNumberFormat="1" applyFont="1" applyFill="1" applyAlignment="1" applyProtection="1">
      <alignment horizontal="center"/>
    </xf>
    <xf numFmtId="0" fontId="0" fillId="0" borderId="0" xfId="0" applyAlignment="1" applyProtection="1">
      <alignment horizontal="center"/>
    </xf>
    <xf numFmtId="2" fontId="0" fillId="31" borderId="0" xfId="0" applyNumberFormat="1" applyFont="1" applyFill="1" applyAlignment="1" applyProtection="1">
      <alignment horizontal="center"/>
    </xf>
    <xf numFmtId="1" fontId="0" fillId="31" borderId="0" xfId="0" applyNumberFormat="1" applyFont="1" applyFill="1" applyAlignment="1" applyProtection="1">
      <alignment horizontal="center"/>
    </xf>
    <xf numFmtId="1" fontId="0" fillId="0" borderId="0" xfId="0" applyNumberFormat="1" applyFont="1" applyAlignment="1" applyProtection="1">
      <alignment horizontal="center"/>
    </xf>
    <xf numFmtId="1" fontId="0" fillId="30" borderId="2" xfId="0" applyNumberFormat="1" applyFont="1" applyFill="1" applyBorder="1" applyAlignment="1" applyProtection="1">
      <alignment horizontal="center"/>
    </xf>
    <xf numFmtId="1" fontId="0" fillId="30" borderId="1" xfId="0" applyNumberFormat="1" applyFont="1" applyFill="1" applyBorder="1" applyAlignment="1" applyProtection="1">
      <alignment horizontal="center"/>
    </xf>
    <xf numFmtId="2" fontId="0" fillId="31" borderId="0" xfId="0" applyNumberFormat="1" applyFill="1" applyAlignment="1" applyProtection="1">
      <alignment horizontal="center"/>
    </xf>
    <xf numFmtId="2" fontId="0" fillId="0" borderId="0" xfId="0" applyNumberFormat="1" applyAlignment="1" applyProtection="1">
      <alignment horizontal="center"/>
    </xf>
    <xf numFmtId="1" fontId="0" fillId="30" borderId="2" xfId="0" applyNumberFormat="1" applyFill="1" applyBorder="1" applyAlignment="1" applyProtection="1">
      <alignment horizontal="center"/>
    </xf>
    <xf numFmtId="1" fontId="0" fillId="30" borderId="1" xfId="0" applyNumberFormat="1" applyFill="1" applyBorder="1" applyAlignment="1" applyProtection="1">
      <alignment horizontal="center"/>
    </xf>
    <xf numFmtId="0" fontId="0" fillId="0" borderId="0" xfId="0" applyFont="1" applyProtection="1"/>
    <xf numFmtId="0" fontId="0" fillId="0" borderId="0" xfId="0" applyFont="1" applyAlignment="1" applyProtection="1">
      <alignment horizontal="left"/>
    </xf>
    <xf numFmtId="2" fontId="0" fillId="0" borderId="0" xfId="0" applyNumberFormat="1" applyFont="1" applyAlignment="1" applyProtection="1">
      <alignment horizontal="center"/>
    </xf>
    <xf numFmtId="2" fontId="0" fillId="30" borderId="2" xfId="0" applyNumberFormat="1" applyFont="1" applyFill="1" applyBorder="1" applyAlignment="1" applyProtection="1">
      <alignment horizontal="center"/>
    </xf>
    <xf numFmtId="2" fontId="0" fillId="30" borderId="1" xfId="0" applyNumberFormat="1" applyFont="1" applyFill="1" applyBorder="1" applyAlignment="1" applyProtection="1">
      <alignment horizontal="center"/>
    </xf>
    <xf numFmtId="165" fontId="0" fillId="27" borderId="2" xfId="0" applyNumberFormat="1" applyFont="1" applyFill="1" applyBorder="1" applyAlignment="1" applyProtection="1">
      <alignment horizontal="center"/>
    </xf>
    <xf numFmtId="0" fontId="0" fillId="0" borderId="1" xfId="0" applyFont="1" applyBorder="1" applyProtection="1"/>
    <xf numFmtId="2" fontId="0" fillId="30" borderId="0" xfId="0" applyNumberFormat="1" applyFont="1" applyFill="1" applyAlignment="1" applyProtection="1">
      <alignment horizontal="center"/>
    </xf>
    <xf numFmtId="165" fontId="0" fillId="27" borderId="1" xfId="0" applyNumberFormat="1" applyFont="1" applyFill="1" applyBorder="1" applyAlignment="1" applyProtection="1">
      <alignment horizontal="center"/>
    </xf>
    <xf numFmtId="0" fontId="0" fillId="0" borderId="2" xfId="0" applyFont="1" applyBorder="1" applyProtection="1"/>
    <xf numFmtId="2" fontId="0" fillId="31" borderId="2" xfId="0" applyNumberFormat="1" applyFill="1" applyBorder="1" applyAlignment="1" applyProtection="1">
      <alignment horizontal="center"/>
    </xf>
    <xf numFmtId="2" fontId="0" fillId="31" borderId="1" xfId="0" applyNumberFormat="1" applyFill="1" applyBorder="1" applyAlignment="1" applyProtection="1">
      <alignment horizontal="center"/>
    </xf>
    <xf numFmtId="165" fontId="0" fillId="31" borderId="0" xfId="0" applyNumberFormat="1" applyFont="1" applyFill="1" applyAlignment="1" applyProtection="1">
      <alignment horizontal="center"/>
    </xf>
    <xf numFmtId="165" fontId="0" fillId="30" borderId="2" xfId="0" applyNumberFormat="1" applyFont="1" applyFill="1" applyBorder="1" applyAlignment="1" applyProtection="1">
      <alignment horizontal="center"/>
    </xf>
    <xf numFmtId="165" fontId="0" fillId="30" borderId="1" xfId="0" applyNumberFormat="1" applyFont="1" applyFill="1" applyBorder="1" applyAlignment="1" applyProtection="1">
      <alignment horizontal="center"/>
    </xf>
    <xf numFmtId="165" fontId="0" fillId="0" borderId="2" xfId="0" applyNumberFormat="1" applyBorder="1" applyAlignment="1" applyProtection="1">
      <alignment horizontal="center"/>
    </xf>
    <xf numFmtId="165" fontId="0" fillId="0" borderId="1" xfId="0" applyNumberFormat="1" applyBorder="1" applyAlignment="1" applyProtection="1">
      <alignment horizontal="center"/>
    </xf>
    <xf numFmtId="0" fontId="0" fillId="9" borderId="0" xfId="0" applyFont="1" applyFill="1" applyAlignment="1" applyProtection="1">
      <alignment horizontal="center"/>
    </xf>
    <xf numFmtId="165" fontId="0" fillId="30" borderId="0" xfId="0" applyNumberFormat="1" applyFont="1" applyFill="1" applyAlignment="1" applyProtection="1">
      <alignment horizontal="center"/>
    </xf>
    <xf numFmtId="1" fontId="0" fillId="31" borderId="0" xfId="0" applyNumberFormat="1" applyFill="1" applyAlignment="1" applyProtection="1">
      <alignment horizontal="center"/>
    </xf>
    <xf numFmtId="2" fontId="0" fillId="0" borderId="0" xfId="0" applyNumberFormat="1" applyFont="1" applyAlignment="1" applyProtection="1">
      <alignment horizontal="left"/>
    </xf>
    <xf numFmtId="1" fontId="0" fillId="27" borderId="2" xfId="0" applyNumberFormat="1" applyFont="1" applyFill="1" applyBorder="1" applyAlignment="1" applyProtection="1">
      <alignment horizontal="center"/>
    </xf>
    <xf numFmtId="1" fontId="0" fillId="27" borderId="1" xfId="0" applyNumberFormat="1" applyFont="1" applyFill="1" applyBorder="1" applyAlignment="1" applyProtection="1">
      <alignment horizontal="center"/>
    </xf>
    <xf numFmtId="1" fontId="7" fillId="0" borderId="0" xfId="0" applyNumberFormat="1" applyFont="1" applyAlignment="1" applyProtection="1">
      <alignment horizontal="center"/>
    </xf>
    <xf numFmtId="165" fontId="0" fillId="31" borderId="0" xfId="0" applyNumberFormat="1" applyFill="1" applyAlignment="1" applyProtection="1">
      <alignment horizontal="center"/>
    </xf>
    <xf numFmtId="1" fontId="0" fillId="0" borderId="0" xfId="0" applyNumberFormat="1" applyAlignment="1" applyProtection="1">
      <alignment horizontal="center"/>
    </xf>
    <xf numFmtId="1" fontId="0" fillId="31" borderId="2" xfId="0" applyNumberFormat="1" applyFill="1" applyBorder="1" applyAlignment="1" applyProtection="1">
      <alignment horizontal="center"/>
    </xf>
    <xf numFmtId="1" fontId="0" fillId="31" borderId="1" xfId="0" applyNumberFormat="1" applyFill="1" applyBorder="1" applyAlignment="1" applyProtection="1">
      <alignment horizontal="center"/>
    </xf>
    <xf numFmtId="0" fontId="0" fillId="31" borderId="0" xfId="0" applyFill="1" applyAlignment="1" applyProtection="1">
      <alignment horizontal="center"/>
    </xf>
    <xf numFmtId="2" fontId="0" fillId="30" borderId="2" xfId="0" applyNumberFormat="1" applyFill="1" applyBorder="1" applyAlignment="1" applyProtection="1">
      <alignment horizontal="center"/>
    </xf>
    <xf numFmtId="2" fontId="0" fillId="30" borderId="1" xfId="0" applyNumberFormat="1" applyFill="1" applyBorder="1" applyAlignment="1" applyProtection="1">
      <alignment horizontal="center"/>
    </xf>
    <xf numFmtId="165" fontId="0" fillId="30" borderId="2" xfId="0" applyNumberFormat="1" applyFill="1" applyBorder="1" applyAlignment="1" applyProtection="1">
      <alignment horizontal="center"/>
    </xf>
    <xf numFmtId="165" fontId="0" fillId="30" borderId="1" xfId="0" applyNumberFormat="1" applyFill="1" applyBorder="1" applyAlignment="1" applyProtection="1">
      <alignment horizontal="center"/>
    </xf>
    <xf numFmtId="2" fontId="0" fillId="27" borderId="2" xfId="0" applyNumberFormat="1" applyFill="1" applyBorder="1" applyAlignment="1" applyProtection="1">
      <alignment horizontal="center"/>
    </xf>
    <xf numFmtId="2" fontId="0" fillId="27" borderId="1" xfId="0" applyNumberFormat="1" applyFill="1" applyBorder="1" applyAlignment="1" applyProtection="1">
      <alignment horizontal="center"/>
    </xf>
    <xf numFmtId="165" fontId="0" fillId="0" borderId="0" xfId="0" applyNumberFormat="1" applyAlignment="1" applyProtection="1">
      <alignment horizontal="center"/>
    </xf>
    <xf numFmtId="2" fontId="0" fillId="27" borderId="2" xfId="0" applyNumberFormat="1" applyFont="1" applyFill="1" applyBorder="1" applyAlignment="1" applyProtection="1">
      <alignment horizontal="center"/>
    </xf>
    <xf numFmtId="2" fontId="0" fillId="27" borderId="1" xfId="0" applyNumberFormat="1" applyFont="1" applyFill="1" applyBorder="1" applyAlignment="1" applyProtection="1">
      <alignment horizontal="center"/>
    </xf>
    <xf numFmtId="0" fontId="0" fillId="10" borderId="2" xfId="0" applyFont="1" applyFill="1" applyBorder="1" applyAlignment="1" applyProtection="1">
      <alignment horizontal="left"/>
    </xf>
    <xf numFmtId="16" fontId="0" fillId="0" borderId="0" xfId="0" applyNumberFormat="1" applyAlignment="1" applyProtection="1">
      <alignment horizontal="center"/>
    </xf>
    <xf numFmtId="164" fontId="0" fillId="27" borderId="2" xfId="0" applyNumberFormat="1" applyFont="1" applyFill="1" applyBorder="1" applyAlignment="1" applyProtection="1">
      <alignment horizontal="center"/>
    </xf>
    <xf numFmtId="164" fontId="0" fillId="27" borderId="1" xfId="0" applyNumberFormat="1" applyFont="1" applyFill="1" applyBorder="1" applyAlignment="1" applyProtection="1">
      <alignment horizontal="center"/>
    </xf>
    <xf numFmtId="164" fontId="0" fillId="31" borderId="0" xfId="0" applyNumberFormat="1" applyFill="1" applyAlignment="1" applyProtection="1">
      <alignment horizontal="center"/>
    </xf>
    <xf numFmtId="0" fontId="0" fillId="0" borderId="2" xfId="0" applyBorder="1" applyAlignment="1" applyProtection="1">
      <alignment horizontal="center"/>
    </xf>
    <xf numFmtId="0" fontId="0" fillId="0" borderId="1" xfId="0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0" fillId="0" borderId="0" xfId="0" applyFill="1" applyBorder="1" applyAlignment="1" applyProtection="1">
      <alignment horizontal="center"/>
    </xf>
    <xf numFmtId="167" fontId="0" fillId="31" borderId="2" xfId="0" applyNumberFormat="1" applyFill="1" applyBorder="1" applyProtection="1"/>
    <xf numFmtId="167" fontId="0" fillId="31" borderId="1" xfId="0" applyNumberFormat="1" applyFill="1" applyBorder="1" applyProtection="1"/>
    <xf numFmtId="1" fontId="0" fillId="31" borderId="2" xfId="0" applyNumberFormat="1" applyFont="1" applyFill="1" applyBorder="1" applyAlignment="1" applyProtection="1">
      <alignment horizontal="center"/>
    </xf>
    <xf numFmtId="1" fontId="0" fillId="31" borderId="1" xfId="0" applyNumberFormat="1" applyFont="1" applyFill="1" applyBorder="1" applyAlignment="1" applyProtection="1">
      <alignment horizontal="center"/>
    </xf>
    <xf numFmtId="164" fontId="0" fillId="31" borderId="2" xfId="0" applyNumberFormat="1" applyFill="1" applyBorder="1" applyAlignment="1" applyProtection="1">
      <alignment horizontal="center"/>
    </xf>
    <xf numFmtId="164" fontId="0" fillId="31" borderId="1" xfId="0" applyNumberFormat="1" applyFill="1" applyBorder="1" applyAlignment="1" applyProtection="1">
      <alignment horizontal="center"/>
    </xf>
    <xf numFmtId="1" fontId="0" fillId="14" borderId="2" xfId="0" applyNumberFormat="1" applyFill="1" applyBorder="1" applyAlignment="1" applyProtection="1">
      <alignment horizontal="center"/>
    </xf>
    <xf numFmtId="1" fontId="0" fillId="14" borderId="1" xfId="0" applyNumberFormat="1" applyFill="1" applyBorder="1" applyAlignment="1" applyProtection="1">
      <alignment horizontal="center"/>
    </xf>
    <xf numFmtId="1" fontId="0" fillId="11" borderId="2" xfId="0" applyNumberFormat="1" applyFill="1" applyBorder="1" applyAlignment="1" applyProtection="1">
      <alignment horizontal="center"/>
    </xf>
    <xf numFmtId="1" fontId="0" fillId="11" borderId="1" xfId="0" applyNumberFormat="1" applyFill="1" applyBorder="1" applyAlignment="1" applyProtection="1">
      <alignment horizontal="center"/>
    </xf>
    <xf numFmtId="1" fontId="0" fillId="15" borderId="2" xfId="0" applyNumberFormat="1" applyFill="1" applyBorder="1" applyAlignment="1" applyProtection="1">
      <alignment horizontal="center"/>
    </xf>
    <xf numFmtId="1" fontId="0" fillId="15" borderId="1" xfId="0" applyNumberFormat="1" applyFill="1" applyBorder="1" applyAlignment="1" applyProtection="1">
      <alignment horizontal="center"/>
    </xf>
    <xf numFmtId="164" fontId="0" fillId="15" borderId="2" xfId="0" applyNumberFormat="1" applyFill="1" applyBorder="1" applyAlignment="1" applyProtection="1">
      <alignment horizontal="center"/>
    </xf>
    <xf numFmtId="164" fontId="0" fillId="15" borderId="1" xfId="0" applyNumberFormat="1" applyFill="1" applyBorder="1" applyAlignment="1" applyProtection="1">
      <alignment horizontal="center"/>
    </xf>
    <xf numFmtId="1" fontId="0" fillId="21" borderId="2" xfId="0" applyNumberFormat="1" applyFill="1" applyBorder="1" applyAlignment="1" applyProtection="1">
      <alignment horizontal="center"/>
    </xf>
    <xf numFmtId="1" fontId="0" fillId="21" borderId="1" xfId="0" applyNumberFormat="1" applyFill="1" applyBorder="1" applyAlignment="1" applyProtection="1">
      <alignment horizontal="center"/>
    </xf>
    <xf numFmtId="1" fontId="0" fillId="4" borderId="2" xfId="0" applyNumberFormat="1" applyFill="1" applyBorder="1" applyAlignment="1" applyProtection="1">
      <alignment horizontal="center"/>
    </xf>
    <xf numFmtId="1" fontId="0" fillId="4" borderId="1" xfId="0" applyNumberFormat="1" applyFill="1" applyBorder="1" applyAlignment="1" applyProtection="1">
      <alignment horizontal="center"/>
    </xf>
    <xf numFmtId="1" fontId="0" fillId="3" borderId="2" xfId="0" applyNumberFormat="1" applyFill="1" applyBorder="1" applyAlignment="1" applyProtection="1">
      <alignment horizontal="center"/>
    </xf>
    <xf numFmtId="1" fontId="0" fillId="3" borderId="1" xfId="0" applyNumberFormat="1" applyFill="1" applyBorder="1" applyAlignment="1" applyProtection="1">
      <alignment horizontal="center"/>
    </xf>
    <xf numFmtId="164" fontId="0" fillId="3" borderId="2" xfId="0" applyNumberFormat="1" applyFill="1" applyBorder="1" applyAlignment="1" applyProtection="1">
      <alignment horizontal="center"/>
    </xf>
    <xf numFmtId="164" fontId="0" fillId="3" borderId="1" xfId="0" applyNumberFormat="1" applyFill="1" applyBorder="1" applyAlignment="1" applyProtection="1">
      <alignment horizontal="center"/>
    </xf>
    <xf numFmtId="0" fontId="0" fillId="0" borderId="0" xfId="0" applyAlignment="1" applyProtection="1">
      <alignment horizontal="right"/>
    </xf>
    <xf numFmtId="1" fontId="0" fillId="23" borderId="2" xfId="0" applyNumberFormat="1" applyFill="1" applyBorder="1" applyAlignment="1" applyProtection="1">
      <alignment horizontal="center"/>
    </xf>
    <xf numFmtId="1" fontId="0" fillId="23" borderId="1" xfId="0" applyNumberFormat="1" applyFill="1" applyBorder="1" applyAlignment="1" applyProtection="1">
      <alignment horizontal="center"/>
    </xf>
    <xf numFmtId="1" fontId="0" fillId="13" borderId="2" xfId="0" applyNumberFormat="1" applyFill="1" applyBorder="1" applyAlignment="1" applyProtection="1">
      <alignment horizontal="center"/>
    </xf>
    <xf numFmtId="1" fontId="0" fillId="13" borderId="1" xfId="0" applyNumberFormat="1" applyFill="1" applyBorder="1" applyAlignment="1" applyProtection="1">
      <alignment horizontal="center"/>
    </xf>
    <xf numFmtId="1" fontId="0" fillId="12" borderId="2" xfId="0" applyNumberFormat="1" applyFill="1" applyBorder="1" applyAlignment="1" applyProtection="1">
      <alignment horizontal="center"/>
    </xf>
    <xf numFmtId="1" fontId="0" fillId="12" borderId="1" xfId="0" applyNumberFormat="1" applyFill="1" applyBorder="1" applyAlignment="1" applyProtection="1">
      <alignment horizontal="center"/>
    </xf>
    <xf numFmtId="164" fontId="0" fillId="12" borderId="2" xfId="0" applyNumberFormat="1" applyFill="1" applyBorder="1" applyAlignment="1" applyProtection="1">
      <alignment horizontal="center"/>
    </xf>
    <xf numFmtId="164" fontId="0" fillId="12" borderId="1" xfId="0" applyNumberFormat="1" applyFill="1" applyBorder="1" applyAlignment="1" applyProtection="1">
      <alignment horizontal="center"/>
    </xf>
    <xf numFmtId="1" fontId="0" fillId="25" borderId="2" xfId="0" applyNumberFormat="1" applyFill="1" applyBorder="1" applyAlignment="1" applyProtection="1">
      <alignment horizontal="center"/>
    </xf>
    <xf numFmtId="1" fontId="0" fillId="25" borderId="1" xfId="0" applyNumberFormat="1" applyFill="1" applyBorder="1" applyAlignment="1" applyProtection="1">
      <alignment horizontal="center"/>
    </xf>
    <xf numFmtId="0" fontId="0" fillId="0" borderId="0" xfId="0" applyFill="1" applyProtection="1"/>
    <xf numFmtId="0" fontId="0" fillId="0" borderId="0" xfId="0" applyFill="1" applyAlignment="1" applyProtection="1">
      <alignment horizontal="left"/>
    </xf>
    <xf numFmtId="0" fontId="0" fillId="0" borderId="2" xfId="0" applyFill="1" applyBorder="1" applyProtection="1"/>
    <xf numFmtId="0" fontId="0" fillId="0" borderId="1" xfId="0" applyFill="1" applyBorder="1" applyProtection="1"/>
    <xf numFmtId="1" fontId="0" fillId="28" borderId="2" xfId="0" applyNumberFormat="1" applyFill="1" applyBorder="1" applyAlignment="1" applyProtection="1">
      <alignment horizontal="center"/>
    </xf>
    <xf numFmtId="1" fontId="0" fillId="28" borderId="1" xfId="0" applyNumberFormat="1" applyFill="1" applyBorder="1" applyAlignment="1" applyProtection="1">
      <alignment horizontal="center"/>
    </xf>
    <xf numFmtId="1" fontId="0" fillId="26" borderId="2" xfId="0" applyNumberFormat="1" applyFill="1" applyBorder="1" applyAlignment="1" applyProtection="1">
      <alignment horizontal="center"/>
    </xf>
    <xf numFmtId="1" fontId="0" fillId="26" borderId="1" xfId="0" applyNumberFormat="1" applyFill="1" applyBorder="1" applyAlignment="1" applyProtection="1">
      <alignment horizontal="center"/>
    </xf>
    <xf numFmtId="0" fontId="0" fillId="9" borderId="2" xfId="0" applyFont="1" applyFill="1" applyBorder="1" applyAlignment="1" applyProtection="1">
      <alignment horizontal="center"/>
    </xf>
    <xf numFmtId="0" fontId="0" fillId="9" borderId="1" xfId="0" applyFont="1" applyFill="1" applyBorder="1" applyAlignment="1" applyProtection="1">
      <alignment horizontal="center"/>
    </xf>
    <xf numFmtId="2" fontId="0" fillId="15" borderId="2" xfId="0" applyNumberFormat="1" applyFill="1" applyBorder="1" applyAlignment="1" applyProtection="1">
      <alignment horizontal="center"/>
    </xf>
    <xf numFmtId="2" fontId="0" fillId="15" borderId="1" xfId="0" applyNumberFormat="1" applyFill="1" applyBorder="1" applyAlignment="1" applyProtection="1">
      <alignment horizontal="center"/>
    </xf>
    <xf numFmtId="2" fontId="0" fillId="3" borderId="2" xfId="0" applyNumberFormat="1" applyFill="1" applyBorder="1" applyAlignment="1" applyProtection="1">
      <alignment horizontal="center"/>
    </xf>
    <xf numFmtId="2" fontId="0" fillId="3" borderId="1" xfId="0" applyNumberFormat="1" applyFill="1" applyBorder="1" applyAlignment="1" applyProtection="1">
      <alignment horizontal="center"/>
    </xf>
    <xf numFmtId="1" fontId="0" fillId="20" borderId="2" xfId="0" applyNumberFormat="1" applyFont="1" applyFill="1" applyBorder="1" applyAlignment="1" applyProtection="1">
      <alignment horizontal="center"/>
    </xf>
    <xf numFmtId="1" fontId="0" fillId="20" borderId="1" xfId="0" applyNumberFormat="1" applyFont="1" applyFill="1" applyBorder="1" applyAlignment="1" applyProtection="1">
      <alignment horizontal="center"/>
    </xf>
    <xf numFmtId="2" fontId="0" fillId="12" borderId="2" xfId="0" applyNumberFormat="1" applyFill="1" applyBorder="1" applyAlignment="1" applyProtection="1">
      <alignment horizontal="center"/>
    </xf>
    <xf numFmtId="2" fontId="0" fillId="12" borderId="1" xfId="0" applyNumberFormat="1" applyFill="1" applyBorder="1" applyAlignment="1" applyProtection="1">
      <alignment horizontal="center"/>
    </xf>
    <xf numFmtId="1" fontId="0" fillId="20" borderId="2" xfId="0" applyNumberFormat="1" applyFill="1" applyBorder="1" applyAlignment="1" applyProtection="1">
      <alignment horizontal="center"/>
    </xf>
    <xf numFmtId="1" fontId="0" fillId="20" borderId="1" xfId="0" applyNumberFormat="1" applyFill="1" applyBorder="1" applyAlignment="1" applyProtection="1">
      <alignment horizontal="center"/>
    </xf>
    <xf numFmtId="3" fontId="0" fillId="0" borderId="2" xfId="0" applyNumberFormat="1" applyBorder="1" applyAlignment="1" applyProtection="1">
      <alignment horizontal="center"/>
    </xf>
    <xf numFmtId="166" fontId="0" fillId="0" borderId="1" xfId="0" applyNumberFormat="1" applyBorder="1" applyAlignment="1" applyProtection="1">
      <alignment horizontal="center"/>
    </xf>
    <xf numFmtId="3" fontId="0" fillId="31" borderId="2" xfId="0" applyNumberFormat="1" applyFill="1" applyBorder="1" applyAlignment="1" applyProtection="1">
      <alignment horizontal="center"/>
    </xf>
    <xf numFmtId="3" fontId="0" fillId="31" borderId="1" xfId="0" applyNumberFormat="1" applyFill="1" applyBorder="1" applyAlignment="1" applyProtection="1">
      <alignment horizontal="center"/>
    </xf>
    <xf numFmtId="3" fontId="0" fillId="30" borderId="2" xfId="0" applyNumberFormat="1" applyFill="1" applyBorder="1" applyAlignment="1" applyProtection="1">
      <alignment horizontal="center"/>
    </xf>
    <xf numFmtId="3" fontId="0" fillId="30" borderId="1" xfId="0" applyNumberFormat="1" applyFill="1" applyBorder="1" applyAlignment="1" applyProtection="1">
      <alignment horizontal="center"/>
    </xf>
    <xf numFmtId="3" fontId="0" fillId="27" borderId="2" xfId="0" applyNumberFormat="1" applyFill="1" applyBorder="1" applyAlignment="1" applyProtection="1">
      <alignment horizontal="center"/>
    </xf>
    <xf numFmtId="3" fontId="0" fillId="27" borderId="1" xfId="0" applyNumberFormat="1" applyFill="1" applyBorder="1" applyAlignment="1" applyProtection="1">
      <alignment horizontal="center"/>
    </xf>
    <xf numFmtId="166" fontId="0" fillId="31" borderId="1" xfId="0" applyNumberFormat="1" applyFill="1" applyBorder="1" applyAlignment="1" applyProtection="1">
      <alignment horizontal="center"/>
    </xf>
    <xf numFmtId="164" fontId="0" fillId="27" borderId="0" xfId="0" applyNumberFormat="1" applyFill="1" applyAlignment="1" applyProtection="1">
      <alignment horizontal="center"/>
    </xf>
    <xf numFmtId="3" fontId="0" fillId="0" borderId="2" xfId="0" applyNumberFormat="1" applyBorder="1" applyProtection="1"/>
    <xf numFmtId="3" fontId="0" fillId="0" borderId="1" xfId="0" applyNumberFormat="1" applyBorder="1" applyProtection="1"/>
    <xf numFmtId="3" fontId="0" fillId="0" borderId="1" xfId="0" applyNumberFormat="1" applyBorder="1" applyAlignment="1" applyProtection="1">
      <alignment horizontal="center"/>
    </xf>
    <xf numFmtId="3" fontId="0" fillId="29" borderId="2" xfId="0" applyNumberFormat="1" applyFill="1" applyBorder="1" applyAlignment="1" applyProtection="1">
      <alignment horizontal="center"/>
    </xf>
    <xf numFmtId="3" fontId="0" fillId="29" borderId="1" xfId="0" applyNumberFormat="1" applyFill="1" applyBorder="1" applyAlignment="1" applyProtection="1">
      <alignment horizontal="center"/>
    </xf>
    <xf numFmtId="2" fontId="0" fillId="0" borderId="0" xfId="0" applyNumberFormat="1" applyFill="1" applyAlignment="1" applyProtection="1">
      <alignment horizontal="center"/>
    </xf>
    <xf numFmtId="1" fontId="0" fillId="29" borderId="2" xfId="0" applyNumberFormat="1" applyFill="1" applyBorder="1" applyAlignment="1" applyProtection="1">
      <alignment horizontal="center"/>
    </xf>
    <xf numFmtId="1" fontId="0" fillId="29" borderId="1" xfId="0" applyNumberFormat="1" applyFill="1" applyBorder="1" applyAlignment="1" applyProtection="1">
      <alignment horizontal="center"/>
    </xf>
    <xf numFmtId="3" fontId="0" fillId="6" borderId="2" xfId="0" applyNumberFormat="1" applyFill="1" applyBorder="1" applyAlignment="1" applyProtection="1">
      <alignment horizontal="center"/>
    </xf>
    <xf numFmtId="3" fontId="0" fillId="6" borderId="1" xfId="0" applyNumberFormat="1" applyFill="1" applyBorder="1" applyAlignment="1" applyProtection="1">
      <alignment horizontal="center"/>
    </xf>
    <xf numFmtId="3" fontId="0" fillId="0" borderId="0" xfId="0" applyNumberFormat="1" applyProtection="1"/>
    <xf numFmtId="3" fontId="0" fillId="30" borderId="0" xfId="0" applyNumberFormat="1" applyFill="1" applyAlignment="1" applyProtection="1">
      <alignment horizontal="center"/>
    </xf>
    <xf numFmtId="3" fontId="0" fillId="31" borderId="0" xfId="0" applyNumberFormat="1" applyFill="1" applyAlignment="1" applyProtection="1">
      <alignment horizontal="center"/>
    </xf>
    <xf numFmtId="1" fontId="3" fillId="7" borderId="0" xfId="0" applyNumberFormat="1" applyFont="1" applyFill="1" applyAlignment="1" applyProtection="1">
      <alignment horizontal="center"/>
    </xf>
    <xf numFmtId="2" fontId="3" fillId="7" borderId="0" xfId="0" applyNumberFormat="1" applyFont="1" applyFill="1" applyAlignment="1" applyProtection="1">
      <alignment horizontal="center"/>
    </xf>
    <xf numFmtId="1" fontId="0" fillId="30" borderId="0" xfId="0" applyNumberFormat="1" applyFill="1" applyAlignment="1" applyProtection="1">
      <alignment horizontal="center"/>
    </xf>
    <xf numFmtId="0" fontId="0" fillId="31" borderId="2" xfId="0" applyFill="1" applyBorder="1" applyAlignment="1" applyProtection="1">
      <alignment horizontal="center"/>
    </xf>
    <xf numFmtId="4" fontId="0" fillId="30" borderId="0" xfId="0" applyNumberFormat="1" applyFill="1" applyAlignment="1" applyProtection="1">
      <alignment horizontal="center"/>
    </xf>
    <xf numFmtId="168" fontId="0" fillId="30" borderId="0" xfId="0" applyNumberFormat="1" applyFont="1" applyFill="1" applyAlignment="1" applyProtection="1">
      <alignment horizontal="center"/>
    </xf>
    <xf numFmtId="168" fontId="0" fillId="31" borderId="0" xfId="0" applyNumberFormat="1" applyFont="1" applyFill="1" applyAlignment="1" applyProtection="1">
      <alignment horizontal="center"/>
    </xf>
    <xf numFmtId="168" fontId="0" fillId="30" borderId="2" xfId="0" applyNumberFormat="1" applyFont="1" applyFill="1" applyBorder="1" applyAlignment="1" applyProtection="1">
      <alignment horizontal="center"/>
    </xf>
    <xf numFmtId="0" fontId="0" fillId="34" borderId="0" xfId="0" applyFill="1" applyAlignment="1" applyProtection="1">
      <alignment horizontal="center"/>
      <protection locked="0"/>
    </xf>
    <xf numFmtId="0" fontId="11" fillId="0" borderId="0" xfId="0" applyFont="1" applyAlignment="1">
      <alignment horizontal="left"/>
    </xf>
    <xf numFmtId="165" fontId="0" fillId="9" borderId="0" xfId="0" applyNumberFormat="1" applyFill="1" applyAlignment="1">
      <alignment horizontal="center"/>
    </xf>
    <xf numFmtId="0" fontId="0" fillId="5" borderId="0" xfId="0" applyFill="1" applyBorder="1"/>
    <xf numFmtId="0" fontId="0" fillId="34" borderId="0" xfId="0" applyFill="1" applyBorder="1"/>
    <xf numFmtId="2" fontId="0" fillId="31" borderId="0" xfId="0" applyNumberFormat="1" applyFont="1" applyFill="1" applyBorder="1" applyAlignment="1" applyProtection="1">
      <alignment horizontal="center"/>
    </xf>
    <xf numFmtId="2" fontId="0" fillId="30" borderId="0" xfId="0" applyNumberFormat="1" applyFont="1" applyFill="1" applyBorder="1" applyAlignment="1" applyProtection="1">
      <alignment horizontal="center"/>
    </xf>
    <xf numFmtId="165" fontId="0" fillId="27" borderId="0" xfId="0" applyNumberFormat="1" applyFill="1" applyBorder="1" applyAlignment="1" applyProtection="1">
      <alignment horizontal="center"/>
    </xf>
    <xf numFmtId="0" fontId="0" fillId="35" borderId="0" xfId="0" applyFill="1" applyBorder="1" applyAlignment="1">
      <alignment horizontal="center"/>
    </xf>
    <xf numFmtId="0" fontId="12" fillId="32" borderId="3" xfId="0" applyFont="1" applyFill="1" applyBorder="1" applyAlignment="1" applyProtection="1">
      <alignment horizontal="center"/>
      <protection locked="0"/>
    </xf>
    <xf numFmtId="164" fontId="3" fillId="33" borderId="0" xfId="0" applyNumberFormat="1" applyFont="1" applyFill="1" applyBorder="1" applyAlignment="1" applyProtection="1">
      <alignment horizontal="center"/>
    </xf>
    <xf numFmtId="0" fontId="8" fillId="0" borderId="0" xfId="0" quotePrefix="1" applyFont="1" applyFill="1" applyBorder="1" applyAlignment="1" applyProtection="1">
      <alignment horizontal="center" shrinkToFit="1"/>
    </xf>
    <xf numFmtId="165" fontId="0" fillId="9" borderId="0" xfId="0" applyNumberFormat="1" applyFont="1" applyFill="1" applyBorder="1" applyAlignment="1" applyProtection="1">
      <alignment horizontal="center"/>
    </xf>
    <xf numFmtId="9" fontId="0" fillId="9" borderId="0" xfId="2" applyFont="1" applyFill="1" applyBorder="1" applyAlignment="1" applyProtection="1">
      <alignment horizontal="center"/>
    </xf>
    <xf numFmtId="0" fontId="13" fillId="5" borderId="0" xfId="0" applyFont="1" applyFill="1" applyAlignment="1" applyProtection="1">
      <alignment horizontal="center" vertical="center" wrapText="1"/>
      <protection locked="0"/>
    </xf>
  </cellXfs>
  <cellStyles count="3">
    <cellStyle name="Prozent" xfId="2" builtinId="5"/>
    <cellStyle name="Standard" xfId="0" builtinId="0"/>
    <cellStyle name="Standard 2" xfId="1" xr:uid="{00000000-0005-0000-0000-000001000000}"/>
  </cellStyles>
  <dxfs count="0"/>
  <tableStyles count="0" defaultTableStyle="TableStyleMedium2" defaultPivotStyle="PivotStyleLight16"/>
  <colors>
    <mruColors>
      <color rgb="FFFFFFAF"/>
      <color rgb="FFFFE5F6"/>
      <color rgb="FFCC0099"/>
      <color rgb="FFFF66CC"/>
      <color rgb="FFFFB3E6"/>
      <color rgb="FFFF00FF"/>
      <color rgb="FFFF9BDE"/>
      <color rgb="FFFFD653"/>
      <color rgb="FFAFCEEB"/>
      <color rgb="FFF0915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BDE1FC-873A-45A3-A551-CA1C652B6F97}">
  <dimension ref="A1:F29"/>
  <sheetViews>
    <sheetView showGridLines="0" tabSelected="1" zoomScale="85" zoomScaleNormal="85" workbookViewId="0"/>
  </sheetViews>
  <sheetFormatPr baseColWidth="10" defaultRowHeight="15" x14ac:dyDescent="0.25"/>
  <cols>
    <col min="1" max="16384" width="11.42578125" style="34"/>
  </cols>
  <sheetData>
    <row r="1" spans="1:6" s="39" customFormat="1" x14ac:dyDescent="0.25">
      <c r="A1" s="40" t="s">
        <v>862</v>
      </c>
      <c r="C1" s="41"/>
      <c r="D1" s="42"/>
      <c r="F1" s="40"/>
    </row>
    <row r="2" spans="1:6" x14ac:dyDescent="0.25">
      <c r="B2" s="34" t="s">
        <v>863</v>
      </c>
      <c r="F2" s="34" t="s">
        <v>898</v>
      </c>
    </row>
    <row r="3" spans="1:6" ht="6" customHeight="1" x14ac:dyDescent="0.25"/>
    <row r="4" spans="1:6" s="39" customFormat="1" x14ac:dyDescent="0.25">
      <c r="A4" s="40" t="s">
        <v>876</v>
      </c>
      <c r="C4" s="41"/>
      <c r="D4" s="42"/>
      <c r="F4" s="40"/>
    </row>
    <row r="5" spans="1:6" x14ac:dyDescent="0.25">
      <c r="B5" s="34" t="s">
        <v>880</v>
      </c>
      <c r="F5" s="34" t="s">
        <v>897</v>
      </c>
    </row>
    <row r="6" spans="1:6" x14ac:dyDescent="0.25">
      <c r="F6" s="34" t="s">
        <v>899</v>
      </c>
    </row>
    <row r="7" spans="1:6" x14ac:dyDescent="0.25">
      <c r="F7" s="34" t="s">
        <v>878</v>
      </c>
    </row>
    <row r="8" spans="1:6" x14ac:dyDescent="0.25">
      <c r="F8" s="35" t="s">
        <v>879</v>
      </c>
    </row>
    <row r="9" spans="1:6" ht="6.75" customHeight="1" x14ac:dyDescent="0.25">
      <c r="F9" s="35"/>
    </row>
    <row r="10" spans="1:6" x14ac:dyDescent="0.25">
      <c r="B10" s="34" t="s">
        <v>881</v>
      </c>
      <c r="F10" s="34" t="s">
        <v>882</v>
      </c>
    </row>
    <row r="11" spans="1:6" ht="6.75" customHeight="1" x14ac:dyDescent="0.25">
      <c r="F11" s="35"/>
    </row>
    <row r="12" spans="1:6" x14ac:dyDescent="0.25">
      <c r="B12" s="34" t="s">
        <v>877</v>
      </c>
      <c r="F12" s="35" t="s">
        <v>900</v>
      </c>
    </row>
    <row r="13" spans="1:6" ht="6" customHeight="1" x14ac:dyDescent="0.25"/>
    <row r="14" spans="1:6" s="39" customFormat="1" x14ac:dyDescent="0.25">
      <c r="A14" s="40" t="s">
        <v>869</v>
      </c>
      <c r="C14" s="41"/>
      <c r="D14" s="42"/>
      <c r="F14" s="40"/>
    </row>
    <row r="15" spans="1:6" x14ac:dyDescent="0.25">
      <c r="B15" s="329"/>
      <c r="F15" s="34" t="s">
        <v>883</v>
      </c>
    </row>
    <row r="16" spans="1:6" x14ac:dyDescent="0.25">
      <c r="B16" s="330"/>
      <c r="F16" s="34" t="s">
        <v>884</v>
      </c>
    </row>
    <row r="17" spans="1:6" ht="6" customHeight="1" x14ac:dyDescent="0.25"/>
    <row r="18" spans="1:6" s="39" customFormat="1" x14ac:dyDescent="0.25">
      <c r="A18" s="40" t="s">
        <v>864</v>
      </c>
      <c r="C18" s="41"/>
      <c r="D18" s="42"/>
      <c r="F18" s="40"/>
    </row>
    <row r="19" spans="1:6" x14ac:dyDescent="0.25">
      <c r="B19" s="113"/>
      <c r="C19" s="114"/>
      <c r="D19" s="116"/>
      <c r="E19" s="117"/>
      <c r="F19" s="34" t="s">
        <v>865</v>
      </c>
    </row>
    <row r="20" spans="1:6" x14ac:dyDescent="0.25">
      <c r="B20" s="138"/>
      <c r="C20" s="140"/>
      <c r="D20" s="141"/>
      <c r="F20" s="34" t="s">
        <v>866</v>
      </c>
    </row>
    <row r="21" spans="1:6" x14ac:dyDescent="0.25">
      <c r="B21" s="118"/>
      <c r="C21" s="119"/>
      <c r="D21" s="143"/>
      <c r="E21" s="144"/>
      <c r="F21" s="34" t="s">
        <v>873</v>
      </c>
    </row>
    <row r="22" spans="1:6" x14ac:dyDescent="0.25">
      <c r="B22" s="145"/>
      <c r="C22" s="121"/>
      <c r="F22" s="34" t="s">
        <v>867</v>
      </c>
    </row>
    <row r="23" spans="1:6" x14ac:dyDescent="0.25">
      <c r="B23" s="120"/>
      <c r="F23" s="34" t="s">
        <v>868</v>
      </c>
    </row>
    <row r="24" spans="1:6" x14ac:dyDescent="0.25">
      <c r="B24" s="123"/>
      <c r="C24" s="124"/>
      <c r="F24" s="34" t="s">
        <v>874</v>
      </c>
    </row>
    <row r="26" spans="1:6" s="39" customFormat="1" x14ac:dyDescent="0.25">
      <c r="A26" s="40" t="s">
        <v>870</v>
      </c>
      <c r="C26" s="41"/>
      <c r="D26" s="42"/>
      <c r="F26" s="40"/>
    </row>
    <row r="27" spans="1:6" x14ac:dyDescent="0.25">
      <c r="B27" s="331"/>
      <c r="C27" s="332"/>
      <c r="D27" s="333"/>
      <c r="F27" s="35" t="s">
        <v>871</v>
      </c>
    </row>
    <row r="28" spans="1:6" x14ac:dyDescent="0.25">
      <c r="B28" s="334"/>
      <c r="F28" s="35" t="s">
        <v>872</v>
      </c>
    </row>
    <row r="29" spans="1:6" x14ac:dyDescent="0.25">
      <c r="B29" s="80"/>
      <c r="F29" s="35" t="s">
        <v>875</v>
      </c>
    </row>
  </sheetData>
  <sheetProtection sheet="1" objects="1" scenarios="1" selectLockedCells="1" selectUnlockedCells="1"/>
  <pageMargins left="0.7" right="0.7" top="0.78740157499999996" bottom="0.78740157499999996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9">
    <outlinePr summaryBelow="0" summaryRight="0"/>
  </sheetPr>
  <dimension ref="A1:L62"/>
  <sheetViews>
    <sheetView showGridLines="0" zoomScale="85" zoomScaleNormal="85" workbookViewId="0"/>
  </sheetViews>
  <sheetFormatPr baseColWidth="10" defaultRowHeight="15" outlineLevelRow="1" x14ac:dyDescent="0.25"/>
  <cols>
    <col min="16" max="16" width="12.28515625" bestFit="1" customWidth="1"/>
  </cols>
  <sheetData>
    <row r="1" spans="1:10" s="22" customFormat="1" x14ac:dyDescent="0.25">
      <c r="A1" s="21" t="s">
        <v>293</v>
      </c>
      <c r="C1" s="23"/>
      <c r="D1" s="24"/>
    </row>
    <row r="2" spans="1:10" s="1" customFormat="1" outlineLevel="1" x14ac:dyDescent="0.25">
      <c r="B2" s="1" t="s">
        <v>257</v>
      </c>
      <c r="E2" s="1" t="s">
        <v>295</v>
      </c>
    </row>
    <row r="3" spans="1:10" s="6" customFormat="1" outlineLevel="1" x14ac:dyDescent="0.25">
      <c r="D3" s="11" t="s">
        <v>42</v>
      </c>
      <c r="E3" s="11" t="s">
        <v>43</v>
      </c>
      <c r="F3" s="11"/>
      <c r="H3" s="6" t="s">
        <v>550</v>
      </c>
    </row>
    <row r="4" spans="1:10" outlineLevel="1" x14ac:dyDescent="0.25">
      <c r="B4" t="s">
        <v>142</v>
      </c>
      <c r="C4" t="s">
        <v>58</v>
      </c>
      <c r="D4" s="25">
        <v>105.96829284387086</v>
      </c>
      <c r="E4" s="25">
        <v>109.83512586971931</v>
      </c>
      <c r="F4" s="10"/>
      <c r="H4" t="s">
        <v>42</v>
      </c>
      <c r="I4" s="30">
        <f>(D4*0.18+0.32*D5+0.51*D6)*1.07</f>
        <v>186.22076667767806</v>
      </c>
      <c r="J4" s="32" t="s">
        <v>554</v>
      </c>
    </row>
    <row r="5" spans="1:10" outlineLevel="1" x14ac:dyDescent="0.25">
      <c r="B5" t="s">
        <v>65</v>
      </c>
      <c r="C5" t="s">
        <v>58</v>
      </c>
      <c r="D5" s="25">
        <v>161.59628447351412</v>
      </c>
      <c r="E5" s="25">
        <v>135.2518222597956</v>
      </c>
      <c r="F5" s="10"/>
      <c r="H5" t="s">
        <v>43</v>
      </c>
      <c r="I5" s="30">
        <f>(E4*0.14+0.35*E5+0.51*E6)*1.07</f>
        <v>154.97007608755112</v>
      </c>
      <c r="J5" s="32" t="s">
        <v>555</v>
      </c>
    </row>
    <row r="6" spans="1:10" outlineLevel="1" x14ac:dyDescent="0.25">
      <c r="B6" t="s">
        <v>143</v>
      </c>
      <c r="C6" t="s">
        <v>58</v>
      </c>
      <c r="D6" s="25">
        <v>202.45685481439858</v>
      </c>
      <c r="E6" s="25">
        <v>161.01331646687507</v>
      </c>
      <c r="F6" s="4"/>
    </row>
    <row r="7" spans="1:10" s="1" customFormat="1" outlineLevel="1" x14ac:dyDescent="0.25">
      <c r="B7" s="1" t="s">
        <v>257</v>
      </c>
      <c r="E7" s="1" t="s">
        <v>261</v>
      </c>
    </row>
    <row r="8" spans="1:10" s="6" customFormat="1" outlineLevel="1" x14ac:dyDescent="0.25">
      <c r="D8" s="11" t="s">
        <v>258</v>
      </c>
      <c r="E8" s="11" t="s">
        <v>259</v>
      </c>
      <c r="F8" s="11" t="s">
        <v>44</v>
      </c>
      <c r="H8" s="6" t="s">
        <v>550</v>
      </c>
    </row>
    <row r="9" spans="1:10" outlineLevel="1" x14ac:dyDescent="0.25">
      <c r="B9" t="s">
        <v>32</v>
      </c>
      <c r="C9" t="s">
        <v>58</v>
      </c>
      <c r="D9" s="26">
        <v>134</v>
      </c>
      <c r="E9" s="26">
        <v>27</v>
      </c>
      <c r="F9" s="26">
        <v>161</v>
      </c>
      <c r="H9" t="s">
        <v>32</v>
      </c>
      <c r="I9" s="30">
        <f>F9*1.07</f>
        <v>172.27</v>
      </c>
    </row>
    <row r="10" spans="1:10" outlineLevel="1" x14ac:dyDescent="0.25">
      <c r="B10" t="s">
        <v>260</v>
      </c>
      <c r="C10" t="s">
        <v>58</v>
      </c>
      <c r="D10" s="26">
        <v>110</v>
      </c>
      <c r="E10" s="26">
        <v>24</v>
      </c>
      <c r="F10" s="26">
        <v>134</v>
      </c>
      <c r="H10" t="s">
        <v>553</v>
      </c>
      <c r="I10" s="30">
        <f>F10*1.07</f>
        <v>143.38</v>
      </c>
    </row>
    <row r="11" spans="1:10" s="1" customFormat="1" outlineLevel="1" x14ac:dyDescent="0.25">
      <c r="B11" s="1" t="s">
        <v>257</v>
      </c>
      <c r="E11" s="1" t="s">
        <v>285</v>
      </c>
    </row>
    <row r="12" spans="1:10" s="6" customFormat="1" outlineLevel="1" x14ac:dyDescent="0.25">
      <c r="D12" s="11" t="s">
        <v>286</v>
      </c>
      <c r="E12" s="11" t="s">
        <v>287</v>
      </c>
      <c r="F12" s="11" t="s">
        <v>288</v>
      </c>
      <c r="H12" s="6" t="s">
        <v>550</v>
      </c>
    </row>
    <row r="13" spans="1:10" outlineLevel="1" x14ac:dyDescent="0.25">
      <c r="B13" t="s">
        <v>32</v>
      </c>
      <c r="C13" t="s">
        <v>58</v>
      </c>
      <c r="D13" s="26">
        <v>162</v>
      </c>
      <c r="E13" s="26">
        <v>151</v>
      </c>
      <c r="F13" s="26">
        <v>132</v>
      </c>
      <c r="H13" t="s">
        <v>42</v>
      </c>
      <c r="I13" s="30">
        <f>D13*1.07</f>
        <v>173.34</v>
      </c>
    </row>
    <row r="14" spans="1:10" outlineLevel="1" x14ac:dyDescent="0.25">
      <c r="B14" t="s">
        <v>289</v>
      </c>
      <c r="C14" t="s">
        <v>58</v>
      </c>
      <c r="D14" s="26">
        <v>179</v>
      </c>
      <c r="E14" s="26">
        <v>153</v>
      </c>
      <c r="F14" s="26">
        <v>134</v>
      </c>
      <c r="G14" s="4"/>
      <c r="H14" t="s">
        <v>43</v>
      </c>
      <c r="I14" s="30">
        <f>(E13*0.8+F13*0.2)*1.07</f>
        <v>157.50400000000002</v>
      </c>
      <c r="J14" s="32" t="s">
        <v>551</v>
      </c>
    </row>
    <row r="15" spans="1:10" outlineLevel="1" x14ac:dyDescent="0.25">
      <c r="B15" t="s">
        <v>290</v>
      </c>
      <c r="C15" t="s">
        <v>58</v>
      </c>
      <c r="D15" s="26">
        <v>142</v>
      </c>
      <c r="E15" s="26">
        <v>143</v>
      </c>
      <c r="F15" s="26">
        <v>119</v>
      </c>
    </row>
    <row r="16" spans="1:10" outlineLevel="1" x14ac:dyDescent="0.25">
      <c r="B16" t="s">
        <v>291</v>
      </c>
      <c r="C16" t="s">
        <v>58</v>
      </c>
      <c r="D16" s="26">
        <v>96</v>
      </c>
      <c r="E16" s="26">
        <v>99</v>
      </c>
      <c r="F16" s="26">
        <v>98</v>
      </c>
    </row>
    <row r="17" spans="1:11" s="1" customFormat="1" outlineLevel="1" x14ac:dyDescent="0.25">
      <c r="B17" s="1" t="s">
        <v>257</v>
      </c>
      <c r="E17" s="1" t="s">
        <v>272</v>
      </c>
    </row>
    <row r="18" spans="1:11" s="6" customFormat="1" outlineLevel="1" x14ac:dyDescent="0.25">
      <c r="D18" s="11" t="s">
        <v>8</v>
      </c>
      <c r="E18" s="11" t="s">
        <v>2</v>
      </c>
      <c r="F18" s="11" t="s">
        <v>3</v>
      </c>
      <c r="H18" s="6" t="s">
        <v>549</v>
      </c>
    </row>
    <row r="19" spans="1:11" outlineLevel="1" x14ac:dyDescent="0.25">
      <c r="B19" t="s">
        <v>542</v>
      </c>
      <c r="C19" t="s">
        <v>58</v>
      </c>
      <c r="D19" s="26">
        <v>112</v>
      </c>
      <c r="E19" s="26">
        <v>142</v>
      </c>
      <c r="F19" s="26">
        <v>140</v>
      </c>
      <c r="H19" t="s">
        <v>544</v>
      </c>
      <c r="I19" s="30">
        <f>J19+K19</f>
        <v>159.1</v>
      </c>
      <c r="J19" s="31">
        <f>0.25*D20+0.25*F20*1.06+0.5*E20*1.11</f>
        <v>127.42</v>
      </c>
      <c r="K19" s="31">
        <f>0.25*D21+0.25*F21*1.06+0.5*E21*1.11</f>
        <v>31.68</v>
      </c>
    </row>
    <row r="20" spans="1:11" ht="15.75" customHeight="1" outlineLevel="1" x14ac:dyDescent="0.25">
      <c r="B20" t="s">
        <v>543</v>
      </c>
      <c r="C20" t="s">
        <v>58</v>
      </c>
      <c r="D20" s="26">
        <v>91</v>
      </c>
      <c r="E20" s="26">
        <v>127</v>
      </c>
      <c r="F20" s="26">
        <v>129</v>
      </c>
      <c r="H20" t="s">
        <v>545</v>
      </c>
      <c r="I20" s="30">
        <f>0.25*D19+0.25*F19*1.06+0.5*E19*1.11</f>
        <v>143.91</v>
      </c>
    </row>
    <row r="21" spans="1:11" outlineLevel="1" x14ac:dyDescent="0.25">
      <c r="B21" t="s">
        <v>292</v>
      </c>
      <c r="C21" t="s">
        <v>58</v>
      </c>
      <c r="D21" s="26">
        <v>26</v>
      </c>
      <c r="E21" s="26">
        <v>32</v>
      </c>
      <c r="F21" s="26">
        <v>28</v>
      </c>
      <c r="I21" s="29"/>
    </row>
    <row r="22" spans="1:11" s="22" customFormat="1" x14ac:dyDescent="0.25">
      <c r="A22" s="21" t="s">
        <v>294</v>
      </c>
      <c r="C22" s="23"/>
      <c r="D22" s="24"/>
    </row>
    <row r="23" spans="1:11" s="1" customFormat="1" outlineLevel="1" x14ac:dyDescent="0.25">
      <c r="B23" s="1" t="s">
        <v>271</v>
      </c>
      <c r="E23" s="1" t="s">
        <v>272</v>
      </c>
    </row>
    <row r="24" spans="1:11" s="6" customFormat="1" outlineLevel="1" x14ac:dyDescent="0.25">
      <c r="D24" s="11" t="s">
        <v>8</v>
      </c>
      <c r="E24" s="11" t="s">
        <v>2</v>
      </c>
      <c r="F24" s="11" t="s">
        <v>3</v>
      </c>
      <c r="H24" s="6" t="s">
        <v>548</v>
      </c>
    </row>
    <row r="25" spans="1:11" outlineLevel="1" x14ac:dyDescent="0.25">
      <c r="B25" t="s">
        <v>279</v>
      </c>
      <c r="C25" t="s">
        <v>58</v>
      </c>
      <c r="D25" s="26">
        <v>14.5</v>
      </c>
      <c r="E25" s="26">
        <v>14.5</v>
      </c>
      <c r="F25" s="26">
        <v>13.2</v>
      </c>
      <c r="H25" t="s">
        <v>546</v>
      </c>
      <c r="I25" s="30">
        <f>0.5*E25+0.25*F25+0.25*D25</f>
        <v>14.175000000000001</v>
      </c>
      <c r="J25" t="s">
        <v>58</v>
      </c>
    </row>
    <row r="26" spans="1:11" outlineLevel="1" x14ac:dyDescent="0.25">
      <c r="B26" t="s">
        <v>280</v>
      </c>
      <c r="C26" t="s">
        <v>58</v>
      </c>
      <c r="D26" s="26">
        <v>15.3</v>
      </c>
      <c r="E26" s="26">
        <v>16.8</v>
      </c>
      <c r="F26" s="26">
        <v>27.8</v>
      </c>
      <c r="H26" t="s">
        <v>547</v>
      </c>
      <c r="I26" s="30">
        <f>0.5*E26+0.25*F26+0.25*D26</f>
        <v>19.175000000000001</v>
      </c>
      <c r="J26" t="s">
        <v>58</v>
      </c>
    </row>
    <row r="27" spans="1:11" s="1" customFormat="1" outlineLevel="1" x14ac:dyDescent="0.25">
      <c r="B27" s="1" t="s">
        <v>271</v>
      </c>
      <c r="E27" s="1" t="s">
        <v>281</v>
      </c>
    </row>
    <row r="28" spans="1:11" s="6" customFormat="1" outlineLevel="1" x14ac:dyDescent="0.25">
      <c r="D28" s="11" t="s">
        <v>283</v>
      </c>
      <c r="E28" s="11" t="s">
        <v>284</v>
      </c>
      <c r="F28" s="11" t="s">
        <v>43</v>
      </c>
    </row>
    <row r="29" spans="1:11" outlineLevel="1" x14ac:dyDescent="0.25">
      <c r="B29" t="s">
        <v>282</v>
      </c>
      <c r="C29" t="s">
        <v>58</v>
      </c>
      <c r="D29" s="26">
        <v>18</v>
      </c>
      <c r="E29" s="26">
        <v>29</v>
      </c>
      <c r="F29" s="26">
        <v>38</v>
      </c>
    </row>
    <row r="30" spans="1:11" outlineLevel="1" x14ac:dyDescent="0.25">
      <c r="B30" t="s">
        <v>282</v>
      </c>
      <c r="C30" t="s">
        <v>73</v>
      </c>
      <c r="D30" s="26">
        <v>800</v>
      </c>
      <c r="E30" s="26">
        <v>1400</v>
      </c>
      <c r="F30" s="26">
        <v>1250</v>
      </c>
    </row>
    <row r="31" spans="1:11" s="22" customFormat="1" x14ac:dyDescent="0.25">
      <c r="A31" s="21" t="s">
        <v>251</v>
      </c>
      <c r="C31" s="23"/>
      <c r="D31" s="24"/>
    </row>
    <row r="32" spans="1:11" s="1" customFormat="1" outlineLevel="1" x14ac:dyDescent="0.25">
      <c r="B32" s="1" t="s">
        <v>10</v>
      </c>
      <c r="E32" s="1" t="s">
        <v>267</v>
      </c>
    </row>
    <row r="33" spans="1:12" s="6" customFormat="1" outlineLevel="1" x14ac:dyDescent="0.25">
      <c r="C33" s="11"/>
      <c r="D33" s="11">
        <v>2019</v>
      </c>
    </row>
    <row r="34" spans="1:12" outlineLevel="1" x14ac:dyDescent="0.25">
      <c r="B34" t="s">
        <v>46</v>
      </c>
      <c r="C34" s="10" t="s">
        <v>48</v>
      </c>
      <c r="D34" s="20">
        <v>2450000</v>
      </c>
      <c r="H34" t="s">
        <v>552</v>
      </c>
      <c r="K34" s="7">
        <f>(Daten_EZFH!D13*Daten_EZFH!I105*Daten_EZFH!D18+Daten_MFH!D13*Daten_MFH!I105*Daten_MFH!D18)</f>
        <v>12213031.347167877</v>
      </c>
      <c r="L34" t="s">
        <v>110</v>
      </c>
    </row>
    <row r="35" spans="1:12" outlineLevel="1" x14ac:dyDescent="0.25">
      <c r="B35" t="s">
        <v>49</v>
      </c>
      <c r="C35" s="10" t="s">
        <v>50</v>
      </c>
      <c r="D35" s="20">
        <v>20900000</v>
      </c>
      <c r="H35" t="s">
        <v>556</v>
      </c>
      <c r="K35" s="13">
        <f>D36*D35/K34</f>
        <v>1.5401581691970287</v>
      </c>
      <c r="L35" t="s">
        <v>61</v>
      </c>
    </row>
    <row r="36" spans="1:12" outlineLevel="1" x14ac:dyDescent="0.25">
      <c r="B36" t="s">
        <v>305</v>
      </c>
      <c r="C36" s="10" t="s">
        <v>13</v>
      </c>
      <c r="D36" s="27">
        <v>0.9</v>
      </c>
      <c r="E36" t="s">
        <v>167</v>
      </c>
    </row>
    <row r="37" spans="1:12" s="1" customFormat="1" outlineLevel="1" x14ac:dyDescent="0.25">
      <c r="B37" s="1" t="s">
        <v>266</v>
      </c>
      <c r="E37" s="1" t="s">
        <v>268</v>
      </c>
    </row>
    <row r="38" spans="1:12" s="6" customFormat="1" outlineLevel="1" x14ac:dyDescent="0.25">
      <c r="C38" s="11"/>
      <c r="D38" s="11">
        <v>2019</v>
      </c>
    </row>
    <row r="39" spans="1:12" outlineLevel="1" x14ac:dyDescent="0.25">
      <c r="B39" t="s">
        <v>51</v>
      </c>
      <c r="C39" s="10" t="s">
        <v>52</v>
      </c>
      <c r="D39" s="20">
        <v>35732000</v>
      </c>
      <c r="H39" t="s">
        <v>558</v>
      </c>
      <c r="K39" s="7">
        <f>Daten_EZFH!D13*Daten_EZFH!D25*Daten_EZFH!I108+Daten_MFH!D13*Daten_MFH!D25*Daten_MFH!I108</f>
        <v>280103588.92355591</v>
      </c>
      <c r="L39" t="s">
        <v>50</v>
      </c>
    </row>
    <row r="40" spans="1:12" outlineLevel="1" x14ac:dyDescent="0.25">
      <c r="B40" t="s">
        <v>305</v>
      </c>
      <c r="C40" s="10" t="s">
        <v>13</v>
      </c>
      <c r="D40" s="27">
        <v>0.35</v>
      </c>
      <c r="E40" t="s">
        <v>167</v>
      </c>
      <c r="H40" t="s">
        <v>557</v>
      </c>
      <c r="K40" s="7">
        <f>D40*D39*(Daten_ALLG!D151+1)</f>
        <v>75037200</v>
      </c>
      <c r="L40" t="s">
        <v>50</v>
      </c>
    </row>
    <row r="41" spans="1:12" outlineLevel="1" x14ac:dyDescent="0.25">
      <c r="H41" t="s">
        <v>561</v>
      </c>
      <c r="K41" s="13">
        <f>K40/K39</f>
        <v>0.26789089096776503</v>
      </c>
      <c r="L41" t="s">
        <v>307</v>
      </c>
    </row>
    <row r="42" spans="1:12" s="22" customFormat="1" x14ac:dyDescent="0.25">
      <c r="A42" s="21" t="s">
        <v>250</v>
      </c>
      <c r="C42" s="23"/>
      <c r="D42" s="24"/>
    </row>
    <row r="43" spans="1:12" s="1" customFormat="1" outlineLevel="1" x14ac:dyDescent="0.25">
      <c r="B43" s="1" t="s">
        <v>8</v>
      </c>
      <c r="E43" s="1" t="s">
        <v>269</v>
      </c>
    </row>
    <row r="44" spans="1:12" s="6" customFormat="1" outlineLevel="1" x14ac:dyDescent="0.25">
      <c r="D44" s="11">
        <v>2018</v>
      </c>
    </row>
    <row r="45" spans="1:12" outlineLevel="1" x14ac:dyDescent="0.25">
      <c r="B45" t="s">
        <v>57</v>
      </c>
      <c r="C45" s="10" t="s">
        <v>54</v>
      </c>
      <c r="D45" s="10">
        <v>137</v>
      </c>
      <c r="K45" s="7"/>
    </row>
    <row r="46" spans="1:12" outlineLevel="1" x14ac:dyDescent="0.25">
      <c r="B46" t="s">
        <v>55</v>
      </c>
      <c r="C46" s="10" t="s">
        <v>56</v>
      </c>
      <c r="D46" s="10">
        <v>58</v>
      </c>
      <c r="K46" s="7"/>
    </row>
    <row r="47" spans="1:12" s="1" customFormat="1" outlineLevel="1" x14ac:dyDescent="0.25">
      <c r="B47" s="1" t="s">
        <v>270</v>
      </c>
      <c r="E47" s="1" t="s">
        <v>262</v>
      </c>
    </row>
    <row r="48" spans="1:12" s="6" customFormat="1" outlineLevel="1" x14ac:dyDescent="0.25">
      <c r="D48" s="11">
        <v>2019</v>
      </c>
    </row>
    <row r="49" spans="1:4" outlineLevel="1" x14ac:dyDescent="0.25">
      <c r="B49" t="s">
        <v>263</v>
      </c>
      <c r="C49" s="10" t="s">
        <v>13</v>
      </c>
      <c r="D49" s="17">
        <v>0.495</v>
      </c>
    </row>
    <row r="50" spans="1:4" outlineLevel="1" x14ac:dyDescent="0.25">
      <c r="B50" t="s">
        <v>264</v>
      </c>
      <c r="C50" s="10" t="s">
        <v>13</v>
      </c>
      <c r="D50" s="17">
        <v>2.4E-2</v>
      </c>
    </row>
    <row r="51" spans="1:4" outlineLevel="1" x14ac:dyDescent="0.25">
      <c r="B51" t="s">
        <v>8</v>
      </c>
      <c r="C51" s="10" t="s">
        <v>13</v>
      </c>
      <c r="D51" s="17">
        <v>0.14000000000000001</v>
      </c>
    </row>
    <row r="52" spans="1:4" outlineLevel="1" x14ac:dyDescent="0.25">
      <c r="B52" t="s">
        <v>7</v>
      </c>
      <c r="C52" s="10" t="s">
        <v>13</v>
      </c>
      <c r="D52" s="17">
        <v>2.5999999999999999E-2</v>
      </c>
    </row>
    <row r="53" spans="1:4" outlineLevel="1" x14ac:dyDescent="0.25">
      <c r="B53" t="s">
        <v>3</v>
      </c>
      <c r="C53" s="10" t="s">
        <v>13</v>
      </c>
      <c r="D53" s="17">
        <v>0.253</v>
      </c>
    </row>
    <row r="54" spans="1:4" outlineLevel="1" x14ac:dyDescent="0.25">
      <c r="B54" t="s">
        <v>265</v>
      </c>
      <c r="C54" s="10" t="s">
        <v>13</v>
      </c>
      <c r="D54" s="17">
        <v>6.2E-2</v>
      </c>
    </row>
    <row r="55" spans="1:4" s="22" customFormat="1" x14ac:dyDescent="0.25">
      <c r="A55" s="21" t="s">
        <v>302</v>
      </c>
      <c r="C55" s="23"/>
      <c r="D55" s="24"/>
    </row>
    <row r="56" spans="1:4" s="1" customFormat="1" outlineLevel="1" x14ac:dyDescent="0.25">
      <c r="B56" s="1" t="s">
        <v>0</v>
      </c>
      <c r="D56" s="1" t="s">
        <v>108</v>
      </c>
    </row>
    <row r="57" spans="1:4" s="2" customFormat="1" outlineLevel="1" x14ac:dyDescent="0.25">
      <c r="C57" s="12" t="s">
        <v>303</v>
      </c>
      <c r="D57" s="12" t="s">
        <v>107</v>
      </c>
    </row>
    <row r="58" spans="1:4" outlineLevel="1" x14ac:dyDescent="0.25">
      <c r="B58" t="s">
        <v>2</v>
      </c>
      <c r="C58" s="15">
        <v>1.1100000000000001</v>
      </c>
      <c r="D58" s="15">
        <v>1</v>
      </c>
    </row>
    <row r="59" spans="1:4" outlineLevel="1" x14ac:dyDescent="0.25">
      <c r="B59" t="s">
        <v>3</v>
      </c>
      <c r="C59" s="15">
        <v>1.06</v>
      </c>
      <c r="D59" s="15">
        <v>0.91</v>
      </c>
    </row>
    <row r="60" spans="1:4" outlineLevel="1" x14ac:dyDescent="0.25">
      <c r="B60" t="s">
        <v>7</v>
      </c>
      <c r="C60" s="15">
        <v>1</v>
      </c>
      <c r="D60" s="15">
        <v>3.9</v>
      </c>
    </row>
    <row r="61" spans="1:4" outlineLevel="1" x14ac:dyDescent="0.25">
      <c r="B61" t="s">
        <v>8</v>
      </c>
      <c r="C61" s="15">
        <v>1</v>
      </c>
      <c r="D61" s="15">
        <v>1.23</v>
      </c>
    </row>
    <row r="62" spans="1:4" outlineLevel="1" x14ac:dyDescent="0.25">
      <c r="B62" t="s">
        <v>6</v>
      </c>
      <c r="C62" s="15">
        <v>1.06</v>
      </c>
      <c r="D62" s="15">
        <v>0.72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N24"/>
  <sheetViews>
    <sheetView showGridLines="0" zoomScale="85" zoomScaleNormal="85" workbookViewId="0">
      <selection activeCell="B3" sqref="B3:D7"/>
    </sheetView>
  </sheetViews>
  <sheetFormatPr baseColWidth="10" defaultRowHeight="15" x14ac:dyDescent="0.25"/>
  <cols>
    <col min="1" max="1" width="7.5703125" customWidth="1"/>
    <col min="2" max="2" width="15.85546875" customWidth="1"/>
    <col min="3" max="3" width="17.28515625" customWidth="1"/>
    <col min="4" max="4" width="9.28515625" customWidth="1"/>
    <col min="5" max="5" width="7.28515625" customWidth="1"/>
    <col min="6" max="6" width="9.7109375" customWidth="1"/>
    <col min="7" max="7" width="10.140625" customWidth="1"/>
    <col min="8" max="8" width="12.140625" customWidth="1"/>
    <col min="9" max="9" width="5.85546875" customWidth="1"/>
    <col min="10" max="10" width="8.5703125" customWidth="1"/>
    <col min="11" max="11" width="14.42578125" customWidth="1"/>
  </cols>
  <sheetData>
    <row r="1" spans="1:14" s="22" customFormat="1" x14ac:dyDescent="0.25">
      <c r="A1" s="21" t="s">
        <v>793</v>
      </c>
      <c r="C1" s="23"/>
      <c r="D1" s="24"/>
      <c r="F1" s="21" t="s">
        <v>560</v>
      </c>
    </row>
    <row r="2" spans="1:14" s="36" customFormat="1" x14ac:dyDescent="0.25">
      <c r="H2" s="37"/>
    </row>
    <row r="3" spans="1:14" x14ac:dyDescent="0.25">
      <c r="B3" s="340" t="s">
        <v>901</v>
      </c>
      <c r="C3" s="340"/>
      <c r="D3" s="340"/>
      <c r="F3" t="s">
        <v>846</v>
      </c>
      <c r="H3" s="326">
        <v>2020</v>
      </c>
      <c r="I3" s="327" t="s">
        <v>861</v>
      </c>
      <c r="L3" s="33">
        <v>2020</v>
      </c>
      <c r="M3" s="33">
        <v>2035</v>
      </c>
      <c r="N3" s="33">
        <v>2050</v>
      </c>
    </row>
    <row r="4" spans="1:14" x14ac:dyDescent="0.25">
      <c r="B4" s="340"/>
      <c r="C4" s="340"/>
      <c r="D4" s="340"/>
      <c r="F4" t="s">
        <v>853</v>
      </c>
      <c r="H4" s="326" t="s">
        <v>843</v>
      </c>
      <c r="I4" s="327" t="s">
        <v>861</v>
      </c>
      <c r="L4" s="33" t="s">
        <v>843</v>
      </c>
      <c r="M4" s="33" t="s">
        <v>842</v>
      </c>
    </row>
    <row r="5" spans="1:14" x14ac:dyDescent="0.25">
      <c r="B5" s="340"/>
      <c r="C5" s="340"/>
      <c r="D5" s="340"/>
      <c r="F5" t="s">
        <v>245</v>
      </c>
      <c r="H5" s="326" t="s">
        <v>848</v>
      </c>
      <c r="I5" s="327" t="s">
        <v>861</v>
      </c>
      <c r="L5" s="33" t="s">
        <v>848</v>
      </c>
      <c r="M5" s="33" t="s">
        <v>847</v>
      </c>
    </row>
    <row r="6" spans="1:14" x14ac:dyDescent="0.25">
      <c r="B6" s="340"/>
      <c r="C6" s="340"/>
      <c r="D6" s="340"/>
      <c r="F6" t="s">
        <v>844</v>
      </c>
      <c r="H6" s="326" t="s">
        <v>845</v>
      </c>
      <c r="I6" s="327" t="s">
        <v>861</v>
      </c>
      <c r="L6" s="33" t="s">
        <v>845</v>
      </c>
      <c r="M6" s="33" t="s">
        <v>850</v>
      </c>
    </row>
    <row r="7" spans="1:14" x14ac:dyDescent="0.25">
      <c r="B7" s="340"/>
      <c r="C7" s="340"/>
      <c r="D7" s="340"/>
      <c r="F7" t="s">
        <v>0</v>
      </c>
      <c r="H7" s="326" t="s">
        <v>849</v>
      </c>
      <c r="I7" s="327" t="s">
        <v>861</v>
      </c>
      <c r="L7" s="33" t="s">
        <v>851</v>
      </c>
      <c r="M7" s="33" t="s">
        <v>849</v>
      </c>
    </row>
    <row r="8" spans="1:14" s="22" customFormat="1" x14ac:dyDescent="0.25">
      <c r="A8" s="21" t="s">
        <v>794</v>
      </c>
      <c r="C8" s="23"/>
      <c r="D8" s="24"/>
    </row>
    <row r="9" spans="1:14" s="36" customFormat="1" x14ac:dyDescent="0.25">
      <c r="A9" s="36" t="s">
        <v>795</v>
      </c>
      <c r="C9" s="37"/>
      <c r="E9" s="38" t="s">
        <v>786</v>
      </c>
      <c r="F9" s="38" t="s">
        <v>787</v>
      </c>
      <c r="G9" s="38" t="s">
        <v>788</v>
      </c>
    </row>
    <row r="10" spans="1:14" x14ac:dyDescent="0.25">
      <c r="B10" t="s">
        <v>42</v>
      </c>
      <c r="C10" s="7">
        <f>Daten_EZFH!$D$11</f>
        <v>2242305000</v>
      </c>
      <c r="D10" t="s">
        <v>785</v>
      </c>
      <c r="E10" s="29">
        <f>Bil_EZFH_mQS!J4</f>
        <v>163.20143039386303</v>
      </c>
      <c r="F10" s="29">
        <f>Bil_EZFH_oQS!J4</f>
        <v>189.60797090710258</v>
      </c>
      <c r="G10" s="29">
        <f>E10*Daten_ALLG!$D$171+F10*Daten_ALLG!$E$171</f>
        <v>185.64698983011664</v>
      </c>
      <c r="H10" t="s">
        <v>626</v>
      </c>
      <c r="J10" t="s">
        <v>47</v>
      </c>
      <c r="K10" s="7">
        <f>C10+C11</f>
        <v>3753715000</v>
      </c>
      <c r="L10" t="s">
        <v>785</v>
      </c>
      <c r="M10" s="29">
        <f>(G10*C10+G11*C11)/K10</f>
        <v>172.4899872799914</v>
      </c>
      <c r="N10" t="s">
        <v>626</v>
      </c>
    </row>
    <row r="11" spans="1:14" x14ac:dyDescent="0.25">
      <c r="B11" t="s">
        <v>43</v>
      </c>
      <c r="C11" s="7">
        <f>Daten_MFH!$D$11</f>
        <v>1511410000</v>
      </c>
      <c r="D11" t="s">
        <v>785</v>
      </c>
      <c r="E11" s="29">
        <f>Bil_MFH_mQS!J4</f>
        <v>134.48374588706426</v>
      </c>
      <c r="F11" s="29">
        <f>Bil_MFH_oQS!J4</f>
        <v>156.23281829629138</v>
      </c>
      <c r="G11" s="29">
        <f>E11*Daten_ALLG!$D$172+F11*Daten_ALLG!$E$172</f>
        <v>152.9704574349073</v>
      </c>
      <c r="H11" t="s">
        <v>626</v>
      </c>
      <c r="M11" s="119">
        <f>M10*K10/1000/1000/1000</f>
        <v>647.47825260271281</v>
      </c>
      <c r="N11" t="s">
        <v>789</v>
      </c>
    </row>
    <row r="12" spans="1:14" s="36" customFormat="1" x14ac:dyDescent="0.25">
      <c r="A12" s="36" t="s">
        <v>797</v>
      </c>
      <c r="C12" s="37"/>
      <c r="E12" s="38" t="s">
        <v>786</v>
      </c>
      <c r="F12" s="38" t="s">
        <v>787</v>
      </c>
      <c r="G12" s="38" t="s">
        <v>788</v>
      </c>
    </row>
    <row r="13" spans="1:14" x14ac:dyDescent="0.25">
      <c r="B13" t="s">
        <v>42</v>
      </c>
      <c r="C13" s="7">
        <f>Daten_EZFH!$D$11</f>
        <v>2242305000</v>
      </c>
      <c r="D13" t="s">
        <v>785</v>
      </c>
      <c r="E13" s="29">
        <f>Bil_EZFH_mQS!K4</f>
        <v>38.466457335156299</v>
      </c>
      <c r="F13" s="29">
        <f>Bil_EZFH_oQS!K4</f>
        <v>44.65026339847833</v>
      </c>
      <c r="G13" s="29">
        <f>E13*Daten_ALLG!$D$171+F13*Daten_ALLG!$E$171</f>
        <v>43.722692488980023</v>
      </c>
      <c r="H13" t="s">
        <v>791</v>
      </c>
      <c r="J13" t="s">
        <v>47</v>
      </c>
      <c r="K13" s="7">
        <f>C13+C14</f>
        <v>3753715000</v>
      </c>
      <c r="L13" t="s">
        <v>785</v>
      </c>
      <c r="M13" s="29">
        <f>(G13*C13+G14*C14)/K13</f>
        <v>40.824811319655829</v>
      </c>
      <c r="N13" t="s">
        <v>791</v>
      </c>
    </row>
    <row r="14" spans="1:14" x14ac:dyDescent="0.25">
      <c r="B14" t="s">
        <v>43</v>
      </c>
      <c r="C14" s="7">
        <f>Daten_MFH!$D$11</f>
        <v>1511410000</v>
      </c>
      <c r="D14" t="s">
        <v>785</v>
      </c>
      <c r="E14" s="29">
        <f>Bil_MFH_mQS!K4</f>
        <v>32.239177001578334</v>
      </c>
      <c r="F14" s="29">
        <f>Bil_MFH_oQS!K4</f>
        <v>37.281978973639482</v>
      </c>
      <c r="G14" s="29">
        <f>E14*Daten_ALLG!$D$172+F14*Daten_ALLG!$E$172</f>
        <v>36.525558677830311</v>
      </c>
      <c r="H14" t="s">
        <v>791</v>
      </c>
      <c r="M14" s="328">
        <f>M13*K13/1000/1000/1000</f>
        <v>153.24470662276187</v>
      </c>
      <c r="N14" t="s">
        <v>792</v>
      </c>
    </row>
    <row r="15" spans="1:14" s="36" customFormat="1" x14ac:dyDescent="0.25">
      <c r="A15" s="36" t="s">
        <v>790</v>
      </c>
      <c r="C15" s="37"/>
      <c r="E15" s="38" t="s">
        <v>786</v>
      </c>
      <c r="F15" s="38" t="s">
        <v>787</v>
      </c>
      <c r="G15" s="38" t="s">
        <v>788</v>
      </c>
    </row>
    <row r="16" spans="1:14" x14ac:dyDescent="0.25">
      <c r="B16" t="s">
        <v>42</v>
      </c>
      <c r="C16" s="7">
        <f>Daten_EZFH!$D$11</f>
        <v>2242305000</v>
      </c>
      <c r="D16" t="s">
        <v>785</v>
      </c>
      <c r="E16" s="29">
        <f>Bil_EZFH_mQS!L4</f>
        <v>48.903807718036056</v>
      </c>
      <c r="F16" s="29">
        <f>Bil_EZFH_oQS!L4</f>
        <v>55.087856591264106</v>
      </c>
      <c r="G16" s="29">
        <f>E16*Daten_ALLG!$D$171+F16*Daten_ALLG!$E$171</f>
        <v>54.160249260279897</v>
      </c>
      <c r="H16" t="s">
        <v>791</v>
      </c>
      <c r="J16" t="s">
        <v>47</v>
      </c>
      <c r="K16" s="7">
        <f>C16+C17</f>
        <v>3753715000</v>
      </c>
      <c r="L16" t="s">
        <v>785</v>
      </c>
      <c r="M16" s="29">
        <f>(G16*C16+G17*C17)/K16</f>
        <v>52.818946124584308</v>
      </c>
      <c r="N16" t="s">
        <v>791</v>
      </c>
    </row>
    <row r="17" spans="1:14" x14ac:dyDescent="0.25">
      <c r="B17" t="s">
        <v>43</v>
      </c>
      <c r="C17" s="7">
        <f>Daten_MFH!$D$11</f>
        <v>1511410000</v>
      </c>
      <c r="D17" t="s">
        <v>785</v>
      </c>
      <c r="E17" s="29">
        <f>Bil_MFH_mQS!L4</f>
        <v>46.542555751449683</v>
      </c>
      <c r="F17" s="29">
        <f>Bil_MFH_oQS!L4</f>
        <v>51.585442036576893</v>
      </c>
      <c r="G17" s="29">
        <f>E17*Daten_ALLG!$D$172+F17*Daten_ALLG!$E$172</f>
        <v>50.829009093807812</v>
      </c>
      <c r="H17" t="s">
        <v>791</v>
      </c>
      <c r="M17" s="328">
        <f>M16*K16/1000/1000/1000</f>
        <v>198.26727035204399</v>
      </c>
      <c r="N17" t="s">
        <v>792</v>
      </c>
    </row>
    <row r="18" spans="1:14" s="22" customFormat="1" x14ac:dyDescent="0.25">
      <c r="A18" s="21" t="s">
        <v>796</v>
      </c>
      <c r="C18" s="23"/>
      <c r="D18" s="24"/>
    </row>
    <row r="19" spans="1:14" s="36" customFormat="1" x14ac:dyDescent="0.25">
      <c r="A19" s="36" t="s">
        <v>795</v>
      </c>
      <c r="C19" s="37"/>
      <c r="E19" s="38" t="s">
        <v>786</v>
      </c>
      <c r="F19" s="38" t="s">
        <v>787</v>
      </c>
      <c r="G19" s="38" t="s">
        <v>788</v>
      </c>
    </row>
    <row r="20" spans="1:14" x14ac:dyDescent="0.25">
      <c r="B20" t="s">
        <v>42</v>
      </c>
      <c r="C20" s="7">
        <f>Daten_EZFH!$D$11</f>
        <v>2242305000</v>
      </c>
      <c r="D20" t="s">
        <v>785</v>
      </c>
      <c r="E20" s="29">
        <f>Bil_EZFH_mQS!J5</f>
        <v>163.20143039386303</v>
      </c>
      <c r="F20" s="29">
        <f>Bil_EZFH_oQS!J5</f>
        <v>189.60797090710258</v>
      </c>
      <c r="G20" s="29">
        <f>E20*Daten_ALLG!$D$171+F20*Daten_ALLG!$E$171</f>
        <v>185.64698983011664</v>
      </c>
      <c r="H20" t="s">
        <v>626</v>
      </c>
      <c r="J20" t="s">
        <v>47</v>
      </c>
      <c r="K20" s="7">
        <f>C20+C21</f>
        <v>3753715000</v>
      </c>
      <c r="L20" t="s">
        <v>785</v>
      </c>
      <c r="M20" s="29">
        <f>(G20*C20+G21*C21)/K20</f>
        <v>172.4899872799914</v>
      </c>
      <c r="N20" t="s">
        <v>626</v>
      </c>
    </row>
    <row r="21" spans="1:14" x14ac:dyDescent="0.25">
      <c r="B21" t="s">
        <v>43</v>
      </c>
      <c r="C21" s="7">
        <f>Daten_MFH!$D$11</f>
        <v>1511410000</v>
      </c>
      <c r="D21" t="s">
        <v>785</v>
      </c>
      <c r="E21" s="29">
        <f>Bil_MFH_mQS!J5</f>
        <v>134.48374588706426</v>
      </c>
      <c r="F21" s="29">
        <f>Bil_MFH_oQS!J5</f>
        <v>156.23281829629138</v>
      </c>
      <c r="G21" s="29">
        <f>E21*Daten_ALLG!$D$172+F21*Daten_ALLG!$E$172</f>
        <v>152.9704574349073</v>
      </c>
      <c r="H21" t="s">
        <v>626</v>
      </c>
      <c r="M21" s="119">
        <f>M20*K20/1000/1000/1000</f>
        <v>647.47825260271281</v>
      </c>
      <c r="N21" t="s">
        <v>789</v>
      </c>
    </row>
    <row r="22" spans="1:14" s="36" customFormat="1" x14ac:dyDescent="0.25">
      <c r="A22" s="36" t="s">
        <v>790</v>
      </c>
      <c r="C22" s="37"/>
      <c r="E22" s="38" t="s">
        <v>786</v>
      </c>
      <c r="F22" s="38" t="s">
        <v>787</v>
      </c>
      <c r="G22" s="38" t="s">
        <v>788</v>
      </c>
    </row>
    <row r="23" spans="1:14" x14ac:dyDescent="0.25">
      <c r="B23" t="s">
        <v>42</v>
      </c>
      <c r="C23" s="7">
        <f>Daten_EZFH!$D$11</f>
        <v>2242305000</v>
      </c>
      <c r="D23" t="s">
        <v>785</v>
      </c>
      <c r="E23" s="29">
        <f>Bil_EZFH_mQS!L5</f>
        <v>48.903807718036056</v>
      </c>
      <c r="F23" s="29">
        <f>Bil_EZFH_oQS!L5</f>
        <v>55.087856591264106</v>
      </c>
      <c r="G23" s="29">
        <f>E23*Daten_ALLG!$D$171+F23*Daten_ALLG!$E$171</f>
        <v>54.160249260279897</v>
      </c>
      <c r="H23" t="s">
        <v>791</v>
      </c>
      <c r="J23" t="s">
        <v>47</v>
      </c>
      <c r="K23" s="7">
        <f>C23+C24</f>
        <v>3753715000</v>
      </c>
      <c r="L23" t="s">
        <v>785</v>
      </c>
      <c r="M23" s="29">
        <f>(G23*C23+G24*C24)/K23</f>
        <v>52.818946124584308</v>
      </c>
      <c r="N23" t="s">
        <v>791</v>
      </c>
    </row>
    <row r="24" spans="1:14" x14ac:dyDescent="0.25">
      <c r="B24" t="s">
        <v>43</v>
      </c>
      <c r="C24" s="7">
        <f>Daten_MFH!$D$11</f>
        <v>1511410000</v>
      </c>
      <c r="D24" t="s">
        <v>785</v>
      </c>
      <c r="E24" s="29">
        <f>Bil_MFH_mQS!L5</f>
        <v>46.542555751449683</v>
      </c>
      <c r="F24" s="29">
        <f>Bil_MFH_oQS!L5</f>
        <v>51.585442036576893</v>
      </c>
      <c r="G24" s="29">
        <f>E24*Daten_ALLG!$D$172+F24*Daten_ALLG!$E$172</f>
        <v>50.829009093807812</v>
      </c>
      <c r="H24" t="s">
        <v>791</v>
      </c>
      <c r="M24" s="328">
        <f>M23*K23/1000/1000/1000</f>
        <v>198.26727035204399</v>
      </c>
      <c r="N24" t="s">
        <v>792</v>
      </c>
    </row>
  </sheetData>
  <sheetProtection sheet="1" objects="1" scenarios="1" selectLockedCells="1"/>
  <mergeCells count="1">
    <mergeCell ref="B3:D7"/>
  </mergeCells>
  <dataValidations count="5">
    <dataValidation type="list" allowBlank="1" showInputMessage="1" showErrorMessage="1" sqref="H3" xr:uid="{00000000-0002-0000-0000-000000000000}">
      <formula1>$L$3:$N$3</formula1>
    </dataValidation>
    <dataValidation type="list" allowBlank="1" showInputMessage="1" showErrorMessage="1" sqref="H4" xr:uid="{E8939EA5-3A32-48C1-BE3B-860D0C3235D7}">
      <formula1>$L$4:$M$4</formula1>
    </dataValidation>
    <dataValidation type="list" allowBlank="1" showInputMessage="1" showErrorMessage="1" sqref="H5" xr:uid="{097B0474-0730-4802-83DC-78E139B8A381}">
      <formula1>$L$5:$M$5</formula1>
    </dataValidation>
    <dataValidation type="list" allowBlank="1" showInputMessage="1" showErrorMessage="1" sqref="H6" xr:uid="{E67C851F-4FFB-4205-B395-5076CC8259D4}">
      <formula1>$L$6:$M$6</formula1>
    </dataValidation>
    <dataValidation type="list" allowBlank="1" showInputMessage="1" showErrorMessage="1" sqref="H7" xr:uid="{2B7F9879-1699-49EE-905D-25BFE856CF81}">
      <formula1>$L$7:$M$7</formula1>
    </dataValidation>
  </dataValidations>
  <pageMargins left="0.7" right="0.7" top="0.78740157499999996" bottom="0.78740157499999996" header="0.3" footer="0.3"/>
  <pageSetup paperSize="9" orientation="landscape" horizontalDpi="300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7CA7DF-81A8-4E72-9F5C-178CB054BD6E}">
  <sheetPr codeName="Tabelle5">
    <tabColor theme="1"/>
    <outlinePr summaryBelow="0" summaryRight="0"/>
  </sheetPr>
  <dimension ref="A1:U765"/>
  <sheetViews>
    <sheetView showGridLines="0" zoomScale="85" zoomScaleNormal="85" workbookViewId="0">
      <pane ySplit="12" topLeftCell="A13" activePane="bottomLeft" state="frozen"/>
      <selection activeCell="B3" sqref="B3:D7"/>
      <selection pane="bottomLeft" activeCell="A39" sqref="A39"/>
    </sheetView>
  </sheetViews>
  <sheetFormatPr baseColWidth="10" defaultRowHeight="15" outlineLevelRow="2" x14ac:dyDescent="0.25"/>
  <cols>
    <col min="1" max="1" width="4.140625" style="173" customWidth="1"/>
    <col min="2" max="2" width="14.28515625" style="174" customWidth="1"/>
    <col min="3" max="3" width="12.85546875" style="173" customWidth="1"/>
    <col min="4" max="14" width="9.42578125" style="173" customWidth="1"/>
    <col min="15" max="15" width="9.42578125" style="178" customWidth="1"/>
    <col min="16" max="16" width="9.42578125" style="179" customWidth="1"/>
    <col min="17" max="17" width="9.42578125" style="173" customWidth="1"/>
    <col min="18" max="18" width="9.42578125" style="178" customWidth="1"/>
    <col min="19" max="19" width="9.42578125" style="179" customWidth="1"/>
    <col min="20" max="16384" width="11.42578125" style="173"/>
  </cols>
  <sheetData>
    <row r="1" spans="1:21" s="109" customFormat="1" ht="14.25" customHeight="1" x14ac:dyDescent="0.25">
      <c r="A1" s="106" t="s">
        <v>893</v>
      </c>
      <c r="B1" s="107"/>
      <c r="C1" s="107"/>
      <c r="D1" s="108"/>
    </row>
    <row r="2" spans="1:21" s="110" customFormat="1" ht="15.75" customHeight="1" outlineLevel="1" x14ac:dyDescent="0.2">
      <c r="B2" s="110" t="s">
        <v>339</v>
      </c>
      <c r="C2" s="111" t="s">
        <v>517</v>
      </c>
      <c r="D2" s="110" t="s">
        <v>623</v>
      </c>
      <c r="E2" s="110" t="s">
        <v>609</v>
      </c>
      <c r="F2" s="110" t="s">
        <v>522</v>
      </c>
      <c r="G2" s="110" t="s">
        <v>582</v>
      </c>
      <c r="I2" s="110" t="s">
        <v>529</v>
      </c>
      <c r="J2" s="110" t="s">
        <v>531</v>
      </c>
      <c r="K2" s="110" t="s">
        <v>614</v>
      </c>
      <c r="L2" s="110" t="s">
        <v>615</v>
      </c>
      <c r="M2" s="110" t="s">
        <v>683</v>
      </c>
      <c r="O2" s="110" t="s">
        <v>816</v>
      </c>
      <c r="P2" s="110" t="s">
        <v>894</v>
      </c>
      <c r="Q2" s="110" t="s">
        <v>896</v>
      </c>
      <c r="R2" s="110" t="s">
        <v>2</v>
      </c>
      <c r="S2" s="110" t="s">
        <v>7</v>
      </c>
    </row>
    <row r="3" spans="1:21" s="110" customFormat="1" ht="15.75" customHeight="1" outlineLevel="1" x14ac:dyDescent="0.2">
      <c r="B3" s="110" t="s">
        <v>886</v>
      </c>
      <c r="C3" s="111" t="s">
        <v>626</v>
      </c>
      <c r="D3" s="111" t="s">
        <v>626</v>
      </c>
      <c r="E3" s="337" t="s">
        <v>887</v>
      </c>
      <c r="F3" s="111" t="s">
        <v>626</v>
      </c>
      <c r="G3" s="111" t="s">
        <v>626</v>
      </c>
      <c r="I3" s="111" t="s">
        <v>626</v>
      </c>
      <c r="J3" s="111" t="s">
        <v>626</v>
      </c>
      <c r="K3" s="111" t="s">
        <v>791</v>
      </c>
      <c r="L3" s="111" t="s">
        <v>791</v>
      </c>
      <c r="M3" s="111" t="s">
        <v>888</v>
      </c>
      <c r="O3" s="111" t="s">
        <v>888</v>
      </c>
      <c r="P3" s="337" t="s">
        <v>887</v>
      </c>
      <c r="Q3" s="110" t="s">
        <v>889</v>
      </c>
      <c r="R3" s="110" t="s">
        <v>890</v>
      </c>
      <c r="S3" s="110" t="s">
        <v>890</v>
      </c>
    </row>
    <row r="4" spans="1:21" s="125" customFormat="1" ht="15.75" customHeight="1" outlineLevel="1" x14ac:dyDescent="0.25">
      <c r="A4" s="112" t="s">
        <v>782</v>
      </c>
      <c r="B4" s="113">
        <f>O94</f>
        <v>2.0117411379037664</v>
      </c>
      <c r="C4" s="114">
        <f>O435</f>
        <v>115.09579984554324</v>
      </c>
      <c r="D4" s="115">
        <f>O439</f>
        <v>121.00522644455575</v>
      </c>
      <c r="E4" s="116">
        <f>O441</f>
        <v>0.88101474929286994</v>
      </c>
      <c r="F4" s="117">
        <f>O442</f>
        <v>137.34756034638278</v>
      </c>
      <c r="G4" s="117">
        <f>O481</f>
        <v>145.47963681518388</v>
      </c>
      <c r="H4" s="112" t="s">
        <v>782</v>
      </c>
      <c r="I4" s="118">
        <f>O451</f>
        <v>127.00261782636262</v>
      </c>
      <c r="J4" s="119">
        <f>F4+F9</f>
        <v>163.20143039386303</v>
      </c>
      <c r="K4" s="120">
        <f>O516</f>
        <v>38.466457335156299</v>
      </c>
      <c r="L4" s="120">
        <f>O522</f>
        <v>48.903807718036056</v>
      </c>
      <c r="M4" s="121">
        <f>O709</f>
        <v>2905.5735553475643</v>
      </c>
      <c r="N4" s="112" t="s">
        <v>815</v>
      </c>
      <c r="O4" s="121">
        <f>G744</f>
        <v>0</v>
      </c>
      <c r="P4" s="122">
        <f>G747</f>
        <v>0</v>
      </c>
      <c r="Q4" s="123" t="str">
        <f>G753</f>
        <v>k.A.</v>
      </c>
      <c r="R4" s="336" t="str">
        <f>IF(Q4="k.A.","k.A.",Q4/1000*Daten_ALLG!$D$204/1000+Daten_ALLG!$D$276)</f>
        <v>k.A.</v>
      </c>
      <c r="S4" s="336" t="str">
        <f>IF(Q4="k.A.","k.A.",Q4*Daten_ALLG!$D$209/1000/1000+Daten_ALLG!$D$278)</f>
        <v>k.A.</v>
      </c>
    </row>
    <row r="5" spans="1:21" s="125" customFormat="1" ht="15.75" customHeight="1" outlineLevel="1" x14ac:dyDescent="0.25">
      <c r="A5" s="112" t="s">
        <v>783</v>
      </c>
      <c r="B5" s="113">
        <f>P94</f>
        <v>2.0117411379037664</v>
      </c>
      <c r="C5" s="114">
        <f>P435</f>
        <v>115.09579984554324</v>
      </c>
      <c r="D5" s="115">
        <f>P439</f>
        <v>121.00522644455575</v>
      </c>
      <c r="E5" s="116">
        <f>P441</f>
        <v>0.88101474929286994</v>
      </c>
      <c r="F5" s="117">
        <f>P442</f>
        <v>137.34756034638278</v>
      </c>
      <c r="G5" s="117">
        <f>P481</f>
        <v>145.47963681518388</v>
      </c>
      <c r="H5" s="112" t="s">
        <v>783</v>
      </c>
      <c r="I5" s="118">
        <f>P451</f>
        <v>127.00261782636262</v>
      </c>
      <c r="J5" s="119">
        <f>F5+F10</f>
        <v>163.20143039386303</v>
      </c>
      <c r="K5" s="120">
        <f>P516</f>
        <v>38.466457335156299</v>
      </c>
      <c r="L5" s="120">
        <f>P522</f>
        <v>48.903807718036056</v>
      </c>
      <c r="M5" s="121">
        <f>P709</f>
        <v>2905.5735553475643</v>
      </c>
      <c r="N5" s="112" t="s">
        <v>814</v>
      </c>
      <c r="O5" s="121">
        <f>F744</f>
        <v>0</v>
      </c>
      <c r="P5" s="122">
        <f>F747</f>
        <v>0</v>
      </c>
      <c r="Q5" s="123" t="str">
        <f>F753</f>
        <v>k.A.</v>
      </c>
      <c r="R5" s="336" t="str">
        <f>IF(Q5="k.A.","k.A.",Q5/1000*Daten_ALLG!$D$204/1000+Daten_ALLG!$D$276)</f>
        <v>k.A.</v>
      </c>
      <c r="S5" s="336" t="str">
        <f>IF(Q5="k.A.","k.A.",Q5*Daten_ALLG!$D$209/1000/1000+Daten_ALLG!$D$278)</f>
        <v>k.A.</v>
      </c>
    </row>
    <row r="6" spans="1:21" s="125" customFormat="1" ht="15.75" customHeight="1" outlineLevel="1" x14ac:dyDescent="0.25">
      <c r="A6" s="112"/>
      <c r="B6" s="126">
        <f>B5/B4-1</f>
        <v>0</v>
      </c>
      <c r="C6" s="127">
        <f>C5/C4-1</f>
        <v>0</v>
      </c>
      <c r="D6" s="128">
        <f t="shared" ref="D6:L6" si="0">D5/D4-1</f>
        <v>0</v>
      </c>
      <c r="E6" s="128">
        <f t="shared" si="0"/>
        <v>0</v>
      </c>
      <c r="F6" s="129">
        <f t="shared" si="0"/>
        <v>0</v>
      </c>
      <c r="G6" s="129">
        <f t="shared" si="0"/>
        <v>0</v>
      </c>
      <c r="H6" s="112"/>
      <c r="I6" s="130">
        <f t="shared" si="0"/>
        <v>0</v>
      </c>
      <c r="J6" s="131">
        <f t="shared" si="0"/>
        <v>0</v>
      </c>
      <c r="K6" s="132">
        <f t="shared" si="0"/>
        <v>0</v>
      </c>
      <c r="L6" s="132">
        <f t="shared" si="0"/>
        <v>0</v>
      </c>
      <c r="M6" s="133">
        <f>M5/M4-1</f>
        <v>0</v>
      </c>
      <c r="P6" s="112"/>
      <c r="R6" s="112"/>
      <c r="T6" s="134"/>
    </row>
    <row r="7" spans="1:21" s="110" customFormat="1" ht="15.75" customHeight="1" outlineLevel="1" x14ac:dyDescent="0.2">
      <c r="A7" s="135"/>
      <c r="B7" s="110" t="s">
        <v>784</v>
      </c>
      <c r="C7" s="110" t="s">
        <v>523</v>
      </c>
      <c r="D7" s="110" t="s">
        <v>624</v>
      </c>
      <c r="E7" s="110" t="s">
        <v>610</v>
      </c>
      <c r="F7" s="110" t="s">
        <v>528</v>
      </c>
      <c r="G7" s="110" t="s">
        <v>608</v>
      </c>
      <c r="I7" s="110" t="s">
        <v>534</v>
      </c>
      <c r="J7" s="110" t="s">
        <v>533</v>
      </c>
      <c r="K7" s="110" t="s">
        <v>734</v>
      </c>
      <c r="L7" s="110" t="s">
        <v>715</v>
      </c>
      <c r="N7" s="110" t="s">
        <v>680</v>
      </c>
      <c r="O7" s="110" t="s">
        <v>681</v>
      </c>
      <c r="P7" s="110" t="s">
        <v>682</v>
      </c>
      <c r="Q7" s="110" t="s">
        <v>684</v>
      </c>
      <c r="S7" s="110" t="s">
        <v>895</v>
      </c>
    </row>
    <row r="8" spans="1:21" s="110" customFormat="1" ht="15.75" customHeight="1" outlineLevel="1" x14ac:dyDescent="0.2">
      <c r="A8" s="135"/>
      <c r="B8" s="110" t="s">
        <v>891</v>
      </c>
      <c r="C8" s="111" t="s">
        <v>626</v>
      </c>
      <c r="D8" s="111" t="s">
        <v>626</v>
      </c>
      <c r="E8" s="337" t="s">
        <v>887</v>
      </c>
      <c r="F8" s="111" t="s">
        <v>626</v>
      </c>
      <c r="G8" s="111" t="s">
        <v>626</v>
      </c>
      <c r="I8" s="111" t="s">
        <v>626</v>
      </c>
      <c r="J8" s="111" t="s">
        <v>626</v>
      </c>
      <c r="K8" s="111" t="s">
        <v>626</v>
      </c>
      <c r="L8" s="111" t="s">
        <v>626</v>
      </c>
      <c r="N8" s="110" t="s">
        <v>892</v>
      </c>
      <c r="O8" s="111" t="s">
        <v>888</v>
      </c>
      <c r="P8" s="111" t="s">
        <v>888</v>
      </c>
      <c r="Q8" s="111" t="s">
        <v>888</v>
      </c>
      <c r="S8" s="110" t="s">
        <v>889</v>
      </c>
    </row>
    <row r="9" spans="1:21" s="146" customFormat="1" ht="15.75" customHeight="1" outlineLevel="1" x14ac:dyDescent="0.25">
      <c r="A9" s="136" t="s">
        <v>782</v>
      </c>
      <c r="B9" s="137">
        <f>O101</f>
        <v>64.375716412920525</v>
      </c>
      <c r="C9" s="138">
        <f>O443</f>
        <v>10.925522302797635</v>
      </c>
      <c r="D9" s="139">
        <f>O447</f>
        <v>22.950413116945398</v>
      </c>
      <c r="E9" s="140">
        <f>O416</f>
        <v>0.88769739597194963</v>
      </c>
      <c r="F9" s="141">
        <f>O450</f>
        <v>25.853870047480246</v>
      </c>
      <c r="G9" s="141">
        <f>O484</f>
        <v>28.827191217727293</v>
      </c>
      <c r="H9" s="136" t="s">
        <v>782</v>
      </c>
      <c r="I9" s="142">
        <f>O456</f>
        <v>24.277643948929878</v>
      </c>
      <c r="J9" s="143">
        <f>O459</f>
        <v>7.7009804154302666</v>
      </c>
      <c r="K9" s="144">
        <f>O457</f>
        <v>0.77009804154302675</v>
      </c>
      <c r="L9" s="144">
        <f>O458</f>
        <v>6.9308823738872407</v>
      </c>
      <c r="M9" s="112" t="s">
        <v>815</v>
      </c>
      <c r="N9" s="145">
        <f>S665-R665</f>
        <v>0</v>
      </c>
      <c r="O9" s="121">
        <f>P724</f>
        <v>0</v>
      </c>
      <c r="P9" s="121">
        <f>P723</f>
        <v>0</v>
      </c>
      <c r="Q9" s="121">
        <f>P725</f>
        <v>2905.5735553475643</v>
      </c>
      <c r="R9" s="112"/>
      <c r="S9" s="123" t="str">
        <f>F740</f>
        <v>k.A.</v>
      </c>
    </row>
    <row r="10" spans="1:21" s="146" customFormat="1" ht="15.75" customHeight="1" outlineLevel="1" x14ac:dyDescent="0.25">
      <c r="A10" s="112" t="s">
        <v>783</v>
      </c>
      <c r="B10" s="137">
        <f>P101</f>
        <v>64.375716412920525</v>
      </c>
      <c r="C10" s="138">
        <f>P443</f>
        <v>10.925522302797635</v>
      </c>
      <c r="D10" s="139">
        <f>P447</f>
        <v>22.950413116945398</v>
      </c>
      <c r="E10" s="140">
        <f>P416</f>
        <v>0.88769739597194963</v>
      </c>
      <c r="F10" s="141">
        <f>P450</f>
        <v>25.853870047480246</v>
      </c>
      <c r="G10" s="141">
        <f>P484</f>
        <v>28.827191217727293</v>
      </c>
      <c r="H10" s="136" t="s">
        <v>783</v>
      </c>
      <c r="I10" s="142">
        <f>P456</f>
        <v>24.277643948929878</v>
      </c>
      <c r="J10" s="143">
        <f>P459</f>
        <v>7.7009804154302666</v>
      </c>
      <c r="K10" s="144">
        <f>P457</f>
        <v>0.77009804154302675</v>
      </c>
      <c r="L10" s="144">
        <f>P458</f>
        <v>6.9308823738872407</v>
      </c>
      <c r="M10" s="112" t="s">
        <v>814</v>
      </c>
      <c r="N10" s="145">
        <f>S665</f>
        <v>0</v>
      </c>
      <c r="O10" s="121">
        <f>P711</f>
        <v>0</v>
      </c>
      <c r="P10" s="121">
        <f>P710</f>
        <v>0</v>
      </c>
      <c r="Q10" s="121">
        <f>P712</f>
        <v>2905.5735553475643</v>
      </c>
      <c r="R10" s="112"/>
      <c r="S10" s="123" t="str">
        <f>F733</f>
        <v>k.A.</v>
      </c>
      <c r="U10" s="147"/>
    </row>
    <row r="11" spans="1:21" s="125" customFormat="1" ht="15.75" customHeight="1" outlineLevel="1" x14ac:dyDescent="0.25">
      <c r="A11" s="112"/>
      <c r="B11" s="126">
        <f>B10/B9-1</f>
        <v>0</v>
      </c>
      <c r="C11" s="148">
        <f>C10/C9-1</f>
        <v>0</v>
      </c>
      <c r="D11" s="149">
        <f t="shared" ref="D11:G11" si="1">D10/D9-1</f>
        <v>0</v>
      </c>
      <c r="E11" s="149">
        <f t="shared" si="1"/>
        <v>0</v>
      </c>
      <c r="F11" s="150">
        <f t="shared" si="1"/>
        <v>0</v>
      </c>
      <c r="G11" s="150">
        <f t="shared" si="1"/>
        <v>0</v>
      </c>
      <c r="H11" s="112"/>
      <c r="I11" s="131">
        <f t="shared" ref="I11" si="2">I10/I9-1</f>
        <v>0</v>
      </c>
      <c r="J11" s="151">
        <f>IF(J9=0,"k.A.",J10/J9-1)</f>
        <v>0</v>
      </c>
      <c r="K11" s="152">
        <f>IF(K9=0,"k.A.",K10/K9-1)</f>
        <v>0</v>
      </c>
      <c r="L11" s="152" t="s">
        <v>830</v>
      </c>
      <c r="M11" s="112"/>
      <c r="P11" s="112"/>
      <c r="Q11" s="112"/>
      <c r="R11" s="112"/>
      <c r="S11" s="112"/>
      <c r="T11" s="134"/>
    </row>
    <row r="12" spans="1:21" s="155" customFormat="1" x14ac:dyDescent="0.25">
      <c r="A12" s="153"/>
      <c r="B12" s="154"/>
      <c r="C12" s="153"/>
      <c r="D12" s="153"/>
      <c r="E12" s="154"/>
      <c r="F12" s="153"/>
      <c r="G12" s="153"/>
      <c r="H12" s="153"/>
      <c r="I12" s="154"/>
      <c r="J12" s="153"/>
      <c r="K12" s="153"/>
      <c r="L12" s="153"/>
      <c r="M12" s="154"/>
      <c r="N12" s="153"/>
      <c r="O12" s="153"/>
      <c r="P12" s="153"/>
      <c r="Q12" s="153"/>
      <c r="R12" s="153"/>
      <c r="S12" s="153"/>
    </row>
    <row r="13" spans="1:21" s="159" customFormat="1" ht="14.25" customHeight="1" collapsed="1" x14ac:dyDescent="0.25">
      <c r="A13" s="156" t="s">
        <v>245</v>
      </c>
      <c r="B13" s="157"/>
      <c r="C13" s="157"/>
      <c r="D13" s="158"/>
      <c r="O13" s="160"/>
      <c r="P13" s="161"/>
      <c r="R13" s="160"/>
      <c r="S13" s="161"/>
    </row>
    <row r="14" spans="1:21" s="162" customFormat="1" hidden="1" outlineLevel="2" x14ac:dyDescent="0.25">
      <c r="B14" s="163" t="s">
        <v>342</v>
      </c>
      <c r="O14" s="164"/>
      <c r="P14" s="165"/>
      <c r="R14" s="164"/>
      <c r="S14" s="165"/>
    </row>
    <row r="15" spans="1:21" s="170" customFormat="1" hidden="1" outlineLevel="2" x14ac:dyDescent="0.25">
      <c r="A15" s="166"/>
      <c r="B15" s="167"/>
      <c r="C15" s="166"/>
      <c r="D15" s="166"/>
      <c r="E15" s="166"/>
      <c r="F15" s="166"/>
      <c r="G15" s="166"/>
      <c r="H15" s="166"/>
      <c r="I15" s="166"/>
      <c r="J15" s="166"/>
      <c r="K15" s="166"/>
      <c r="L15" s="166"/>
      <c r="M15" s="166"/>
      <c r="N15" s="166"/>
      <c r="O15" s="168" t="s">
        <v>319</v>
      </c>
      <c r="P15" s="169" t="s">
        <v>332</v>
      </c>
      <c r="R15" s="171"/>
      <c r="S15" s="172"/>
    </row>
    <row r="16" spans="1:21" hidden="1" outlineLevel="2" x14ac:dyDescent="0.25">
      <c r="B16" s="174" t="s">
        <v>344</v>
      </c>
      <c r="C16" s="175" t="s">
        <v>64</v>
      </c>
      <c r="O16" s="176">
        <f>Daten_ALLG!$D$4+O94*Daten_ALLG!$F$4</f>
        <v>15.632466062366209</v>
      </c>
      <c r="P16" s="177">
        <f>Daten_ALLG!$D$4+P94*Daten_ALLG!$F$4</f>
        <v>15.632466062366209</v>
      </c>
    </row>
    <row r="17" spans="1:19" hidden="1" outlineLevel="2" x14ac:dyDescent="0.25">
      <c r="B17" s="174" t="s">
        <v>341</v>
      </c>
      <c r="C17" s="175" t="s">
        <v>64</v>
      </c>
      <c r="O17" s="176">
        <f>Daten_ALLG!$D$12+Daten_ALLG!$F$12*O16</f>
        <v>6.6868957505472872</v>
      </c>
      <c r="P17" s="177">
        <f>Daten_ALLG!$D$12+Daten_ALLG!$F$12*P16</f>
        <v>6.6868957505472872</v>
      </c>
    </row>
    <row r="18" spans="1:19" hidden="1" outlineLevel="2" x14ac:dyDescent="0.25">
      <c r="B18" s="174" t="s">
        <v>343</v>
      </c>
      <c r="C18" s="175" t="s">
        <v>160</v>
      </c>
      <c r="O18" s="180">
        <f>Daten_ALLG!$D$11+Daten_ALLG!$F$11*O16</f>
        <v>277.31635448689724</v>
      </c>
      <c r="P18" s="181">
        <f>Daten_ALLG!$D$11+Daten_ALLG!$F$11*P16</f>
        <v>277.31635448689724</v>
      </c>
    </row>
    <row r="19" spans="1:19" hidden="1" outlineLevel="2" x14ac:dyDescent="0.25">
      <c r="B19" s="174" t="s">
        <v>346</v>
      </c>
      <c r="C19" s="175" t="s">
        <v>622</v>
      </c>
      <c r="D19" s="173" t="s">
        <v>807</v>
      </c>
      <c r="O19" s="182">
        <f>(O16-O17)*O18*24/1000</f>
        <v>59.538070744316165</v>
      </c>
      <c r="P19" s="183">
        <f>(P16-P17)*P18*24/1000</f>
        <v>59.538070744316165</v>
      </c>
    </row>
    <row r="20" spans="1:19" s="162" customFormat="1" hidden="1" outlineLevel="2" x14ac:dyDescent="0.25">
      <c r="B20" s="163" t="s">
        <v>345</v>
      </c>
      <c r="O20" s="164"/>
      <c r="P20" s="165"/>
      <c r="R20" s="164"/>
      <c r="S20" s="165"/>
    </row>
    <row r="21" spans="1:19" s="170" customFormat="1" hidden="1" outlineLevel="2" x14ac:dyDescent="0.25">
      <c r="A21" s="166"/>
      <c r="B21" s="167"/>
      <c r="C21" s="166"/>
      <c r="D21" s="166"/>
      <c r="E21" s="166"/>
      <c r="F21" s="166"/>
      <c r="G21" s="166"/>
      <c r="H21" s="166"/>
      <c r="I21" s="166"/>
      <c r="J21" s="166"/>
      <c r="K21" s="166"/>
      <c r="L21" s="166"/>
      <c r="M21" s="166"/>
      <c r="N21" s="166"/>
      <c r="O21" s="168" t="s">
        <v>319</v>
      </c>
      <c r="P21" s="169" t="s">
        <v>332</v>
      </c>
      <c r="R21" s="171"/>
      <c r="S21" s="172"/>
    </row>
    <row r="22" spans="1:19" hidden="1" outlineLevel="2" x14ac:dyDescent="0.25">
      <c r="B22" s="174" t="s">
        <v>346</v>
      </c>
      <c r="C22" s="175" t="s">
        <v>58</v>
      </c>
      <c r="O22" s="180">
        <f>Daten_ALLG!$D$20+Daten_ALLG!$F$20*O16</f>
        <v>507.94796374197256</v>
      </c>
      <c r="P22" s="181">
        <f>Daten_ALLG!$D$20+Daten_ALLG!$F$20*P16</f>
        <v>507.94796374197256</v>
      </c>
    </row>
    <row r="23" spans="1:19" s="159" customFormat="1" ht="14.25" customHeight="1" collapsed="1" x14ac:dyDescent="0.25">
      <c r="A23" s="156" t="s">
        <v>350</v>
      </c>
      <c r="B23" s="157"/>
      <c r="C23" s="157"/>
      <c r="D23" s="158"/>
      <c r="O23" s="160"/>
      <c r="P23" s="161"/>
      <c r="R23" s="160"/>
      <c r="S23" s="161"/>
    </row>
    <row r="24" spans="1:19" s="162" customFormat="1" hidden="1" outlineLevel="2" x14ac:dyDescent="0.25">
      <c r="B24" s="163" t="s">
        <v>147</v>
      </c>
      <c r="O24" s="164"/>
      <c r="P24" s="165"/>
      <c r="R24" s="164"/>
      <c r="S24" s="165"/>
    </row>
    <row r="25" spans="1:19" s="170" customFormat="1" hidden="1" outlineLevel="2" x14ac:dyDescent="0.25">
      <c r="A25" s="166"/>
      <c r="B25" s="167"/>
      <c r="C25" s="166"/>
      <c r="D25" s="166"/>
      <c r="E25" s="166"/>
      <c r="F25" s="166"/>
      <c r="G25" s="166"/>
      <c r="H25" s="166"/>
      <c r="I25" s="166"/>
      <c r="J25" s="166"/>
      <c r="K25" s="166"/>
      <c r="L25" s="166"/>
      <c r="M25" s="166"/>
      <c r="N25" s="166"/>
      <c r="O25" s="168" t="s">
        <v>319</v>
      </c>
      <c r="P25" s="169" t="s">
        <v>332</v>
      </c>
      <c r="R25" s="171"/>
      <c r="S25" s="172"/>
    </row>
    <row r="26" spans="1:19" hidden="1" outlineLevel="2" x14ac:dyDescent="0.25">
      <c r="B26" s="174" t="s">
        <v>347</v>
      </c>
      <c r="C26" s="175" t="s">
        <v>64</v>
      </c>
      <c r="O26" s="176">
        <f>Daten_ALLG!$D$27-Daten_EZFH!$D$5^Daten_ALLG!$F$28*O94^Daten_ALLG!$H$28*Daten_ALLG!$J$28</f>
        <v>19.016484313965346</v>
      </c>
      <c r="P26" s="177">
        <f>Daten_ALLG!$D$27-Daten_EZFH!$D$5^Daten_ALLG!$F$28*P94^Daten_ALLG!$H$28*Daten_ALLG!$J$28</f>
        <v>19.016484313965346</v>
      </c>
    </row>
    <row r="27" spans="1:19" s="162" customFormat="1" hidden="1" outlineLevel="2" x14ac:dyDescent="0.25">
      <c r="B27" s="163" t="s">
        <v>74</v>
      </c>
      <c r="O27" s="164"/>
      <c r="P27" s="165"/>
      <c r="R27" s="164"/>
      <c r="S27" s="165"/>
    </row>
    <row r="28" spans="1:19" s="170" customFormat="1" hidden="1" outlineLevel="2" x14ac:dyDescent="0.25">
      <c r="A28" s="166"/>
      <c r="B28" s="167"/>
      <c r="C28" s="166"/>
      <c r="D28" s="166"/>
      <c r="E28" s="166"/>
      <c r="F28" s="166"/>
      <c r="G28" s="166"/>
      <c r="H28" s="166"/>
      <c r="I28" s="166"/>
      <c r="J28" s="166"/>
      <c r="K28" s="166"/>
      <c r="L28" s="166"/>
      <c r="M28" s="166"/>
      <c r="N28" s="166"/>
      <c r="O28" s="168" t="s">
        <v>319</v>
      </c>
      <c r="P28" s="169" t="s">
        <v>332</v>
      </c>
      <c r="R28" s="171"/>
      <c r="S28" s="172"/>
    </row>
    <row r="29" spans="1:19" hidden="1" outlineLevel="2" x14ac:dyDescent="0.25">
      <c r="B29" s="174" t="s">
        <v>351</v>
      </c>
      <c r="C29" s="175" t="s">
        <v>352</v>
      </c>
      <c r="D29" s="184">
        <f>Daten_ALLG!$D$46</f>
        <v>563.89231042842107</v>
      </c>
    </row>
    <row r="30" spans="1:19" hidden="1" outlineLevel="2" x14ac:dyDescent="0.25">
      <c r="B30" s="174" t="s">
        <v>468</v>
      </c>
      <c r="C30" s="185" t="s">
        <v>348</v>
      </c>
      <c r="O30" s="180">
        <f>D29*Daten_EZFH!$D$6</f>
        <v>1546.8855777178603</v>
      </c>
      <c r="P30" s="181">
        <f>O30</f>
        <v>1546.8855777178603</v>
      </c>
    </row>
    <row r="31" spans="1:19" s="162" customFormat="1" hidden="1" outlineLevel="2" x14ac:dyDescent="0.25">
      <c r="B31" s="163" t="s">
        <v>353</v>
      </c>
      <c r="O31" s="164"/>
      <c r="P31" s="165"/>
      <c r="R31" s="164"/>
      <c r="S31" s="165"/>
    </row>
    <row r="32" spans="1:19" s="170" customFormat="1" hidden="1" outlineLevel="2" x14ac:dyDescent="0.25">
      <c r="A32" s="166"/>
      <c r="B32" s="167"/>
      <c r="C32" s="166"/>
      <c r="D32" s="166" t="s">
        <v>389</v>
      </c>
      <c r="E32" s="166" t="s">
        <v>12</v>
      </c>
      <c r="F32" s="166" t="s">
        <v>24</v>
      </c>
      <c r="G32" s="166"/>
      <c r="H32" s="166"/>
      <c r="J32" s="166"/>
      <c r="K32" s="166"/>
      <c r="L32" s="166"/>
      <c r="M32" s="166"/>
      <c r="N32" s="166"/>
      <c r="O32" s="168" t="s">
        <v>319</v>
      </c>
      <c r="P32" s="169" t="s">
        <v>332</v>
      </c>
      <c r="R32" s="171"/>
      <c r="S32" s="172"/>
    </row>
    <row r="33" spans="1:19" hidden="1" outlineLevel="2" x14ac:dyDescent="0.25">
      <c r="B33" s="174" t="s">
        <v>354</v>
      </c>
      <c r="C33" s="175" t="s">
        <v>355</v>
      </c>
      <c r="D33" s="186">
        <f>E34*E33+F33*F34</f>
        <v>1.2477223793191872</v>
      </c>
      <c r="E33" s="187">
        <v>0</v>
      </c>
      <c r="F33" s="187">
        <f>Daten_ALLG!$D$162*D80*Daten_EZFH!$D$20</f>
        <v>41.590745977306241</v>
      </c>
      <c r="G33" s="188"/>
      <c r="H33" s="188"/>
      <c r="J33" s="188"/>
      <c r="K33" s="188"/>
      <c r="L33" s="188"/>
      <c r="M33" s="188"/>
      <c r="N33" s="188"/>
      <c r="O33" s="189">
        <f>O89</f>
        <v>1.2477223793191872</v>
      </c>
      <c r="P33" s="190">
        <f>P89</f>
        <v>1.2477223793191872</v>
      </c>
    </row>
    <row r="34" spans="1:19" hidden="1" outlineLevel="2" x14ac:dyDescent="0.25">
      <c r="B34" s="174" t="s">
        <v>157</v>
      </c>
      <c r="C34" s="185" t="s">
        <v>13</v>
      </c>
      <c r="E34" s="191">
        <f>1-F34</f>
        <v>0.97</v>
      </c>
      <c r="F34" s="191">
        <f>Daten_EZFH!$D$112</f>
        <v>0.03</v>
      </c>
      <c r="G34" s="192"/>
      <c r="H34" s="192"/>
      <c r="J34" s="192"/>
      <c r="K34" s="192"/>
      <c r="L34" s="192"/>
      <c r="M34" s="192"/>
      <c r="N34" s="192"/>
    </row>
    <row r="35" spans="1:19" hidden="1" outlineLevel="2" x14ac:dyDescent="0.25">
      <c r="B35" s="174" t="s">
        <v>356</v>
      </c>
      <c r="C35" s="185" t="s">
        <v>348</v>
      </c>
      <c r="O35" s="193">
        <f>O33*O18*24/1000</f>
        <v>8.3043317194683492</v>
      </c>
      <c r="P35" s="194">
        <f>P33*P18*24/1000</f>
        <v>8.3043317194683492</v>
      </c>
    </row>
    <row r="36" spans="1:19" hidden="1" outlineLevel="2" x14ac:dyDescent="0.25">
      <c r="B36" s="174" t="s">
        <v>357</v>
      </c>
      <c r="C36" s="175" t="s">
        <v>352</v>
      </c>
      <c r="D36" s="184">
        <f>Daten_ALLG!$D$50</f>
        <v>1250</v>
      </c>
    </row>
    <row r="37" spans="1:19" hidden="1" outlineLevel="2" x14ac:dyDescent="0.25">
      <c r="B37" s="174" t="s">
        <v>476</v>
      </c>
      <c r="C37" s="185" t="s">
        <v>348</v>
      </c>
      <c r="O37" s="180">
        <f>D36*Daten_EZFH!$D$6+O35</f>
        <v>3437.3402245449161</v>
      </c>
      <c r="P37" s="181">
        <f>D36*Daten_EZFH!$D$6+P35</f>
        <v>3437.3402245449161</v>
      </c>
    </row>
    <row r="38" spans="1:19" s="159" customFormat="1" ht="14.25" customHeight="1" thickBot="1" x14ac:dyDescent="0.3">
      <c r="A38" s="156" t="s">
        <v>337</v>
      </c>
      <c r="B38" s="157"/>
      <c r="C38" s="157"/>
      <c r="D38" s="158"/>
      <c r="O38" s="160"/>
      <c r="P38" s="161"/>
      <c r="R38" s="160"/>
      <c r="S38" s="161"/>
    </row>
    <row r="39" spans="1:19" s="162" customFormat="1" ht="15.75" outlineLevel="1" thickBot="1" x14ac:dyDescent="0.3">
      <c r="A39" s="335"/>
      <c r="B39" s="163" t="s">
        <v>16</v>
      </c>
      <c r="D39" s="335"/>
      <c r="E39" s="335"/>
      <c r="F39" s="335"/>
      <c r="G39" s="335"/>
      <c r="H39" s="335"/>
      <c r="O39" s="164"/>
      <c r="P39" s="165"/>
      <c r="R39" s="164" t="s">
        <v>457</v>
      </c>
      <c r="S39" s="165"/>
    </row>
    <row r="40" spans="1:19" s="170" customFormat="1" ht="15.75" outlineLevel="1" collapsed="1" thickBot="1" x14ac:dyDescent="0.3">
      <c r="A40" s="166"/>
      <c r="B40" s="167"/>
      <c r="C40" s="166"/>
      <c r="D40" s="166" t="s">
        <v>389</v>
      </c>
      <c r="E40" s="166" t="s">
        <v>143</v>
      </c>
      <c r="F40" s="166" t="s">
        <v>65</v>
      </c>
      <c r="G40" s="166" t="s">
        <v>142</v>
      </c>
      <c r="H40" s="166" t="s">
        <v>308</v>
      </c>
      <c r="J40" s="166"/>
      <c r="K40" s="166"/>
      <c r="L40" s="166"/>
      <c r="M40" s="166"/>
      <c r="N40" s="166"/>
      <c r="O40" s="168" t="s">
        <v>319</v>
      </c>
      <c r="P40" s="169" t="s">
        <v>332</v>
      </c>
      <c r="R40" s="171" t="s">
        <v>313</v>
      </c>
      <c r="S40" s="172" t="s">
        <v>456</v>
      </c>
    </row>
    <row r="41" spans="1:19" s="195" customFormat="1" hidden="1" outlineLevel="2" x14ac:dyDescent="0.25">
      <c r="B41" s="196" t="s">
        <v>311</v>
      </c>
      <c r="C41" s="175" t="s">
        <v>63</v>
      </c>
      <c r="D41" s="186">
        <f>Daten_EZFH!$G$34</f>
        <v>0.67627540798774222</v>
      </c>
      <c r="E41" s="186">
        <f>Daten_EZFH!$D$33</f>
        <v>1</v>
      </c>
      <c r="F41" s="186">
        <f>Daten_EZFH!$D$32</f>
        <v>0.6</v>
      </c>
      <c r="G41" s="186">
        <f>Daten_EZFH!$D$31</f>
        <v>0.3146373024574563</v>
      </c>
      <c r="H41" s="186">
        <f>Daten_EZFH!$D$30</f>
        <v>0.15</v>
      </c>
      <c r="J41" s="197"/>
      <c r="K41" s="197"/>
      <c r="L41" s="197"/>
      <c r="M41" s="197"/>
      <c r="N41" s="197"/>
      <c r="O41" s="198">
        <f>IF($A39&lt;&gt;"",IF($D39="V",$D41,IF($E39="V",$E41,IF($F39="V",$F41,IF($G39="V",$G41,IF($H39="V",$H41,""))))),$D41)</f>
        <v>0.67627540798774222</v>
      </c>
      <c r="P41" s="199">
        <f>IF($A39&lt;&gt;"",IF($D39="N",$D41,IF($E39="N",$E41,IF($F39="N",$F41,IF($G39="N",$G41,IF($H39="N",$H41,O41))))),$D41)</f>
        <v>0.67627540798774222</v>
      </c>
      <c r="Q41" s="175" t="s">
        <v>317</v>
      </c>
      <c r="R41" s="200">
        <f>ROUND((1/P41-1/O41)*Daten_ALLG!$D$63,2)*100</f>
        <v>0</v>
      </c>
      <c r="S41" s="201"/>
    </row>
    <row r="42" spans="1:19" hidden="1" outlineLevel="2" x14ac:dyDescent="0.25">
      <c r="B42" s="174" t="s">
        <v>312</v>
      </c>
      <c r="C42" s="175" t="s">
        <v>50</v>
      </c>
      <c r="D42" s="202">
        <f>Daten_EZFH!$D$24</f>
        <v>145.32586656432701</v>
      </c>
      <c r="Q42" s="185" t="s">
        <v>50</v>
      </c>
      <c r="R42" s="200">
        <f>IF(A39="",0,D42)</f>
        <v>0</v>
      </c>
      <c r="S42" s="203">
        <f>R42</f>
        <v>0</v>
      </c>
    </row>
    <row r="43" spans="1:19" ht="15.75" hidden="1" outlineLevel="2" thickBot="1" x14ac:dyDescent="0.3">
      <c r="B43" s="174" t="s">
        <v>310</v>
      </c>
      <c r="C43" s="175" t="s">
        <v>207</v>
      </c>
      <c r="O43" s="176">
        <f>O41*D42</f>
        <v>98.280309701962437</v>
      </c>
      <c r="P43" s="177">
        <f>P41*D42</f>
        <v>98.280309701962437</v>
      </c>
    </row>
    <row r="44" spans="1:19" s="162" customFormat="1" ht="15.75" outlineLevel="1" thickBot="1" x14ac:dyDescent="0.3">
      <c r="A44" s="335"/>
      <c r="B44" s="163" t="s">
        <v>104</v>
      </c>
      <c r="D44" s="335"/>
      <c r="E44" s="335"/>
      <c r="F44" s="335"/>
      <c r="G44" s="335"/>
      <c r="H44" s="335"/>
      <c r="O44" s="164"/>
      <c r="P44" s="165"/>
      <c r="R44" s="164" t="s">
        <v>457</v>
      </c>
      <c r="S44" s="165"/>
    </row>
    <row r="45" spans="1:19" s="170" customFormat="1" ht="15.75" outlineLevel="1" collapsed="1" thickBot="1" x14ac:dyDescent="0.3">
      <c r="A45" s="166"/>
      <c r="B45" s="167"/>
      <c r="C45" s="166"/>
      <c r="D45" s="166" t="s">
        <v>389</v>
      </c>
      <c r="E45" s="166" t="s">
        <v>143</v>
      </c>
      <c r="F45" s="166" t="s">
        <v>65</v>
      </c>
      <c r="G45" s="166" t="s">
        <v>142</v>
      </c>
      <c r="H45" s="166" t="s">
        <v>308</v>
      </c>
      <c r="J45" s="166"/>
      <c r="K45" s="166"/>
      <c r="L45" s="166"/>
      <c r="M45" s="166"/>
      <c r="N45" s="166"/>
      <c r="O45" s="168" t="s">
        <v>319</v>
      </c>
      <c r="P45" s="169" t="s">
        <v>332</v>
      </c>
      <c r="R45" s="171" t="s">
        <v>313</v>
      </c>
      <c r="S45" s="172" t="s">
        <v>456</v>
      </c>
    </row>
    <row r="46" spans="1:19" s="195" customFormat="1" hidden="1" outlineLevel="2" x14ac:dyDescent="0.25">
      <c r="B46" s="196" t="s">
        <v>311</v>
      </c>
      <c r="C46" s="175" t="s">
        <v>63</v>
      </c>
      <c r="D46" s="186">
        <f>Daten_EZFH!$G$41</f>
        <v>0.48884591980735126</v>
      </c>
      <c r="E46" s="186">
        <f>Daten_EZFH!$D$40</f>
        <v>1</v>
      </c>
      <c r="F46" s="186">
        <f>Daten_EZFH!$D$39</f>
        <v>0.44</v>
      </c>
      <c r="G46" s="186">
        <f>Daten_EZFH!$D$38</f>
        <v>0.2567429695042075</v>
      </c>
      <c r="H46" s="186">
        <f>Daten_EZFH!$D$37</f>
        <v>0.15</v>
      </c>
      <c r="J46" s="197"/>
      <c r="K46" s="197"/>
      <c r="L46" s="197"/>
      <c r="M46" s="197"/>
      <c r="N46" s="197"/>
      <c r="O46" s="198">
        <f>IF($A44&lt;&gt;"",IF($D44="V",$D46,IF($E44="V",$E46,IF($F44="V",$F46,IF($G44="V",$G46,IF($H44="V",$H46,""))))),$D46)</f>
        <v>0.48884591980735126</v>
      </c>
      <c r="P46" s="199">
        <f>IF($A44&lt;&gt;"",IF($D44="N",$D46,IF($E44="N",$E46,IF($F44="N",$F46,IF($G44="N",$G46,IF($H44="N",$H46,O46))))),$D46)</f>
        <v>0.48884591980735126</v>
      </c>
      <c r="Q46" s="175" t="s">
        <v>317</v>
      </c>
      <c r="R46" s="200">
        <f>ROUND((1/P46-1/O46)*Daten_ALLG!$D$63,2)*100</f>
        <v>0</v>
      </c>
      <c r="S46" s="201"/>
    </row>
    <row r="47" spans="1:19" hidden="1" outlineLevel="2" x14ac:dyDescent="0.25">
      <c r="B47" s="174" t="s">
        <v>312</v>
      </c>
      <c r="C47" s="175" t="s">
        <v>50</v>
      </c>
      <c r="D47" s="202">
        <f>Daten_EZFH!$D$25</f>
        <v>108.16866487968329</v>
      </c>
      <c r="Q47" s="185" t="s">
        <v>50</v>
      </c>
      <c r="R47" s="200">
        <f>IF(A44="",0,D47)</f>
        <v>0</v>
      </c>
      <c r="S47" s="203">
        <f>R47</f>
        <v>0</v>
      </c>
    </row>
    <row r="48" spans="1:19" hidden="1" outlineLevel="2" x14ac:dyDescent="0.25">
      <c r="B48" s="174" t="s">
        <v>318</v>
      </c>
      <c r="C48" s="175"/>
      <c r="D48" s="202">
        <f>Daten_ALLG!$D$67</f>
        <v>0.9</v>
      </c>
    </row>
    <row r="49" spans="1:19" ht="15.75" hidden="1" outlineLevel="2" thickBot="1" x14ac:dyDescent="0.3">
      <c r="B49" s="174" t="s">
        <v>310</v>
      </c>
      <c r="C49" s="175" t="s">
        <v>207</v>
      </c>
      <c r="O49" s="176">
        <f>O46*D47</f>
        <v>52.877810477441912</v>
      </c>
      <c r="P49" s="177">
        <f>P46*D47</f>
        <v>52.877810477441912</v>
      </c>
    </row>
    <row r="50" spans="1:19" s="162" customFormat="1" ht="15.75" outlineLevel="1" thickBot="1" x14ac:dyDescent="0.3">
      <c r="A50" s="335"/>
      <c r="B50" s="163" t="s">
        <v>105</v>
      </c>
      <c r="D50" s="335"/>
      <c r="E50" s="335"/>
      <c r="F50" s="335"/>
      <c r="G50" s="335"/>
      <c r="H50" s="335"/>
      <c r="O50" s="164"/>
      <c r="P50" s="165"/>
      <c r="R50" s="164" t="s">
        <v>457</v>
      </c>
      <c r="S50" s="165"/>
    </row>
    <row r="51" spans="1:19" s="170" customFormat="1" ht="15.75" outlineLevel="1" collapsed="1" thickBot="1" x14ac:dyDescent="0.3">
      <c r="A51" s="166"/>
      <c r="B51" s="167"/>
      <c r="C51" s="166"/>
      <c r="D51" s="166" t="s">
        <v>389</v>
      </c>
      <c r="E51" s="166" t="s">
        <v>143</v>
      </c>
      <c r="F51" s="166" t="s">
        <v>65</v>
      </c>
      <c r="G51" s="166" t="s">
        <v>142</v>
      </c>
      <c r="H51" s="166" t="s">
        <v>308</v>
      </c>
      <c r="J51" s="166"/>
      <c r="K51" s="166"/>
      <c r="L51" s="166"/>
      <c r="M51" s="166"/>
      <c r="N51" s="166"/>
      <c r="O51" s="168" t="s">
        <v>319</v>
      </c>
      <c r="P51" s="169" t="s">
        <v>332</v>
      </c>
      <c r="R51" s="171" t="s">
        <v>313</v>
      </c>
      <c r="S51" s="172" t="s">
        <v>456</v>
      </c>
    </row>
    <row r="52" spans="1:19" s="195" customFormat="1" hidden="1" outlineLevel="2" x14ac:dyDescent="0.25">
      <c r="B52" s="196" t="s">
        <v>311</v>
      </c>
      <c r="C52" s="175" t="s">
        <v>63</v>
      </c>
      <c r="D52" s="186">
        <f>Daten_EZFH!$G$48</f>
        <v>0.75868677922754513</v>
      </c>
      <c r="E52" s="186">
        <f>Daten_EZFH!$D$47</f>
        <v>1</v>
      </c>
      <c r="F52" s="186">
        <f>Daten_EZFH!$D$46</f>
        <v>0.68</v>
      </c>
      <c r="G52" s="186">
        <f>Daten_EZFH!$D$45</f>
        <v>0.38362421952148795</v>
      </c>
      <c r="H52" s="186">
        <f>Daten_EZFH!$D$44</f>
        <v>0.2</v>
      </c>
      <c r="J52" s="197"/>
      <c r="K52" s="197"/>
      <c r="L52" s="197"/>
      <c r="M52" s="197"/>
      <c r="N52" s="197"/>
      <c r="O52" s="198">
        <f>IF($A50&lt;&gt;"",IF($D50="V",$D52,IF($E50="V",$E52,IF($F50="V",$F52,IF($G50="V",$G52,IF($H50="V",$H52,""))))),$D52)</f>
        <v>0.75868677922754513</v>
      </c>
      <c r="P52" s="199">
        <f>IF($A50&lt;&gt;"",IF($D50="N",$D52,IF($E50="N",$E52,IF($F50="N",$F52,IF($G50="N",$G52,IF($H50="N",$H52,O52))))),$D52)</f>
        <v>0.75868677922754513</v>
      </c>
      <c r="Q52" s="175" t="s">
        <v>317</v>
      </c>
      <c r="R52" s="200">
        <f>ROUND((1/P52-1/O52)*Daten_ALLG!$D$63,2)*100</f>
        <v>0</v>
      </c>
      <c r="S52" s="201"/>
    </row>
    <row r="53" spans="1:19" hidden="1" outlineLevel="2" x14ac:dyDescent="0.25">
      <c r="B53" s="174" t="s">
        <v>312</v>
      </c>
      <c r="C53" s="175" t="s">
        <v>50</v>
      </c>
      <c r="D53" s="202">
        <f>Daten_EZFH!$D$26</f>
        <v>88.708836517901815</v>
      </c>
      <c r="Q53" s="185" t="s">
        <v>50</v>
      </c>
      <c r="R53" s="200">
        <f>IF(A50="",0,D53)</f>
        <v>0</v>
      </c>
      <c r="S53" s="203">
        <f>R53</f>
        <v>0</v>
      </c>
    </row>
    <row r="54" spans="1:19" hidden="1" outlineLevel="2" x14ac:dyDescent="0.25">
      <c r="B54" s="174" t="s">
        <v>318</v>
      </c>
      <c r="C54" s="175"/>
      <c r="D54" s="202">
        <f>Daten_ALLG!$D$66</f>
        <v>0.5</v>
      </c>
    </row>
    <row r="55" spans="1:19" ht="15.75" hidden="1" outlineLevel="2" thickBot="1" x14ac:dyDescent="0.3">
      <c r="B55" s="174" t="s">
        <v>310</v>
      </c>
      <c r="C55" s="175" t="s">
        <v>207</v>
      </c>
      <c r="O55" s="176">
        <f>O52*D53*D54</f>
        <v>33.651110733394887</v>
      </c>
      <c r="P55" s="177">
        <f>P52*D53*D54</f>
        <v>33.651110733394887</v>
      </c>
    </row>
    <row r="56" spans="1:19" s="162" customFormat="1" ht="15.75" outlineLevel="1" thickBot="1" x14ac:dyDescent="0.3">
      <c r="A56" s="335"/>
      <c r="B56" s="163" t="s">
        <v>12</v>
      </c>
      <c r="D56" s="335"/>
      <c r="E56" s="335"/>
      <c r="F56" s="335"/>
      <c r="G56" s="335"/>
      <c r="H56" s="335"/>
      <c r="O56" s="164"/>
      <c r="P56" s="165"/>
      <c r="R56" s="164" t="s">
        <v>457</v>
      </c>
      <c r="S56" s="165"/>
    </row>
    <row r="57" spans="1:19" s="170" customFormat="1" outlineLevel="1" collapsed="1" x14ac:dyDescent="0.25">
      <c r="A57" s="166"/>
      <c r="B57" s="167"/>
      <c r="C57" s="166"/>
      <c r="D57" s="166" t="s">
        <v>389</v>
      </c>
      <c r="E57" s="166" t="s">
        <v>143</v>
      </c>
      <c r="F57" s="166" t="s">
        <v>65</v>
      </c>
      <c r="G57" s="166" t="s">
        <v>142</v>
      </c>
      <c r="H57" s="166" t="s">
        <v>308</v>
      </c>
      <c r="J57" s="166"/>
      <c r="K57" s="166"/>
      <c r="L57" s="166"/>
      <c r="M57" s="166"/>
      <c r="N57" s="166"/>
      <c r="O57" s="168" t="s">
        <v>319</v>
      </c>
      <c r="P57" s="169" t="s">
        <v>332</v>
      </c>
      <c r="R57" s="171" t="s">
        <v>333</v>
      </c>
      <c r="S57" s="172" t="s">
        <v>456</v>
      </c>
    </row>
    <row r="58" spans="1:19" s="195" customFormat="1" hidden="1" outlineLevel="2" x14ac:dyDescent="0.25">
      <c r="B58" s="196" t="s">
        <v>311</v>
      </c>
      <c r="C58" s="175" t="s">
        <v>63</v>
      </c>
      <c r="D58" s="186">
        <f>Daten_EZFH!$G$55</f>
        <v>2.1193732332155477</v>
      </c>
      <c r="E58" s="186">
        <f>Daten_EZFH!$D$54</f>
        <v>2.7</v>
      </c>
      <c r="F58" s="186">
        <f>Daten_EZFH!$D$53</f>
        <v>1.6</v>
      </c>
      <c r="G58" s="186">
        <f>Daten_EZFH!$D$52</f>
        <v>1.3</v>
      </c>
      <c r="H58" s="186">
        <f>Daten_EZFH!$D$51</f>
        <v>0.9</v>
      </c>
      <c r="J58" s="197"/>
      <c r="K58" s="197"/>
      <c r="L58" s="197"/>
      <c r="M58" s="197"/>
      <c r="N58" s="197"/>
      <c r="O58" s="198">
        <f>IF($A56&lt;&gt;"",IF($D56="V",$D58,IF($E56="V",$E58,IF($F56="V",$F58,IF($G56="V",$G58,IF($H56="V",$H58,""))))),$D58)</f>
        <v>2.1193732332155477</v>
      </c>
      <c r="P58" s="199">
        <f>IF($A56&lt;&gt;"",IF($D56="N",$D58,IF($E56="N",$E58,IF($F56="N",$F58,IF($G56="N",$G58,IF($H56="N",$H58,O58))))),$D58)</f>
        <v>2.1193732332155477</v>
      </c>
      <c r="R58" s="204"/>
      <c r="S58" s="201"/>
    </row>
    <row r="59" spans="1:19" hidden="1" outlineLevel="2" x14ac:dyDescent="0.25">
      <c r="B59" s="174" t="s">
        <v>312</v>
      </c>
      <c r="C59" s="175" t="s">
        <v>50</v>
      </c>
      <c r="D59" s="202">
        <f>Daten_EZFH!$D$27</f>
        <v>28.535386470415549</v>
      </c>
      <c r="Q59" s="185" t="s">
        <v>50</v>
      </c>
      <c r="R59" s="200">
        <f>IF(A56="",0,D59)</f>
        <v>0</v>
      </c>
      <c r="S59" s="203">
        <f>R59</f>
        <v>0</v>
      </c>
    </row>
    <row r="60" spans="1:19" hidden="1" outlineLevel="2" x14ac:dyDescent="0.25">
      <c r="B60" s="174" t="s">
        <v>310</v>
      </c>
      <c r="C60" s="175" t="s">
        <v>207</v>
      </c>
      <c r="O60" s="176">
        <f>O58*D59</f>
        <v>60.477134284859801</v>
      </c>
      <c r="P60" s="177">
        <f>P58*D59</f>
        <v>60.477134284859801</v>
      </c>
    </row>
    <row r="61" spans="1:19" s="162" customFormat="1" hidden="1" outlineLevel="2" x14ac:dyDescent="0.25">
      <c r="B61" s="163" t="s">
        <v>133</v>
      </c>
      <c r="O61" s="164"/>
      <c r="P61" s="165"/>
      <c r="R61" s="164"/>
      <c r="S61" s="165"/>
    </row>
    <row r="62" spans="1:19" s="170" customFormat="1" hidden="1" outlineLevel="2" x14ac:dyDescent="0.25">
      <c r="A62" s="166"/>
      <c r="B62" s="167"/>
      <c r="C62" s="166"/>
      <c r="D62" s="166"/>
      <c r="E62" s="166"/>
      <c r="F62" s="166"/>
      <c r="G62" s="166"/>
      <c r="H62" s="166"/>
      <c r="J62" s="166"/>
      <c r="K62" s="166"/>
      <c r="L62" s="166"/>
      <c r="M62" s="166"/>
      <c r="N62" s="166"/>
      <c r="O62" s="168" t="s">
        <v>319</v>
      </c>
      <c r="P62" s="169" t="s">
        <v>332</v>
      </c>
      <c r="R62" s="171"/>
      <c r="S62" s="172"/>
    </row>
    <row r="63" spans="1:19" hidden="1" outlineLevel="2" x14ac:dyDescent="0.25">
      <c r="B63" s="174" t="s">
        <v>312</v>
      </c>
      <c r="C63" s="175" t="s">
        <v>50</v>
      </c>
      <c r="O63" s="198">
        <f>P63</f>
        <v>370.73875443232771</v>
      </c>
      <c r="P63" s="199">
        <f>D42+D47+D53+D59</f>
        <v>370.73875443232771</v>
      </c>
    </row>
    <row r="64" spans="1:19" hidden="1" outlineLevel="2" x14ac:dyDescent="0.25">
      <c r="B64" s="174" t="s">
        <v>323</v>
      </c>
      <c r="C64" s="175" t="s">
        <v>63</v>
      </c>
      <c r="O64" s="198">
        <f>(O43+O49+O55+O60)/O63</f>
        <v>0.6616151191780304</v>
      </c>
      <c r="P64" s="199">
        <f>(P43+P49+P55+P60)/P63</f>
        <v>0.6616151191780304</v>
      </c>
    </row>
    <row r="65" spans="1:19" hidden="1" outlineLevel="2" x14ac:dyDescent="0.25">
      <c r="B65" s="174" t="s">
        <v>322</v>
      </c>
      <c r="C65" s="175" t="s">
        <v>63</v>
      </c>
      <c r="O65" s="205">
        <f>Daten_ALLG!$L$70*O64+Daten_ALLG!$L$72</f>
        <v>1.2767697616439394E-2</v>
      </c>
      <c r="P65" s="206">
        <f>Daten_ALLG!$L$70*P64+Daten_ALLG!$L$72</f>
        <v>1.2767697616439394E-2</v>
      </c>
    </row>
    <row r="66" spans="1:19" hidden="1" outlineLevel="2" x14ac:dyDescent="0.25">
      <c r="B66" s="174" t="s">
        <v>325</v>
      </c>
      <c r="C66" s="175" t="s">
        <v>207</v>
      </c>
      <c r="O66" s="176">
        <f>O65*O63</f>
        <v>4.73348031128734</v>
      </c>
      <c r="P66" s="177">
        <f>P65*P63</f>
        <v>4.73348031128734</v>
      </c>
    </row>
    <row r="67" spans="1:19" s="162" customFormat="1" hidden="1" outlineLevel="2" x14ac:dyDescent="0.25">
      <c r="B67" s="163" t="s">
        <v>324</v>
      </c>
      <c r="O67" s="164"/>
      <c r="P67" s="165"/>
      <c r="R67" s="164"/>
      <c r="S67" s="165"/>
    </row>
    <row r="68" spans="1:19" s="170" customFormat="1" hidden="1" outlineLevel="2" x14ac:dyDescent="0.25">
      <c r="A68" s="166"/>
      <c r="B68" s="167"/>
      <c r="C68" s="166"/>
      <c r="D68" s="166"/>
      <c r="E68" s="166"/>
      <c r="F68" s="166"/>
      <c r="G68" s="166"/>
      <c r="H68" s="166"/>
      <c r="J68" s="166"/>
      <c r="K68" s="166"/>
      <c r="L68" s="166"/>
      <c r="M68" s="166"/>
      <c r="N68" s="166"/>
      <c r="O68" s="168" t="s">
        <v>319</v>
      </c>
      <c r="P68" s="169" t="s">
        <v>332</v>
      </c>
      <c r="R68" s="171"/>
      <c r="S68" s="172"/>
    </row>
    <row r="69" spans="1:19" hidden="1" outlineLevel="2" x14ac:dyDescent="0.25">
      <c r="B69" s="174" t="s">
        <v>310</v>
      </c>
      <c r="C69" s="175" t="s">
        <v>207</v>
      </c>
      <c r="O69" s="176">
        <f>O43+O49+O55+O60+O66</f>
        <v>250.01984550894639</v>
      </c>
      <c r="P69" s="177">
        <f>P43+P49+P55+P60+P66</f>
        <v>250.01984550894639</v>
      </c>
    </row>
    <row r="70" spans="1:19" hidden="1" outlineLevel="2" x14ac:dyDescent="0.25">
      <c r="B70" s="174" t="s">
        <v>321</v>
      </c>
      <c r="C70" s="175" t="s">
        <v>63</v>
      </c>
      <c r="O70" s="198">
        <f>O69/O63</f>
        <v>0.67438281679446976</v>
      </c>
      <c r="P70" s="199">
        <f>P69/P63</f>
        <v>0.67438281679446976</v>
      </c>
    </row>
    <row r="71" spans="1:19" s="159" customFormat="1" ht="14.25" customHeight="1" thickBot="1" x14ac:dyDescent="0.3">
      <c r="A71" s="156" t="s">
        <v>53</v>
      </c>
      <c r="B71" s="157"/>
      <c r="C71" s="157"/>
      <c r="D71" s="158"/>
      <c r="O71" s="160"/>
      <c r="P71" s="161"/>
      <c r="R71" s="160"/>
      <c r="S71" s="161"/>
    </row>
    <row r="72" spans="1:19" s="162" customFormat="1" hidden="1" outlineLevel="2" x14ac:dyDescent="0.25">
      <c r="B72" s="163" t="s">
        <v>759</v>
      </c>
      <c r="O72" s="164"/>
      <c r="P72" s="165"/>
      <c r="R72" s="164"/>
      <c r="S72" s="165"/>
    </row>
    <row r="73" spans="1:19" s="170" customFormat="1" hidden="1" outlineLevel="2" x14ac:dyDescent="0.25">
      <c r="A73" s="166"/>
      <c r="B73" s="167"/>
      <c r="C73" s="166"/>
      <c r="D73" s="166"/>
      <c r="E73" s="166"/>
      <c r="F73" s="166"/>
      <c r="G73" s="166"/>
      <c r="H73" s="166"/>
      <c r="J73" s="166"/>
      <c r="K73" s="166"/>
      <c r="L73" s="166"/>
      <c r="M73" s="166"/>
      <c r="N73" s="166"/>
      <c r="O73" s="168"/>
      <c r="P73" s="169"/>
      <c r="R73" s="171"/>
      <c r="S73" s="172"/>
    </row>
    <row r="74" spans="1:19" hidden="1" outlineLevel="2" x14ac:dyDescent="0.25">
      <c r="B74" s="174" t="s">
        <v>327</v>
      </c>
      <c r="C74" s="175" t="s">
        <v>326</v>
      </c>
      <c r="D74" s="186">
        <f>Daten_EZFH!$D$6*Daten_ALLG!$L$33/Daten_EZFH!$D$20</f>
        <v>0.19375192923799395</v>
      </c>
    </row>
    <row r="75" spans="1:19" hidden="1" outlineLevel="2" x14ac:dyDescent="0.25">
      <c r="B75" s="174" t="s">
        <v>328</v>
      </c>
      <c r="C75" s="175" t="s">
        <v>326</v>
      </c>
      <c r="D75" s="186">
        <f>Daten_ALLG!$L$32</f>
        <v>0.1</v>
      </c>
    </row>
    <row r="76" spans="1:19" hidden="1" outlineLevel="2" x14ac:dyDescent="0.25">
      <c r="B76" s="174" t="s">
        <v>334</v>
      </c>
      <c r="C76" s="175" t="s">
        <v>326</v>
      </c>
      <c r="D76" s="202">
        <f>D74+D75</f>
        <v>0.29375192923799398</v>
      </c>
    </row>
    <row r="77" spans="1:19" hidden="1" outlineLevel="2" x14ac:dyDescent="0.25">
      <c r="B77" s="174" t="s">
        <v>157</v>
      </c>
      <c r="C77" s="175" t="s">
        <v>13</v>
      </c>
      <c r="D77" s="202">
        <f>1-Daten_EZFH!$D$112</f>
        <v>0.97</v>
      </c>
    </row>
    <row r="78" spans="1:19" s="162" customFormat="1" hidden="1" outlineLevel="2" x14ac:dyDescent="0.25">
      <c r="B78" s="163" t="s">
        <v>760</v>
      </c>
      <c r="O78" s="164"/>
      <c r="P78" s="165"/>
      <c r="R78" s="164"/>
      <c r="S78" s="165"/>
    </row>
    <row r="79" spans="1:19" s="170" customFormat="1" hidden="1" outlineLevel="2" x14ac:dyDescent="0.25">
      <c r="A79" s="166"/>
      <c r="B79" s="167"/>
      <c r="C79" s="166"/>
      <c r="D79" s="166"/>
      <c r="E79" s="166"/>
      <c r="F79" s="166"/>
      <c r="G79" s="166"/>
      <c r="H79" s="166"/>
      <c r="J79" s="166"/>
      <c r="K79" s="166"/>
      <c r="L79" s="166"/>
      <c r="M79" s="166"/>
      <c r="N79" s="166"/>
      <c r="O79" s="168"/>
      <c r="P79" s="169"/>
      <c r="R79" s="171"/>
      <c r="S79" s="172"/>
    </row>
    <row r="80" spans="1:19" hidden="1" outlineLevel="2" x14ac:dyDescent="0.25">
      <c r="B80" s="174" t="s">
        <v>330</v>
      </c>
      <c r="C80" s="175" t="s">
        <v>326</v>
      </c>
      <c r="D80" s="186">
        <f>D74+Daten_ALLG!$D$160</f>
        <v>0.29375192923799398</v>
      </c>
    </row>
    <row r="81" spans="1:19" hidden="1" outlineLevel="2" x14ac:dyDescent="0.25">
      <c r="B81" s="174" t="s">
        <v>331</v>
      </c>
      <c r="C81" s="175" t="s">
        <v>326</v>
      </c>
      <c r="D81" s="186">
        <f>D80*(1-Daten_ALLG!$D$161)</f>
        <v>4.4062789385699103E-2</v>
      </c>
    </row>
    <row r="82" spans="1:19" hidden="1" outlineLevel="2" x14ac:dyDescent="0.25">
      <c r="B82" s="174" t="s">
        <v>328</v>
      </c>
      <c r="C82" s="175" t="s">
        <v>326</v>
      </c>
      <c r="D82" s="186">
        <f>D75</f>
        <v>0.1</v>
      </c>
    </row>
    <row r="83" spans="1:19" hidden="1" outlineLevel="2" x14ac:dyDescent="0.25">
      <c r="B83" s="174" t="s">
        <v>334</v>
      </c>
      <c r="C83" s="175" t="s">
        <v>326</v>
      </c>
      <c r="D83" s="202">
        <f>D81+D82</f>
        <v>0.14406278938569911</v>
      </c>
    </row>
    <row r="84" spans="1:19" ht="15.75" hidden="1" outlineLevel="2" thickBot="1" x14ac:dyDescent="0.3">
      <c r="B84" s="174" t="s">
        <v>157</v>
      </c>
      <c r="C84" s="175" t="s">
        <v>13</v>
      </c>
      <c r="D84" s="323">
        <f>Daten_EZFH!$D$112</f>
        <v>0.03</v>
      </c>
    </row>
    <row r="85" spans="1:19" s="162" customFormat="1" ht="15.75" outlineLevel="1" thickBot="1" x14ac:dyDescent="0.3">
      <c r="A85" s="335"/>
      <c r="B85" s="163" t="s">
        <v>329</v>
      </c>
      <c r="D85" s="335"/>
      <c r="E85" s="335"/>
      <c r="F85" s="335"/>
      <c r="O85" s="164"/>
      <c r="P85" s="165"/>
      <c r="R85" s="164" t="s">
        <v>457</v>
      </c>
      <c r="S85" s="165"/>
    </row>
    <row r="86" spans="1:19" s="170" customFormat="1" outlineLevel="1" collapsed="1" x14ac:dyDescent="0.25">
      <c r="A86" s="166"/>
      <c r="B86" s="167"/>
      <c r="C86" s="166"/>
      <c r="D86" s="166" t="s">
        <v>389</v>
      </c>
      <c r="E86" s="166" t="s">
        <v>12</v>
      </c>
      <c r="F86" s="166" t="s">
        <v>24</v>
      </c>
      <c r="G86" s="166"/>
      <c r="H86" s="166"/>
      <c r="J86" s="166"/>
      <c r="K86" s="166"/>
      <c r="L86" s="166"/>
      <c r="M86" s="166"/>
      <c r="N86" s="166"/>
      <c r="O86" s="168" t="s">
        <v>319</v>
      </c>
      <c r="P86" s="169" t="s">
        <v>332</v>
      </c>
      <c r="R86" s="171" t="s">
        <v>95</v>
      </c>
      <c r="S86" s="172" t="s">
        <v>456</v>
      </c>
    </row>
    <row r="87" spans="1:19" hidden="1" outlineLevel="2" x14ac:dyDescent="0.25">
      <c r="B87" s="174" t="s">
        <v>334</v>
      </c>
      <c r="C87" s="175" t="s">
        <v>326</v>
      </c>
      <c r="D87" s="324">
        <f>D77*D76+D84*D83</f>
        <v>0.28926125504242517</v>
      </c>
      <c r="E87" s="324">
        <f>D76</f>
        <v>0.29375192923799398</v>
      </c>
      <c r="F87" s="324">
        <f>D83</f>
        <v>0.14406278938569911</v>
      </c>
      <c r="G87" s="197"/>
      <c r="H87" s="197"/>
      <c r="J87" s="197"/>
      <c r="K87" s="197"/>
      <c r="L87" s="197"/>
      <c r="M87" s="197"/>
      <c r="N87" s="197"/>
      <c r="O87" s="325">
        <f>IF($A85&lt;&gt;"",IF($D85="V",$D87,IF($E85="V",$E87,IF($F85="V",$F87,""))),$D87)</f>
        <v>0.28926125504242517</v>
      </c>
      <c r="P87" s="199">
        <f>IF($A85&lt;&gt;"",IF($D85="N",$D87,IF($E85="N",$E87,IF($F85="N",$F87,O87))),$D87)</f>
        <v>0.28926125504242517</v>
      </c>
      <c r="R87" s="204"/>
    </row>
    <row r="88" spans="1:19" hidden="1" outlineLevel="2" x14ac:dyDescent="0.25">
      <c r="B88" s="174" t="s">
        <v>336</v>
      </c>
      <c r="C88" s="175" t="s">
        <v>207</v>
      </c>
      <c r="O88" s="176">
        <f>O87*0.34*Daten_EZFH!$D$20</f>
        <v>34.811695361937112</v>
      </c>
      <c r="P88" s="177">
        <f>P87*0.34*Daten_EZFH!$D$20</f>
        <v>34.811695361937112</v>
      </c>
      <c r="Q88" s="185" t="s">
        <v>50</v>
      </c>
      <c r="R88" s="200">
        <f>IF(F85="N",Daten_EZFH!$D$16,0)</f>
        <v>0</v>
      </c>
    </row>
    <row r="89" spans="1:19" hidden="1" outlineLevel="2" x14ac:dyDescent="0.25">
      <c r="B89" s="174" t="s">
        <v>354</v>
      </c>
      <c r="C89" s="175" t="s">
        <v>355</v>
      </c>
      <c r="D89" s="207">
        <f>D77*E89+D84*F89</f>
        <v>1.2477223793191872</v>
      </c>
      <c r="E89" s="187">
        <v>0</v>
      </c>
      <c r="F89" s="187">
        <f>Daten_ALLG!$D$162*D80*Daten_EZFH!$D$20</f>
        <v>41.590745977306241</v>
      </c>
      <c r="G89" s="188"/>
      <c r="H89" s="188"/>
      <c r="J89" s="188"/>
      <c r="K89" s="188"/>
      <c r="L89" s="188"/>
      <c r="M89" s="188"/>
      <c r="N89" s="188"/>
      <c r="O89" s="189">
        <f>IF($A85&lt;&gt;"",IF($D85="V",$D89,IF($E85="V",$E89,IF($F85="V",$F89,""))),$D89)</f>
        <v>1.2477223793191872</v>
      </c>
      <c r="P89" s="190">
        <f>IF($A85&lt;&gt;"",IF($D85="N",$D89,IF($E85="N",$E89,IF($F85="N",$F89,O89))),$D89)</f>
        <v>1.2477223793191872</v>
      </c>
    </row>
    <row r="90" spans="1:19" s="159" customFormat="1" ht="14.25" customHeight="1" outlineLevel="1" collapsed="1" x14ac:dyDescent="0.25">
      <c r="A90" s="156" t="s">
        <v>559</v>
      </c>
      <c r="B90" s="157"/>
      <c r="C90" s="157"/>
      <c r="D90" s="158"/>
      <c r="O90" s="160"/>
      <c r="P90" s="161"/>
      <c r="R90" s="160"/>
      <c r="S90" s="161"/>
    </row>
    <row r="91" spans="1:19" s="162" customFormat="1" hidden="1" outlineLevel="2" x14ac:dyDescent="0.25">
      <c r="B91" s="163" t="s">
        <v>340</v>
      </c>
      <c r="O91" s="164"/>
      <c r="P91" s="165"/>
      <c r="R91" s="164"/>
      <c r="S91" s="165"/>
    </row>
    <row r="92" spans="1:19" s="170" customFormat="1" hidden="1" outlineLevel="2" x14ac:dyDescent="0.25">
      <c r="A92" s="166"/>
      <c r="B92" s="167"/>
      <c r="C92" s="166"/>
      <c r="D92" s="166"/>
      <c r="E92" s="166"/>
      <c r="F92" s="166"/>
      <c r="G92" s="166"/>
      <c r="H92" s="166"/>
      <c r="J92" s="166"/>
      <c r="K92" s="166"/>
      <c r="L92" s="166"/>
      <c r="M92" s="166"/>
      <c r="N92" s="166"/>
      <c r="O92" s="168" t="s">
        <v>319</v>
      </c>
      <c r="P92" s="169" t="s">
        <v>332</v>
      </c>
      <c r="R92" s="171"/>
      <c r="S92" s="172"/>
    </row>
    <row r="93" spans="1:19" hidden="1" outlineLevel="2" x14ac:dyDescent="0.25">
      <c r="B93" s="174" t="s">
        <v>338</v>
      </c>
      <c r="C93" s="185" t="s">
        <v>207</v>
      </c>
      <c r="O93" s="208">
        <f>O69+O88</f>
        <v>284.83154087088349</v>
      </c>
      <c r="P93" s="209">
        <f>P69+P88</f>
        <v>284.83154087088349</v>
      </c>
    </row>
    <row r="94" spans="1:19" hidden="1" outlineLevel="2" x14ac:dyDescent="0.25">
      <c r="B94" s="174" t="s">
        <v>339</v>
      </c>
      <c r="C94" s="185" t="s">
        <v>63</v>
      </c>
      <c r="O94" s="176">
        <f>O93/Daten_EZFH!$D$16</f>
        <v>2.0117411379037664</v>
      </c>
      <c r="P94" s="177">
        <f>P93/Daten_EZFH!$D$16</f>
        <v>2.0117411379037664</v>
      </c>
    </row>
    <row r="95" spans="1:19" hidden="1" outlineLevel="2" x14ac:dyDescent="0.25">
      <c r="B95" s="174" t="s">
        <v>309</v>
      </c>
      <c r="C95" s="185" t="s">
        <v>348</v>
      </c>
      <c r="O95" s="180">
        <f>O69*($O$26-$O$17)*$O$18*24/1000</f>
        <v>20516.80785308126</v>
      </c>
      <c r="P95" s="181">
        <f>P69*(P26-P17)*P18*24/1000</f>
        <v>20516.80785308126</v>
      </c>
    </row>
    <row r="96" spans="1:19" hidden="1" outlineLevel="2" x14ac:dyDescent="0.25">
      <c r="B96" s="174" t="s">
        <v>349</v>
      </c>
      <c r="C96" s="185" t="s">
        <v>348</v>
      </c>
      <c r="O96" s="180">
        <f>O88*($O$26-$O$17)*$O$18*24/1000</f>
        <v>2856.6726906297004</v>
      </c>
      <c r="P96" s="181">
        <f>P88*($P$26-$P$17)*$P$18*24/1000</f>
        <v>2856.6726906297004</v>
      </c>
    </row>
    <row r="97" spans="1:19" s="162" customFormat="1" hidden="1" outlineLevel="2" x14ac:dyDescent="0.25">
      <c r="B97" s="163" t="s">
        <v>366</v>
      </c>
      <c r="O97" s="164"/>
      <c r="P97" s="165"/>
      <c r="R97" s="164"/>
      <c r="S97" s="165"/>
    </row>
    <row r="98" spans="1:19" s="170" customFormat="1" hidden="1" outlineLevel="2" x14ac:dyDescent="0.25">
      <c r="A98" s="166"/>
      <c r="B98" s="167"/>
      <c r="C98" s="166"/>
      <c r="D98" s="166"/>
      <c r="E98" s="166"/>
      <c r="F98" s="166"/>
      <c r="G98" s="166"/>
      <c r="H98" s="166"/>
      <c r="J98" s="166"/>
      <c r="K98" s="166"/>
      <c r="L98" s="166"/>
      <c r="M98" s="166"/>
      <c r="N98" s="166"/>
      <c r="O98" s="168" t="s">
        <v>319</v>
      </c>
      <c r="P98" s="169" t="s">
        <v>332</v>
      </c>
      <c r="R98" s="171"/>
      <c r="S98" s="172"/>
    </row>
    <row r="99" spans="1:19" hidden="1" outlineLevel="2" x14ac:dyDescent="0.25">
      <c r="B99" s="174" t="s">
        <v>369</v>
      </c>
      <c r="C99" s="185" t="s">
        <v>64</v>
      </c>
      <c r="O99" s="210">
        <f>MAX(O26,20)</f>
        <v>20</v>
      </c>
      <c r="P99" s="211">
        <f>MAX(P26,20)</f>
        <v>20</v>
      </c>
    </row>
    <row r="100" spans="1:19" hidden="1" outlineLevel="2" x14ac:dyDescent="0.25">
      <c r="B100" s="174" t="s">
        <v>367</v>
      </c>
      <c r="C100" s="185" t="s">
        <v>368</v>
      </c>
      <c r="O100" s="176">
        <f>O93*(O99-Daten_ALLG!$D$16)/1000</f>
        <v>9.1146093078682711</v>
      </c>
      <c r="P100" s="177">
        <f>P93*(P99-Daten_ALLG!$D$16)/1000</f>
        <v>9.1146093078682711</v>
      </c>
    </row>
    <row r="101" spans="1:19" hidden="1" outlineLevel="2" x14ac:dyDescent="0.25">
      <c r="B101" s="174" t="s">
        <v>535</v>
      </c>
      <c r="C101" s="185" t="s">
        <v>761</v>
      </c>
      <c r="O101" s="176">
        <f>O100*1000/Daten_EZFH!$D$16</f>
        <v>64.375716412920525</v>
      </c>
      <c r="P101" s="177">
        <f>P100*1000/Daten_EZFH!$D$16</f>
        <v>64.375716412920525</v>
      </c>
    </row>
    <row r="102" spans="1:19" s="162" customFormat="1" hidden="1" outlineLevel="2" x14ac:dyDescent="0.25">
      <c r="A102" s="212" t="str">
        <f>IF(A56="","",A56)</f>
        <v/>
      </c>
      <c r="B102" s="163" t="s">
        <v>360</v>
      </c>
      <c r="D102" s="212" t="str">
        <f>IF(D56="","",D56)</f>
        <v/>
      </c>
      <c r="E102" s="212" t="str">
        <f>IF(E56="","",E56)</f>
        <v/>
      </c>
      <c r="F102" s="212" t="str">
        <f>IF(F56="","",F56)</f>
        <v/>
      </c>
      <c r="G102" s="212" t="str">
        <f>IF(G56="","",G56)</f>
        <v/>
      </c>
      <c r="H102" s="212" t="str">
        <f>IF(H56="","",H56)</f>
        <v/>
      </c>
      <c r="O102" s="164"/>
      <c r="P102" s="165"/>
      <c r="R102" s="164"/>
      <c r="S102" s="165"/>
    </row>
    <row r="103" spans="1:19" s="170" customFormat="1" hidden="1" outlineLevel="2" x14ac:dyDescent="0.25">
      <c r="A103" s="166"/>
      <c r="B103" s="167"/>
      <c r="C103" s="166"/>
      <c r="D103" s="166" t="s">
        <v>389</v>
      </c>
      <c r="E103" s="166" t="s">
        <v>143</v>
      </c>
      <c r="F103" s="166" t="s">
        <v>65</v>
      </c>
      <c r="G103" s="166" t="s">
        <v>142</v>
      </c>
      <c r="H103" s="166" t="s">
        <v>308</v>
      </c>
      <c r="J103" s="166"/>
      <c r="K103" s="166"/>
      <c r="L103" s="166"/>
      <c r="M103" s="166"/>
      <c r="N103" s="166"/>
      <c r="O103" s="168" t="s">
        <v>319</v>
      </c>
      <c r="P103" s="169" t="s">
        <v>332</v>
      </c>
      <c r="R103" s="171"/>
      <c r="S103" s="172"/>
    </row>
    <row r="104" spans="1:19" hidden="1" outlineLevel="2" x14ac:dyDescent="0.25">
      <c r="B104" s="196" t="s">
        <v>362</v>
      </c>
      <c r="C104" s="175" t="s">
        <v>13</v>
      </c>
      <c r="D104" s="186">
        <f>D58*Daten_ALLG!$D$59+Daten_ALLG!$F$59</f>
        <v>0.63685011485009957</v>
      </c>
      <c r="E104" s="186">
        <f>E58*Daten_ALLG!$D$59+Daten_ALLG!$F$59</f>
        <v>0.6951323478858713</v>
      </c>
      <c r="F104" s="186">
        <f>F58*Daten_ALLG!$D$59+Daten_ALLG!$F$59</f>
        <v>0.58471639738741821</v>
      </c>
      <c r="G104" s="186">
        <f>G58*Daten_ALLG!$D$59+Daten_ALLG!$F$59</f>
        <v>0.55460295634238554</v>
      </c>
      <c r="H104" s="186">
        <f>H58*Daten_ALLG!$D$59+Daten_ALLG!$F$59</f>
        <v>0.51445170161567533</v>
      </c>
      <c r="J104" s="197"/>
      <c r="K104" s="197"/>
      <c r="L104" s="197"/>
      <c r="M104" s="197"/>
      <c r="N104" s="197"/>
      <c r="O104" s="198">
        <f>IF($A102&lt;&gt;"",IF($D102="V",$D104,IF($E102="V",$E104,IF($F102="V",$F104,IF($G102="V",$G104,IF($H102="V",$H104,""))))),$D104)</f>
        <v>0.63685011485009957</v>
      </c>
      <c r="P104" s="199">
        <f>IF($A102&lt;&gt;"",IF($D102="N",$D104,IF($E102="N",$E104,IF($F102="N",$F104,IF($G102="N",$G104,IF($H102="N",$H104,$O104))))),$D104)</f>
        <v>0.63685011485009957</v>
      </c>
    </row>
    <row r="105" spans="1:19" hidden="1" outlineLevel="2" x14ac:dyDescent="0.25">
      <c r="B105" s="174" t="s">
        <v>361</v>
      </c>
      <c r="C105" s="185" t="s">
        <v>348</v>
      </c>
      <c r="O105" s="180">
        <f>O104*Daten_ALLG!$D$60*O22*$D$59</f>
        <v>3692.3274184205752</v>
      </c>
      <c r="P105" s="181">
        <f>P104*Daten_ALLG!$D$60*P22*$D$59</f>
        <v>3692.3274184205752</v>
      </c>
    </row>
    <row r="106" spans="1:19" s="162" customFormat="1" hidden="1" outlineLevel="2" x14ac:dyDescent="0.25">
      <c r="B106" s="163" t="s">
        <v>363</v>
      </c>
      <c r="O106" s="164"/>
      <c r="P106" s="165"/>
      <c r="R106" s="164"/>
      <c r="S106" s="165"/>
    </row>
    <row r="107" spans="1:19" s="170" customFormat="1" hidden="1" outlineLevel="2" x14ac:dyDescent="0.25">
      <c r="A107" s="166"/>
      <c r="B107" s="167"/>
      <c r="C107" s="166"/>
      <c r="D107" s="166"/>
      <c r="E107" s="166"/>
      <c r="F107" s="166"/>
      <c r="G107" s="166"/>
      <c r="H107" s="166"/>
      <c r="J107" s="166"/>
      <c r="K107" s="166"/>
      <c r="L107" s="166"/>
      <c r="M107" s="166"/>
      <c r="N107" s="166"/>
      <c r="O107" s="168" t="s">
        <v>319</v>
      </c>
      <c r="P107" s="169" t="s">
        <v>332</v>
      </c>
      <c r="R107" s="171"/>
      <c r="S107" s="172"/>
    </row>
    <row r="108" spans="1:19" hidden="1" outlineLevel="2" x14ac:dyDescent="0.25">
      <c r="B108" s="174" t="s">
        <v>364</v>
      </c>
      <c r="C108" s="185" t="s">
        <v>348</v>
      </c>
      <c r="O108" s="180">
        <f>O18*24*Daten_ALLG!$D$55*Daten_EZFH!$D$6</f>
        <v>2736.5876464561952</v>
      </c>
      <c r="P108" s="181">
        <f>P18*24*Daten_ALLG!$D$55*Daten_EZFH!$D$6</f>
        <v>2736.5876464561952</v>
      </c>
    </row>
    <row r="109" spans="1:19" s="162" customFormat="1" hidden="1" outlineLevel="2" x14ac:dyDescent="0.25">
      <c r="B109" s="163" t="s">
        <v>395</v>
      </c>
      <c r="O109" s="164"/>
      <c r="P109" s="165"/>
      <c r="R109" s="164"/>
      <c r="S109" s="165"/>
    </row>
    <row r="110" spans="1:19" s="170" customFormat="1" hidden="1" outlineLevel="2" x14ac:dyDescent="0.25">
      <c r="A110" s="166"/>
      <c r="B110" s="167"/>
      <c r="C110" s="166"/>
      <c r="D110" s="166"/>
      <c r="E110" s="166"/>
      <c r="F110" s="166"/>
      <c r="G110" s="166"/>
      <c r="H110" s="166"/>
      <c r="J110" s="166"/>
      <c r="K110" s="166"/>
      <c r="L110" s="166"/>
      <c r="M110" s="166"/>
      <c r="N110" s="166"/>
      <c r="O110" s="168" t="s">
        <v>319</v>
      </c>
      <c r="P110" s="169" t="s">
        <v>332</v>
      </c>
      <c r="R110" s="171"/>
      <c r="S110" s="172"/>
    </row>
    <row r="111" spans="1:19" hidden="1" outlineLevel="2" x14ac:dyDescent="0.25">
      <c r="B111" s="174" t="s">
        <v>475</v>
      </c>
      <c r="C111" s="185" t="s">
        <v>348</v>
      </c>
      <c r="O111" s="180">
        <f>O166</f>
        <v>648.77403723119414</v>
      </c>
      <c r="P111" s="181">
        <f>P166</f>
        <v>648.77403723119414</v>
      </c>
    </row>
    <row r="112" spans="1:19" s="162" customFormat="1" hidden="1" outlineLevel="2" x14ac:dyDescent="0.25">
      <c r="B112" s="163" t="s">
        <v>359</v>
      </c>
      <c r="O112" s="164"/>
      <c r="P112" s="165"/>
      <c r="R112" s="164"/>
      <c r="S112" s="165"/>
    </row>
    <row r="113" spans="1:19" s="170" customFormat="1" hidden="1" outlineLevel="2" x14ac:dyDescent="0.25">
      <c r="A113" s="166"/>
      <c r="B113" s="167"/>
      <c r="C113" s="166"/>
      <c r="D113" s="166"/>
      <c r="E113" s="166"/>
      <c r="F113" s="166"/>
      <c r="G113" s="166"/>
      <c r="H113" s="166"/>
      <c r="J113" s="166"/>
      <c r="K113" s="166"/>
      <c r="L113" s="166"/>
      <c r="M113" s="166"/>
      <c r="N113" s="166"/>
      <c r="O113" s="168" t="s">
        <v>319</v>
      </c>
      <c r="P113" s="169" t="s">
        <v>332</v>
      </c>
      <c r="R113" s="171"/>
      <c r="S113" s="172"/>
    </row>
    <row r="114" spans="1:19" hidden="1" outlineLevel="2" x14ac:dyDescent="0.25">
      <c r="B114" s="174" t="s">
        <v>396</v>
      </c>
      <c r="C114" s="185" t="s">
        <v>348</v>
      </c>
      <c r="O114" s="180">
        <f>O95+O96-O105-O108-O111</f>
        <v>16295.791441602994</v>
      </c>
      <c r="P114" s="181">
        <f>P95+P96-P105-P108-P111</f>
        <v>16295.791441602994</v>
      </c>
    </row>
    <row r="115" spans="1:19" s="159" customFormat="1" ht="14.25" customHeight="1" thickBot="1" x14ac:dyDescent="0.3">
      <c r="A115" s="156" t="s">
        <v>400</v>
      </c>
      <c r="B115" s="157"/>
      <c r="C115" s="157"/>
      <c r="D115" s="158"/>
      <c r="O115" s="160"/>
      <c r="P115" s="161"/>
      <c r="R115" s="160"/>
      <c r="S115" s="161"/>
    </row>
    <row r="116" spans="1:19" s="162" customFormat="1" hidden="1" outlineLevel="2" x14ac:dyDescent="0.25">
      <c r="B116" s="163" t="s">
        <v>762</v>
      </c>
      <c r="O116" s="164"/>
      <c r="P116" s="165"/>
      <c r="R116" s="164"/>
      <c r="S116" s="165"/>
    </row>
    <row r="117" spans="1:19" s="170" customFormat="1" hidden="1" outlineLevel="2" x14ac:dyDescent="0.25">
      <c r="A117" s="166"/>
      <c r="B117" s="167"/>
      <c r="C117" s="166"/>
      <c r="D117" s="166"/>
      <c r="E117" s="166"/>
      <c r="F117" s="166"/>
      <c r="G117" s="166"/>
      <c r="H117" s="166"/>
      <c r="J117" s="166"/>
      <c r="K117" s="166"/>
      <c r="L117" s="166"/>
      <c r="M117" s="166"/>
      <c r="N117" s="166"/>
      <c r="O117" s="168"/>
      <c r="P117" s="169"/>
      <c r="R117" s="171"/>
      <c r="S117" s="172"/>
    </row>
    <row r="118" spans="1:19" hidden="1" outlineLevel="2" x14ac:dyDescent="0.25">
      <c r="B118" s="174" t="s">
        <v>390</v>
      </c>
      <c r="C118" s="185" t="s">
        <v>128</v>
      </c>
      <c r="D118" s="213">
        <f>Daten_ALLG!$D$89*Daten_EZFH!$D$16</f>
        <v>21.237688252053974</v>
      </c>
      <c r="E118" s="173" t="s">
        <v>377</v>
      </c>
    </row>
    <row r="119" spans="1:19" s="162" customFormat="1" hidden="1" outlineLevel="2" x14ac:dyDescent="0.25">
      <c r="B119" s="163" t="s">
        <v>374</v>
      </c>
      <c r="O119" s="164"/>
      <c r="P119" s="165"/>
      <c r="R119" s="164"/>
      <c r="S119" s="165"/>
    </row>
    <row r="120" spans="1:19" s="170" customFormat="1" hidden="1" outlineLevel="2" x14ac:dyDescent="0.25">
      <c r="A120" s="166"/>
      <c r="B120" s="167"/>
      <c r="C120" s="166"/>
      <c r="D120" s="166" t="s">
        <v>563</v>
      </c>
      <c r="E120" s="166" t="s">
        <v>564</v>
      </c>
      <c r="F120" s="166"/>
      <c r="G120" s="166"/>
      <c r="H120" s="166"/>
      <c r="J120" s="166"/>
      <c r="K120" s="166"/>
      <c r="L120" s="166"/>
      <c r="M120" s="166"/>
      <c r="N120" s="166"/>
      <c r="O120" s="168" t="s">
        <v>319</v>
      </c>
      <c r="P120" s="169" t="s">
        <v>332</v>
      </c>
      <c r="R120" s="171"/>
      <c r="S120" s="172"/>
    </row>
    <row r="121" spans="1:19" hidden="1" outlineLevel="2" x14ac:dyDescent="0.25">
      <c r="B121" s="174" t="s">
        <v>373</v>
      </c>
      <c r="C121" s="185" t="s">
        <v>64</v>
      </c>
      <c r="D121" s="207">
        <f>Daten_ALLG!$D$76+Daten_ALLG!$F$76*O94</f>
        <v>39.886676161615398</v>
      </c>
      <c r="E121" s="207">
        <f>Daten_ALLG!$D$76+Daten_ALLG!$F$76*P94</f>
        <v>39.886676161615398</v>
      </c>
    </row>
    <row r="122" spans="1:19" hidden="1" outlineLevel="2" x14ac:dyDescent="0.25">
      <c r="B122" s="174" t="s">
        <v>375</v>
      </c>
      <c r="C122" s="185" t="s">
        <v>348</v>
      </c>
      <c r="O122" s="180">
        <f>$D$118*Daten_ALLG!$D$88*(D121-Daten_ALLG!$D$29)*O18*24/1000</f>
        <v>950.103877867135</v>
      </c>
      <c r="P122" s="181">
        <f>$D$118*Daten_ALLG!$D$88*(E121-Daten_ALLG!$D$29)*P18*24/1000</f>
        <v>950.103877867135</v>
      </c>
    </row>
    <row r="123" spans="1:19" hidden="1" outlineLevel="2" x14ac:dyDescent="0.25">
      <c r="B123" s="174" t="s">
        <v>157</v>
      </c>
      <c r="C123" s="185" t="s">
        <v>13</v>
      </c>
      <c r="D123" s="202">
        <f>Daten_EZFH!$D$66*Daten_EZFH!$D$69</f>
        <v>0.55999999999999994</v>
      </c>
      <c r="E123" s="173" t="s">
        <v>442</v>
      </c>
    </row>
    <row r="124" spans="1:19" s="162" customFormat="1" hidden="1" outlineLevel="2" x14ac:dyDescent="0.25">
      <c r="B124" s="163" t="s">
        <v>174</v>
      </c>
      <c r="O124" s="164"/>
      <c r="P124" s="165"/>
      <c r="R124" s="164"/>
      <c r="S124" s="165"/>
    </row>
    <row r="125" spans="1:19" s="170" customFormat="1" hidden="1" outlineLevel="2" x14ac:dyDescent="0.25">
      <c r="A125" s="166"/>
      <c r="B125" s="167"/>
      <c r="C125" s="166"/>
      <c r="D125" s="166" t="s">
        <v>563</v>
      </c>
      <c r="E125" s="166" t="s">
        <v>564</v>
      </c>
      <c r="F125" s="166"/>
      <c r="G125" s="166"/>
      <c r="H125" s="166"/>
      <c r="J125" s="166"/>
      <c r="K125" s="166"/>
      <c r="L125" s="166"/>
      <c r="M125" s="166"/>
      <c r="N125" s="166"/>
      <c r="O125" s="168" t="s">
        <v>319</v>
      </c>
      <c r="P125" s="169" t="s">
        <v>332</v>
      </c>
      <c r="R125" s="171"/>
      <c r="S125" s="172"/>
    </row>
    <row r="126" spans="1:19" hidden="1" outlineLevel="2" x14ac:dyDescent="0.25">
      <c r="B126" s="174" t="s">
        <v>373</v>
      </c>
      <c r="C126" s="185" t="s">
        <v>64</v>
      </c>
      <c r="D126" s="207">
        <f>Daten_ALLG!$D$77+Daten_ALLG!$F$77*O94</f>
        <v>29.637209773622459</v>
      </c>
      <c r="E126" s="207">
        <f>Daten_ALLG!$D$77+Daten_ALLG!$F$77*P94</f>
        <v>29.637209773622459</v>
      </c>
    </row>
    <row r="127" spans="1:19" hidden="1" outlineLevel="2" x14ac:dyDescent="0.25">
      <c r="B127" s="174" t="s">
        <v>375</v>
      </c>
      <c r="C127" s="185" t="s">
        <v>348</v>
      </c>
      <c r="O127" s="180">
        <f>$D$118*Daten_ALLG!$D$88*(D126-Daten_ALLG!$D$29)*O18*24/1000</f>
        <v>587.91489984822215</v>
      </c>
      <c r="P127" s="181">
        <f>$D$118*Daten_ALLG!$D$88*(E126-Daten_ALLG!$D$29)*P18*24/1000</f>
        <v>587.91489984822215</v>
      </c>
    </row>
    <row r="128" spans="1:19" ht="15.75" hidden="1" outlineLevel="2" thickBot="1" x14ac:dyDescent="0.3">
      <c r="B128" s="174" t="s">
        <v>157</v>
      </c>
      <c r="C128" s="185" t="s">
        <v>13</v>
      </c>
      <c r="D128" s="202">
        <f>Daten_EZFH!$D$65*Daten_EZFH!$D$69</f>
        <v>0.13999999999999999</v>
      </c>
      <c r="E128" s="173" t="s">
        <v>442</v>
      </c>
    </row>
    <row r="129" spans="1:19" s="162" customFormat="1" ht="15.75" outlineLevel="1" thickBot="1" x14ac:dyDescent="0.3">
      <c r="A129" s="335"/>
      <c r="B129" s="163" t="s">
        <v>394</v>
      </c>
      <c r="D129" s="335"/>
      <c r="E129" s="335"/>
      <c r="F129" s="335"/>
      <c r="G129" s="335"/>
      <c r="O129" s="164"/>
      <c r="P129" s="165"/>
      <c r="R129" s="164"/>
      <c r="S129" s="165"/>
    </row>
    <row r="130" spans="1:19" s="170" customFormat="1" outlineLevel="1" collapsed="1" x14ac:dyDescent="0.25">
      <c r="A130" s="166"/>
      <c r="B130" s="167"/>
      <c r="C130" s="166"/>
      <c r="D130" s="166" t="s">
        <v>389</v>
      </c>
      <c r="E130" s="166" t="s">
        <v>399</v>
      </c>
      <c r="F130" s="166" t="s">
        <v>398</v>
      </c>
      <c r="G130" s="166" t="s">
        <v>441</v>
      </c>
      <c r="H130" s="166"/>
      <c r="J130" s="166"/>
      <c r="K130" s="166"/>
      <c r="L130" s="166"/>
      <c r="M130" s="166"/>
      <c r="N130" s="166"/>
      <c r="O130" s="168" t="s">
        <v>319</v>
      </c>
      <c r="P130" s="169" t="s">
        <v>332</v>
      </c>
      <c r="R130" s="171"/>
      <c r="S130" s="172"/>
    </row>
    <row r="131" spans="1:19" hidden="1" outlineLevel="2" x14ac:dyDescent="0.25">
      <c r="B131" s="196" t="s">
        <v>397</v>
      </c>
      <c r="C131" s="185" t="s">
        <v>348</v>
      </c>
      <c r="D131" s="187">
        <f>$D$123*E131+$D$128*F131</f>
        <v>614.36625758434673</v>
      </c>
      <c r="E131" s="214">
        <f>O122</f>
        <v>950.103877867135</v>
      </c>
      <c r="F131" s="214">
        <f>O127</f>
        <v>587.91489984822215</v>
      </c>
      <c r="G131" s="214">
        <v>0</v>
      </c>
      <c r="H131" s="215"/>
      <c r="I131" s="197"/>
      <c r="J131" s="197"/>
      <c r="K131" s="197"/>
      <c r="L131" s="197"/>
      <c r="M131" s="197"/>
      <c r="N131" s="197"/>
      <c r="O131" s="216">
        <f>IF($A129&lt;&gt;"",IF($D129="V",$D131,IF($E129="V",$E131,IF($F129="V",$F131,IF($G129="V",$G131,"")))),$D131)</f>
        <v>614.36625758434673</v>
      </c>
      <c r="P131" s="217">
        <f>IF($A129&lt;&gt;"",IF($D129="N",$D132,IF($E129="N",$E132,IF($F129="N",$F132,IF($G129="N",$G132,SUMPRODUCT(D132:G132,D133:G133))))),$D132)</f>
        <v>614.36625758434673</v>
      </c>
    </row>
    <row r="132" spans="1:19" hidden="1" outlineLevel="2" x14ac:dyDescent="0.25">
      <c r="C132" s="185" t="s">
        <v>348</v>
      </c>
      <c r="D132" s="187">
        <f>$D$123*E132+$D$128*F132</f>
        <v>614.36625758434673</v>
      </c>
      <c r="E132" s="214">
        <f>P122</f>
        <v>950.103877867135</v>
      </c>
      <c r="F132" s="214">
        <f>P127</f>
        <v>587.91489984822215</v>
      </c>
      <c r="G132" s="214">
        <v>0</v>
      </c>
      <c r="H132" s="174"/>
    </row>
    <row r="133" spans="1:19" hidden="1" outlineLevel="2" x14ac:dyDescent="0.25">
      <c r="C133" s="185"/>
      <c r="D133" s="218">
        <f>IF(D129="V",1,0)</f>
        <v>0</v>
      </c>
      <c r="E133" s="218">
        <f t="shared" ref="E133:G133" si="3">IF(E129="V",1,0)</f>
        <v>0</v>
      </c>
      <c r="F133" s="218">
        <f t="shared" si="3"/>
        <v>0</v>
      </c>
      <c r="G133" s="218">
        <f t="shared" si="3"/>
        <v>0</v>
      </c>
      <c r="H133" s="174"/>
    </row>
    <row r="134" spans="1:19" hidden="1" outlineLevel="2" x14ac:dyDescent="0.25">
      <c r="B134" s="174" t="s">
        <v>373</v>
      </c>
      <c r="C134" s="185" t="s">
        <v>64</v>
      </c>
      <c r="D134" s="207">
        <f>Daten_EZFH!$D$66*E134+Daten_EZFH!$D$65*F134</f>
        <v>37.836782884016813</v>
      </c>
      <c r="E134" s="219">
        <f>D121</f>
        <v>39.886676161615398</v>
      </c>
      <c r="F134" s="219">
        <f>D126</f>
        <v>29.637209773622459</v>
      </c>
      <c r="G134" s="220"/>
      <c r="H134" s="215"/>
      <c r="I134" s="197"/>
      <c r="J134" s="197"/>
      <c r="K134" s="197"/>
      <c r="L134" s="197"/>
      <c r="M134" s="197"/>
      <c r="N134" s="197"/>
      <c r="O134" s="208">
        <f>IF($A129&lt;&gt;"",IF($D129="V",$D134,IF($E129="V",$E134,IF($F129="V",$F134,IF($G129="V",$G134,"")))),$D134)</f>
        <v>37.836782884016813</v>
      </c>
      <c r="P134" s="209">
        <f>IF($A129&lt;&gt;"",IF($D129="N",$D135,IF($E129="N",$E135,IF($F129="N",$F135,IF($G129="N",$G135,SUMPRODUCT(D135:G135,D136:G136))))),$D135)</f>
        <v>37.836782884016813</v>
      </c>
    </row>
    <row r="135" spans="1:19" hidden="1" outlineLevel="2" x14ac:dyDescent="0.25">
      <c r="C135" s="185" t="s">
        <v>64</v>
      </c>
      <c r="D135" s="207">
        <f>Daten_EZFH!$D$66*E135+Daten_EZFH!$D$65*F135</f>
        <v>37.836782884016813</v>
      </c>
      <c r="E135" s="219">
        <f>E121</f>
        <v>39.886676161615398</v>
      </c>
      <c r="F135" s="219">
        <f>E126</f>
        <v>29.637209773622459</v>
      </c>
      <c r="G135" s="220"/>
      <c r="H135" s="174"/>
    </row>
    <row r="136" spans="1:19" hidden="1" outlineLevel="2" x14ac:dyDescent="0.25">
      <c r="C136" s="185"/>
      <c r="D136" s="218">
        <f>IF(D129="V",1,0)</f>
        <v>0</v>
      </c>
      <c r="E136" s="218">
        <f t="shared" ref="E136:F136" si="4">IF(E129="V",1,0)</f>
        <v>0</v>
      </c>
      <c r="F136" s="218">
        <f t="shared" si="4"/>
        <v>0</v>
      </c>
      <c r="G136" s="218"/>
      <c r="H136" s="174"/>
    </row>
    <row r="137" spans="1:19" s="159" customFormat="1" ht="14.25" customHeight="1" thickBot="1" x14ac:dyDescent="0.3">
      <c r="A137" s="156" t="s">
        <v>401</v>
      </c>
      <c r="B137" s="157"/>
      <c r="C137" s="157"/>
      <c r="D137" s="158"/>
      <c r="O137" s="160"/>
      <c r="P137" s="161"/>
      <c r="R137" s="160"/>
      <c r="S137" s="161"/>
    </row>
    <row r="138" spans="1:19" s="162" customFormat="1" hidden="1" outlineLevel="2" x14ac:dyDescent="0.25">
      <c r="B138" s="163" t="s">
        <v>376</v>
      </c>
      <c r="O138" s="164"/>
      <c r="P138" s="165"/>
      <c r="R138" s="164"/>
      <c r="S138" s="165"/>
    </row>
    <row r="139" spans="1:19" s="170" customFormat="1" hidden="1" outlineLevel="2" x14ac:dyDescent="0.25">
      <c r="A139" s="166"/>
      <c r="B139" s="167"/>
      <c r="C139" s="166"/>
      <c r="D139" s="166"/>
      <c r="E139" s="166"/>
      <c r="F139" s="166"/>
      <c r="G139" s="166"/>
      <c r="H139" s="166"/>
      <c r="J139" s="166"/>
      <c r="K139" s="166"/>
      <c r="L139" s="166"/>
      <c r="M139" s="166"/>
      <c r="N139" s="166"/>
      <c r="O139" s="168"/>
      <c r="P139" s="169"/>
      <c r="R139" s="171"/>
      <c r="S139" s="172"/>
    </row>
    <row r="140" spans="1:19" hidden="1" outlineLevel="2" x14ac:dyDescent="0.25">
      <c r="B140" s="174" t="s">
        <v>391</v>
      </c>
      <c r="C140" s="185" t="s">
        <v>128</v>
      </c>
      <c r="D140" s="213">
        <f>Daten_ALLG!$D$95*Daten_EZFH!$D$16</f>
        <v>7.0792294173513257</v>
      </c>
      <c r="E140" s="173" t="s">
        <v>378</v>
      </c>
      <c r="G140" s="173" t="s">
        <v>377</v>
      </c>
    </row>
    <row r="141" spans="1:19" hidden="1" outlineLevel="2" x14ac:dyDescent="0.25">
      <c r="B141" s="174" t="s">
        <v>391</v>
      </c>
      <c r="C141" s="185" t="s">
        <v>128</v>
      </c>
      <c r="D141" s="213">
        <f>Daten_ALLG!$D$94*Daten_EZFH!$D$16</f>
        <v>28.316917669405303</v>
      </c>
      <c r="E141" s="173" t="s">
        <v>378</v>
      </c>
      <c r="G141" s="173" t="s">
        <v>379</v>
      </c>
    </row>
    <row r="142" spans="1:19" hidden="1" outlineLevel="2" x14ac:dyDescent="0.25">
      <c r="B142" s="174" t="s">
        <v>391</v>
      </c>
      <c r="C142" s="185" t="s">
        <v>128</v>
      </c>
      <c r="D142" s="213">
        <f>Daten_ALLG!$D$95*Daten_ALLG!$F$95*Daten_EZFH!$D$16</f>
        <v>14.158458834702651</v>
      </c>
      <c r="E142" s="173" t="s">
        <v>380</v>
      </c>
      <c r="G142" s="173" t="s">
        <v>377</v>
      </c>
    </row>
    <row r="143" spans="1:19" hidden="1" outlineLevel="2" x14ac:dyDescent="0.25">
      <c r="B143" s="174" t="s">
        <v>391</v>
      </c>
      <c r="C143" s="185" t="s">
        <v>128</v>
      </c>
      <c r="D143" s="213">
        <f>Daten_ALLG!$D$94*Daten_ALLG!$F$94*Daten_EZFH!$D$16</f>
        <v>36.811992970226896</v>
      </c>
      <c r="E143" s="173" t="s">
        <v>380</v>
      </c>
      <c r="G143" s="173" t="s">
        <v>379</v>
      </c>
    </row>
    <row r="144" spans="1:19" hidden="1" outlineLevel="2" x14ac:dyDescent="0.25">
      <c r="B144" s="174" t="s">
        <v>391</v>
      </c>
      <c r="C144" s="185" t="s">
        <v>128</v>
      </c>
      <c r="D144" s="213">
        <f>Daten_ALLG!$D$93*D118</f>
        <v>2.1237688252053974</v>
      </c>
      <c r="E144" s="173" t="s">
        <v>189</v>
      </c>
    </row>
    <row r="145" spans="1:19" s="162" customFormat="1" hidden="1" outlineLevel="2" x14ac:dyDescent="0.25">
      <c r="B145" s="163" t="s">
        <v>383</v>
      </c>
      <c r="O145" s="164"/>
      <c r="P145" s="165"/>
      <c r="R145" s="164"/>
      <c r="S145" s="165"/>
    </row>
    <row r="146" spans="1:19" s="170" customFormat="1" hidden="1" outlineLevel="2" x14ac:dyDescent="0.25">
      <c r="A146" s="166"/>
      <c r="B146" s="167"/>
      <c r="C146" s="166"/>
      <c r="D146" s="166"/>
      <c r="E146" s="166"/>
      <c r="F146" s="166"/>
      <c r="G146" s="166"/>
      <c r="H146" s="166"/>
      <c r="J146" s="166"/>
      <c r="K146" s="166"/>
      <c r="L146" s="166"/>
      <c r="M146" s="166"/>
      <c r="N146" s="166"/>
      <c r="O146" s="168" t="s">
        <v>319</v>
      </c>
      <c r="P146" s="169" t="s">
        <v>332</v>
      </c>
      <c r="R146" s="171"/>
      <c r="S146" s="172"/>
    </row>
    <row r="147" spans="1:19" hidden="1" outlineLevel="2" x14ac:dyDescent="0.25">
      <c r="B147" s="174" t="s">
        <v>375</v>
      </c>
      <c r="C147" s="185" t="s">
        <v>348</v>
      </c>
      <c r="O147" s="180">
        <f>$D$144*Daten_ALLG!$D$92*(Daten_ALLG!$D$39-O26)*8.76</f>
        <v>40.867937255431336</v>
      </c>
      <c r="P147" s="181">
        <f>$D$144*Daten_ALLG!$D$92*(Daten_ALLG!$D$39-P26)*8.76</f>
        <v>40.867937255431336</v>
      </c>
    </row>
    <row r="148" spans="1:19" hidden="1" outlineLevel="2" x14ac:dyDescent="0.25">
      <c r="B148" s="174" t="s">
        <v>157</v>
      </c>
      <c r="C148" s="185" t="s">
        <v>13</v>
      </c>
      <c r="D148" s="202">
        <f>Daten_EZFH!$D$73</f>
        <v>0.12</v>
      </c>
    </row>
    <row r="149" spans="1:19" s="162" customFormat="1" hidden="1" outlineLevel="2" x14ac:dyDescent="0.25">
      <c r="B149" s="163" t="s">
        <v>387</v>
      </c>
      <c r="O149" s="164"/>
      <c r="P149" s="165"/>
      <c r="R149" s="164"/>
      <c r="S149" s="165"/>
    </row>
    <row r="150" spans="1:19" s="170" customFormat="1" hidden="1" outlineLevel="2" x14ac:dyDescent="0.25">
      <c r="A150" s="166"/>
      <c r="B150" s="167"/>
      <c r="C150" s="166"/>
      <c r="D150" s="166"/>
      <c r="E150" s="166"/>
      <c r="F150" s="166"/>
      <c r="G150" s="166"/>
      <c r="H150" s="166"/>
      <c r="J150" s="166"/>
      <c r="K150" s="166"/>
      <c r="L150" s="166"/>
      <c r="M150" s="166"/>
      <c r="N150" s="166"/>
      <c r="O150" s="168" t="s">
        <v>319</v>
      </c>
      <c r="P150" s="169" t="s">
        <v>332</v>
      </c>
      <c r="R150" s="171"/>
      <c r="S150" s="172"/>
    </row>
    <row r="151" spans="1:19" hidden="1" outlineLevel="2" x14ac:dyDescent="0.25">
      <c r="B151" s="174" t="s">
        <v>382</v>
      </c>
      <c r="C151" s="185" t="s">
        <v>348</v>
      </c>
      <c r="O151" s="193">
        <f>$D$143*Daten_ALLG!$D$92*(Daten_ALLG!$D$38-O26)*8.76</f>
        <v>1998.2698127708939</v>
      </c>
      <c r="P151" s="194">
        <f>$D$143*Daten_ALLG!$D$92*(Daten_ALLG!$D$38-P26)*8.76</f>
        <v>1998.2698127708939</v>
      </c>
    </row>
    <row r="152" spans="1:19" hidden="1" outlineLevel="2" x14ac:dyDescent="0.25">
      <c r="B152" s="174" t="s">
        <v>381</v>
      </c>
      <c r="C152" s="185" t="s">
        <v>348</v>
      </c>
      <c r="O152" s="221">
        <f>$D$142*Daten_ALLG!$D$92*(Daten_ALLG!$D$38-Daten_ALLG!$D$29)*8.76</f>
        <v>917.80793550076476</v>
      </c>
      <c r="P152" s="222">
        <f>$D$142*Daten_ALLG!$D$92*(Daten_ALLG!$D$38-Daten_ALLG!$D$29)*8.76</f>
        <v>917.80793550076476</v>
      </c>
    </row>
    <row r="153" spans="1:19" hidden="1" outlineLevel="2" x14ac:dyDescent="0.25">
      <c r="B153" s="174" t="s">
        <v>375</v>
      </c>
      <c r="C153" s="185" t="s">
        <v>348</v>
      </c>
      <c r="O153" s="180">
        <f>O151+O152</f>
        <v>2916.0777482716585</v>
      </c>
      <c r="P153" s="181">
        <f>P151+P152</f>
        <v>2916.0777482716585</v>
      </c>
    </row>
    <row r="154" spans="1:19" hidden="1" outlineLevel="2" x14ac:dyDescent="0.25">
      <c r="B154" s="174" t="s">
        <v>157</v>
      </c>
      <c r="C154" s="185" t="s">
        <v>13</v>
      </c>
      <c r="D154" s="202">
        <f>Daten_EZFH!$D$74*Daten_EZFH!$D$77</f>
        <v>0.44</v>
      </c>
    </row>
    <row r="155" spans="1:19" s="162" customFormat="1" hidden="1" outlineLevel="2" x14ac:dyDescent="0.25">
      <c r="B155" s="163" t="s">
        <v>388</v>
      </c>
      <c r="O155" s="164"/>
      <c r="P155" s="165"/>
      <c r="R155" s="164"/>
      <c r="S155" s="165"/>
    </row>
    <row r="156" spans="1:19" s="170" customFormat="1" hidden="1" outlineLevel="2" x14ac:dyDescent="0.25">
      <c r="A156" s="166"/>
      <c r="B156" s="167"/>
      <c r="C156" s="166"/>
      <c r="D156" s="166"/>
      <c r="E156" s="166"/>
      <c r="F156" s="166"/>
      <c r="G156" s="166"/>
      <c r="H156" s="166"/>
      <c r="J156" s="166"/>
      <c r="K156" s="166"/>
      <c r="L156" s="166"/>
      <c r="M156" s="166"/>
      <c r="N156" s="166"/>
      <c r="O156" s="168" t="s">
        <v>319</v>
      </c>
      <c r="P156" s="169" t="s">
        <v>332</v>
      </c>
      <c r="R156" s="171"/>
      <c r="S156" s="172"/>
    </row>
    <row r="157" spans="1:19" hidden="1" outlineLevel="2" x14ac:dyDescent="0.25">
      <c r="B157" s="174" t="s">
        <v>382</v>
      </c>
      <c r="C157" s="185" t="s">
        <v>348</v>
      </c>
      <c r="O157" s="193">
        <f>$D$141*Daten_ALLG!$D$92*(Daten_ALLG!$D$39-O26)*8.76</f>
        <v>544.90583007241787</v>
      </c>
      <c r="P157" s="194">
        <f>$D$141*Daten_ALLG!$D$92*(Daten_ALLG!$D$39-P26)*8.76</f>
        <v>544.90583007241787</v>
      </c>
    </row>
    <row r="158" spans="1:19" hidden="1" outlineLevel="2" x14ac:dyDescent="0.25">
      <c r="B158" s="174" t="s">
        <v>381</v>
      </c>
      <c r="C158" s="185" t="s">
        <v>348</v>
      </c>
      <c r="O158" s="221">
        <f>$D$140*Daten_ALLG!$D$92*(Daten_ALLG!$D$39-Daten_ALLG!$D$29)*8.76</f>
        <v>210.8477689663919</v>
      </c>
      <c r="P158" s="222">
        <f>$D$140*Daten_ALLG!$D$92*(Daten_ALLG!$D$39-Daten_ALLG!$D$29)*8.76</f>
        <v>210.8477689663919</v>
      </c>
    </row>
    <row r="159" spans="1:19" hidden="1" outlineLevel="2" x14ac:dyDescent="0.25">
      <c r="B159" s="174" t="s">
        <v>375</v>
      </c>
      <c r="C159" s="185" t="s">
        <v>348</v>
      </c>
      <c r="O159" s="180">
        <f>O157+O158</f>
        <v>755.75359903880974</v>
      </c>
      <c r="P159" s="181">
        <f>P157+P158</f>
        <v>755.75359903880974</v>
      </c>
    </row>
    <row r="160" spans="1:19" ht="15.75" hidden="1" outlineLevel="2" thickBot="1" x14ac:dyDescent="0.3">
      <c r="B160" s="174" t="s">
        <v>157</v>
      </c>
      <c r="C160" s="185" t="s">
        <v>13</v>
      </c>
      <c r="D160" s="202">
        <f>Daten_EZFH!$D$74*Daten_EZFH!$D$78</f>
        <v>0.44</v>
      </c>
    </row>
    <row r="161" spans="1:19" s="162" customFormat="1" ht="15.75" outlineLevel="1" thickBot="1" x14ac:dyDescent="0.3">
      <c r="A161" s="335"/>
      <c r="B161" s="163" t="s">
        <v>568</v>
      </c>
      <c r="D161" s="335"/>
      <c r="E161" s="335"/>
      <c r="F161" s="335"/>
      <c r="G161" s="335"/>
      <c r="O161" s="164"/>
      <c r="P161" s="165"/>
      <c r="R161" s="164"/>
      <c r="S161" s="165"/>
    </row>
    <row r="162" spans="1:19" s="170" customFormat="1" outlineLevel="1" collapsed="1" x14ac:dyDescent="0.25">
      <c r="A162" s="166"/>
      <c r="B162" s="167"/>
      <c r="C162" s="166"/>
      <c r="D162" s="166" t="s">
        <v>389</v>
      </c>
      <c r="E162" s="166" t="s">
        <v>189</v>
      </c>
      <c r="F162" s="166" t="s">
        <v>393</v>
      </c>
      <c r="G162" s="166" t="s">
        <v>392</v>
      </c>
      <c r="H162" s="166"/>
      <c r="J162" s="166"/>
      <c r="K162" s="166"/>
      <c r="L162" s="166"/>
      <c r="M162" s="166"/>
      <c r="N162" s="166"/>
      <c r="O162" s="168" t="s">
        <v>319</v>
      </c>
      <c r="P162" s="169" t="s">
        <v>332</v>
      </c>
      <c r="R162" s="171"/>
      <c r="S162" s="172"/>
    </row>
    <row r="163" spans="1:19" hidden="1" outlineLevel="2" x14ac:dyDescent="0.25">
      <c r="B163" s="196" t="s">
        <v>477</v>
      </c>
      <c r="C163" s="185" t="s">
        <v>348</v>
      </c>
      <c r="D163" s="187">
        <f>$D$148*E163+$D$154*F163+$D$160*G163</f>
        <v>1620.5099452872578</v>
      </c>
      <c r="E163" s="214">
        <f>O147</f>
        <v>40.867937255431336</v>
      </c>
      <c r="F163" s="214">
        <f>O153</f>
        <v>2916.0777482716585</v>
      </c>
      <c r="G163" s="214">
        <f>O159</f>
        <v>755.75359903880974</v>
      </c>
      <c r="H163" s="215" t="s">
        <v>563</v>
      </c>
      <c r="I163" s="197"/>
      <c r="J163" s="197"/>
      <c r="K163" s="197"/>
      <c r="L163" s="197"/>
      <c r="M163" s="197"/>
      <c r="N163" s="197"/>
      <c r="O163" s="216">
        <f>IF($A161&lt;&gt;"",IF($D161="V",$D163,IF($E161="V",$E163,IF($F161="V",$F163,IF($G161="V",$G163,"")))),$D163)</f>
        <v>1620.5099452872578</v>
      </c>
      <c r="P163" s="217">
        <f>IF($A161&lt;&gt;"",IF($D161="N",$D164,IF($E161="N",$E164,IF($F161="N",$F164,IF($G161="N",$G164,SUMPRODUCT(D164:G164,D165:G165))))),$D164)</f>
        <v>1620.5099452872578</v>
      </c>
    </row>
    <row r="164" spans="1:19" hidden="1" outlineLevel="2" x14ac:dyDescent="0.25">
      <c r="C164" s="185" t="s">
        <v>348</v>
      </c>
      <c r="D164" s="187">
        <f>$D$148*E164+$D$154*F164+$D$160*G164</f>
        <v>1620.5099452872578</v>
      </c>
      <c r="E164" s="214">
        <f>P147</f>
        <v>40.867937255431336</v>
      </c>
      <c r="F164" s="214">
        <f>P153</f>
        <v>2916.0777482716585</v>
      </c>
      <c r="G164" s="214">
        <f>P159</f>
        <v>755.75359903880974</v>
      </c>
      <c r="H164" s="174" t="s">
        <v>564</v>
      </c>
    </row>
    <row r="165" spans="1:19" hidden="1" outlineLevel="2" x14ac:dyDescent="0.25">
      <c r="C165" s="185"/>
      <c r="D165" s="218">
        <f>IF(D161="V",1,0)</f>
        <v>0</v>
      </c>
      <c r="E165" s="218">
        <f t="shared" ref="E165:G165" si="5">IF(E161="V",1,0)</f>
        <v>0</v>
      </c>
      <c r="F165" s="218">
        <f t="shared" si="5"/>
        <v>0</v>
      </c>
      <c r="G165" s="218">
        <f t="shared" si="5"/>
        <v>0</v>
      </c>
      <c r="H165" s="174"/>
    </row>
    <row r="166" spans="1:19" hidden="1" outlineLevel="2" x14ac:dyDescent="0.25">
      <c r="B166" s="174" t="s">
        <v>475</v>
      </c>
      <c r="C166" s="185" t="s">
        <v>348</v>
      </c>
      <c r="D166" s="187">
        <f>O18/365*($D$148*E166+$D$154*F166+$D$160*G166)</f>
        <v>648.77403723119414</v>
      </c>
      <c r="E166" s="214">
        <f>O18/365*(O147)</f>
        <v>31.050266781028686</v>
      </c>
      <c r="F166" s="214">
        <f>O18/365*(O151)</f>
        <v>1518.2271226269561</v>
      </c>
      <c r="G166" s="214">
        <f>O18/365*(O157)</f>
        <v>414.00355708038251</v>
      </c>
      <c r="H166" s="174" t="s">
        <v>563</v>
      </c>
      <c r="O166" s="216">
        <f>IF($A161&lt;&gt;"",IF($D161="V",$D166,IF($E161="V",$E166,IF($F161="V",$F166,IF($G161="V",$G166,"")))),$D166)</f>
        <v>648.77403723119414</v>
      </c>
      <c r="P166" s="217">
        <f>IF($A161&lt;&gt;"",IF($D161="N",$D167,IF($E161="N",$E167,IF($F161="N",$F167,IF($G161="N",$G167,SUMPRODUCT(D167:G167,D168:G168))))),$D167)</f>
        <v>648.77403723119414</v>
      </c>
    </row>
    <row r="167" spans="1:19" hidden="1" outlineLevel="2" x14ac:dyDescent="0.25">
      <c r="C167" s="185" t="s">
        <v>348</v>
      </c>
      <c r="D167" s="187">
        <f>P18/365*($D$148*E167+$D$154*F167+$D$160*G167)</f>
        <v>648.77403723119414</v>
      </c>
      <c r="E167" s="214">
        <f>P18/365*(P147)</f>
        <v>31.050266781028686</v>
      </c>
      <c r="F167" s="214">
        <f>P18/365*(P151)</f>
        <v>1518.2271226269561</v>
      </c>
      <c r="G167" s="214">
        <f>P18/365*(P157)</f>
        <v>414.00355708038251</v>
      </c>
      <c r="H167" s="174" t="s">
        <v>564</v>
      </c>
    </row>
    <row r="168" spans="1:19" hidden="1" outlineLevel="2" x14ac:dyDescent="0.25">
      <c r="C168" s="185"/>
      <c r="D168" s="218">
        <f>IF(D161="V",1,0)</f>
        <v>0</v>
      </c>
      <c r="E168" s="218">
        <f t="shared" ref="E168:G168" si="6">IF(E161="V",1,0)</f>
        <v>0</v>
      </c>
      <c r="F168" s="218">
        <f t="shared" si="6"/>
        <v>0</v>
      </c>
      <c r="G168" s="218">
        <f t="shared" si="6"/>
        <v>0</v>
      </c>
      <c r="H168" s="174"/>
    </row>
    <row r="169" spans="1:19" s="159" customFormat="1" ht="14.25" customHeight="1" collapsed="1" x14ac:dyDescent="0.25">
      <c r="A169" s="156" t="s">
        <v>439</v>
      </c>
      <c r="B169" s="157"/>
      <c r="C169" s="157"/>
      <c r="D169" s="158"/>
      <c r="O169" s="160"/>
      <c r="P169" s="161"/>
      <c r="R169" s="160"/>
      <c r="S169" s="161"/>
    </row>
    <row r="170" spans="1:19" s="162" customFormat="1" hidden="1" outlineLevel="2" x14ac:dyDescent="0.25">
      <c r="B170" s="163" t="s">
        <v>414</v>
      </c>
      <c r="O170" s="164"/>
      <c r="P170" s="165"/>
      <c r="R170" s="164"/>
      <c r="S170" s="165"/>
    </row>
    <row r="171" spans="1:19" s="170" customFormat="1" hidden="1" outlineLevel="2" x14ac:dyDescent="0.25">
      <c r="A171" s="166"/>
      <c r="B171" s="167"/>
      <c r="C171" s="166"/>
      <c r="D171" s="166" t="s">
        <v>563</v>
      </c>
      <c r="E171" s="166" t="s">
        <v>564</v>
      </c>
      <c r="F171" s="166"/>
      <c r="G171" s="166"/>
      <c r="H171" s="166"/>
      <c r="J171" s="166" t="s">
        <v>563</v>
      </c>
      <c r="K171" s="166" t="s">
        <v>564</v>
      </c>
      <c r="L171" s="166"/>
      <c r="M171" s="166"/>
      <c r="N171" s="166"/>
      <c r="O171" s="168" t="s">
        <v>319</v>
      </c>
      <c r="P171" s="169" t="s">
        <v>332</v>
      </c>
      <c r="R171" s="171"/>
      <c r="S171" s="172"/>
    </row>
    <row r="172" spans="1:19" hidden="1" outlineLevel="2" x14ac:dyDescent="0.25">
      <c r="B172" s="174" t="s">
        <v>404</v>
      </c>
      <c r="C172" s="185" t="s">
        <v>64</v>
      </c>
      <c r="D172" s="214">
        <f>Daten_ALLG!$D$123</f>
        <v>-2</v>
      </c>
      <c r="G172" s="173" t="s">
        <v>838</v>
      </c>
      <c r="I172" s="185" t="s">
        <v>368</v>
      </c>
      <c r="J172" s="219">
        <f>O100</f>
        <v>9.1146093078682711</v>
      </c>
      <c r="K172" s="219">
        <f>P100</f>
        <v>9.1146093078682711</v>
      </c>
    </row>
    <row r="173" spans="1:19" hidden="1" outlineLevel="2" x14ac:dyDescent="0.25">
      <c r="B173" s="174" t="s">
        <v>405</v>
      </c>
      <c r="C173" s="185" t="s">
        <v>64</v>
      </c>
      <c r="D173" s="223">
        <f>Daten_ALLG!$D$27</f>
        <v>21</v>
      </c>
      <c r="G173" s="173" t="s">
        <v>839</v>
      </c>
      <c r="I173" s="185" t="s">
        <v>368</v>
      </c>
      <c r="J173" s="223">
        <v>0</v>
      </c>
      <c r="K173" s="223">
        <v>0</v>
      </c>
    </row>
    <row r="174" spans="1:19" hidden="1" outlineLevel="2" x14ac:dyDescent="0.25">
      <c r="B174" s="174" t="s">
        <v>406</v>
      </c>
      <c r="C174" s="185" t="s">
        <v>64</v>
      </c>
      <c r="D174" s="223">
        <f>Daten_ALLG!$D$16</f>
        <v>-12</v>
      </c>
      <c r="G174" s="173" t="s">
        <v>840</v>
      </c>
      <c r="I174" s="185" t="s">
        <v>64</v>
      </c>
      <c r="J174" s="223">
        <f>Daten_ALLG!$D$16</f>
        <v>-12</v>
      </c>
      <c r="K174" s="223">
        <f>Daten_ALLG!$D$16</f>
        <v>-12</v>
      </c>
    </row>
    <row r="175" spans="1:19" hidden="1" outlineLevel="2" x14ac:dyDescent="0.25">
      <c r="B175" s="174" t="s">
        <v>407</v>
      </c>
      <c r="C175" s="185" t="s">
        <v>64</v>
      </c>
      <c r="D175" s="214">
        <f>Daten_ALLG!$D$81+Daten_ALLG!$F$81*$O$94</f>
        <v>43.832187965326369</v>
      </c>
      <c r="E175" s="214">
        <f>Daten_ALLG!$D$81+Daten_ALLG!$F$81*$P$94</f>
        <v>43.832187965326369</v>
      </c>
      <c r="G175" s="173" t="s">
        <v>62</v>
      </c>
      <c r="I175" s="185" t="s">
        <v>64</v>
      </c>
      <c r="J175" s="219">
        <f>O16</f>
        <v>15.632466062366209</v>
      </c>
      <c r="K175" s="219">
        <f>P16</f>
        <v>15.632466062366209</v>
      </c>
    </row>
    <row r="176" spans="1:19" hidden="1" outlineLevel="2" x14ac:dyDescent="0.25">
      <c r="B176" s="174" t="s">
        <v>410</v>
      </c>
      <c r="C176" s="185" t="s">
        <v>64</v>
      </c>
      <c r="D176" s="214">
        <f>(D173-D172)*(D175-D173)/(D173-D174)+D173</f>
        <v>36.913343127348682</v>
      </c>
      <c r="E176" s="214">
        <f>(D173-D172)*(E175-D173)/(D173-D174)+D173</f>
        <v>36.913343127348682</v>
      </c>
      <c r="G176" s="173" t="s">
        <v>841</v>
      </c>
      <c r="I176" s="185" t="s">
        <v>368</v>
      </c>
      <c r="J176" s="219">
        <f>J172-(J172-J173)/(J175-J174)*($D$172-J174)</f>
        <v>5.8160946956376129</v>
      </c>
      <c r="K176" s="219">
        <f>K172-(K172-K173)/(K175-K174)*($D$172-K174)</f>
        <v>5.8160946956376129</v>
      </c>
    </row>
    <row r="177" spans="1:19" hidden="1" outlineLevel="2" x14ac:dyDescent="0.25">
      <c r="B177" s="174" t="s">
        <v>411</v>
      </c>
      <c r="C177" s="185" t="s">
        <v>13</v>
      </c>
      <c r="D177" s="191">
        <f>(273+D176+Daten_ALLG!$D$128)/(D176-D172+Daten_ALLG!$D$128-Daten_ALLG!$D$127)*Daten_ALLG!$L$135</f>
        <v>2.3270494664646977</v>
      </c>
      <c r="E177" s="191">
        <f>(273+E176+Daten_ALLG!$D$128)/(E176-D172+Daten_ALLG!$D$128-Daten_ALLG!$D$127)*Daten_ALLG!$L$135</f>
        <v>2.3270494664646977</v>
      </c>
    </row>
    <row r="178" spans="1:19" hidden="1" outlineLevel="2" x14ac:dyDescent="0.25">
      <c r="B178" s="174" t="s">
        <v>763</v>
      </c>
      <c r="C178" s="185" t="s">
        <v>13</v>
      </c>
      <c r="D178" s="191">
        <f>D176*Daten_ALLG!$F$132+Daten_ALLG!$D$132</f>
        <v>1.0347880568608852</v>
      </c>
      <c r="E178" s="191">
        <f>E176*Daten_ALLG!$F$132+Daten_ALLG!$D$132</f>
        <v>1.0347880568608852</v>
      </c>
    </row>
    <row r="179" spans="1:19" hidden="1" outlineLevel="2" x14ac:dyDescent="0.25">
      <c r="B179" s="174" t="s">
        <v>413</v>
      </c>
      <c r="C179" s="185" t="s">
        <v>13</v>
      </c>
      <c r="O179" s="224">
        <f>D177*D178/Daten_ALLG!$L$139</f>
        <v>0.90993661585722319</v>
      </c>
      <c r="P179" s="225">
        <f>E177*E178/Daten_ALLG!$L$139</f>
        <v>0.90993661585722319</v>
      </c>
    </row>
    <row r="180" spans="1:19" hidden="1" outlineLevel="2" x14ac:dyDescent="0.25">
      <c r="B180" s="174" t="s">
        <v>445</v>
      </c>
      <c r="C180" s="185" t="s">
        <v>368</v>
      </c>
      <c r="O180" s="226">
        <f>J176/O179</f>
        <v>6.3917580568603123</v>
      </c>
      <c r="P180" s="227">
        <f>K176/P179</f>
        <v>6.3917580568603123</v>
      </c>
    </row>
    <row r="181" spans="1:19" s="162" customFormat="1" hidden="1" outlineLevel="2" x14ac:dyDescent="0.25">
      <c r="B181" s="163" t="s">
        <v>415</v>
      </c>
      <c r="O181" s="164"/>
      <c r="P181" s="165"/>
      <c r="R181" s="164"/>
      <c r="S181" s="165"/>
    </row>
    <row r="182" spans="1:19" s="170" customFormat="1" hidden="1" outlineLevel="2" x14ac:dyDescent="0.25">
      <c r="A182" s="166"/>
      <c r="B182" s="167"/>
      <c r="C182" s="166"/>
      <c r="D182" s="166" t="s">
        <v>563</v>
      </c>
      <c r="E182" s="166" t="s">
        <v>564</v>
      </c>
      <c r="F182" s="166"/>
      <c r="G182" s="166"/>
      <c r="H182" s="166"/>
      <c r="J182" s="166"/>
      <c r="K182" s="166"/>
      <c r="L182" s="166"/>
      <c r="M182" s="166"/>
      <c r="N182" s="166"/>
      <c r="O182" s="168" t="s">
        <v>319</v>
      </c>
      <c r="P182" s="169" t="s">
        <v>332</v>
      </c>
      <c r="R182" s="171"/>
      <c r="S182" s="172"/>
    </row>
    <row r="183" spans="1:19" hidden="1" outlineLevel="2" x14ac:dyDescent="0.25">
      <c r="B183" s="174" t="s">
        <v>404</v>
      </c>
      <c r="C183" s="185" t="s">
        <v>64</v>
      </c>
      <c r="D183" s="214">
        <f>Daten_ALLG!$D$123</f>
        <v>-2</v>
      </c>
    </row>
    <row r="184" spans="1:19" hidden="1" outlineLevel="2" x14ac:dyDescent="0.25">
      <c r="B184" s="174" t="s">
        <v>405</v>
      </c>
      <c r="C184" s="185" t="s">
        <v>64</v>
      </c>
      <c r="D184" s="223">
        <f>Daten_ALLG!$D$27</f>
        <v>21</v>
      </c>
    </row>
    <row r="185" spans="1:19" hidden="1" outlineLevel="2" x14ac:dyDescent="0.25">
      <c r="B185" s="174" t="s">
        <v>406</v>
      </c>
      <c r="C185" s="185" t="s">
        <v>64</v>
      </c>
      <c r="D185" s="223">
        <f>Daten_ALLG!$D$16</f>
        <v>-12</v>
      </c>
    </row>
    <row r="186" spans="1:19" hidden="1" outlineLevel="2" x14ac:dyDescent="0.25">
      <c r="B186" s="174" t="s">
        <v>407</v>
      </c>
      <c r="C186" s="185" t="s">
        <v>64</v>
      </c>
      <c r="D186" s="214">
        <f>Daten_ALLG!$D$80+Daten_ALLG!$F$80*$O$94</f>
        <v>70.234822758075325</v>
      </c>
      <c r="E186" s="214">
        <f>Daten_ALLG!$D$80+Daten_ALLG!$F$80*$P$94</f>
        <v>70.234822758075325</v>
      </c>
    </row>
    <row r="187" spans="1:19" hidden="1" outlineLevel="2" x14ac:dyDescent="0.25">
      <c r="B187" s="174" t="s">
        <v>410</v>
      </c>
      <c r="C187" s="185" t="s">
        <v>64</v>
      </c>
      <c r="D187" s="214">
        <f>(D184-D183)*(D186-D184)/(D184-D185)+D184</f>
        <v>55.315179498052501</v>
      </c>
      <c r="E187" s="214">
        <f>(D184-D183)*(E186-D184)/(D184-D185)+D184</f>
        <v>55.315179498052501</v>
      </c>
    </row>
    <row r="188" spans="1:19" hidden="1" outlineLevel="2" x14ac:dyDescent="0.25">
      <c r="B188" s="174" t="s">
        <v>411</v>
      </c>
      <c r="C188" s="185" t="s">
        <v>13</v>
      </c>
      <c r="D188" s="191">
        <f>(273+D187+Daten_ALLG!$D$128)/(D187-D183+Daten_ALLG!$D$128-Daten_ALLG!$D$127)*Daten_ALLG!$L$135</f>
        <v>1.7700374355974251</v>
      </c>
      <c r="E188" s="191">
        <f>(273+E187+Daten_ALLG!$D$128)/(E187-D183+Daten_ALLG!$D$128-Daten_ALLG!$D$127)*Daten_ALLG!$L$135</f>
        <v>1.7700374355974251</v>
      </c>
    </row>
    <row r="189" spans="1:19" hidden="1" outlineLevel="2" x14ac:dyDescent="0.25">
      <c r="B189" s="174" t="s">
        <v>763</v>
      </c>
      <c r="C189" s="185" t="s">
        <v>13</v>
      </c>
      <c r="D189" s="191">
        <f>D187*Daten_ALLG!$F$132+Daten_ALLG!$D$132</f>
        <v>1.3693668999645907</v>
      </c>
      <c r="E189" s="191">
        <f>E187*Daten_ALLG!$F$132+Daten_ALLG!$D$132</f>
        <v>1.3693668999645907</v>
      </c>
    </row>
    <row r="190" spans="1:19" hidden="1" outlineLevel="2" x14ac:dyDescent="0.25">
      <c r="B190" s="174" t="s">
        <v>413</v>
      </c>
      <c r="C190" s="185" t="s">
        <v>13</v>
      </c>
      <c r="O190" s="224">
        <f>D188*D189/Daten_ALLG!$L$139</f>
        <v>0.91591758263795497</v>
      </c>
      <c r="P190" s="225">
        <f>E188*E189/Daten_ALLG!$L$139</f>
        <v>0.91591758263795497</v>
      </c>
    </row>
    <row r="191" spans="1:19" hidden="1" outlineLevel="2" x14ac:dyDescent="0.25">
      <c r="B191" s="174" t="s">
        <v>445</v>
      </c>
      <c r="C191" s="185" t="s">
        <v>368</v>
      </c>
      <c r="O191" s="226">
        <f>J176/O190</f>
        <v>6.3500197025223022</v>
      </c>
      <c r="P191" s="227">
        <f>K176/P190</f>
        <v>6.3500197025223022</v>
      </c>
    </row>
    <row r="192" spans="1:19" s="162" customFormat="1" hidden="1" outlineLevel="2" x14ac:dyDescent="0.25">
      <c r="B192" s="163" t="s">
        <v>486</v>
      </c>
      <c r="O192" s="164"/>
      <c r="P192" s="165"/>
      <c r="R192" s="164"/>
      <c r="S192" s="165"/>
    </row>
    <row r="193" spans="1:19" s="170" customFormat="1" hidden="1" outlineLevel="2" x14ac:dyDescent="0.25">
      <c r="A193" s="166"/>
      <c r="B193" s="167"/>
      <c r="C193" s="166"/>
      <c r="D193" s="166" t="s">
        <v>563</v>
      </c>
      <c r="E193" s="166" t="s">
        <v>564</v>
      </c>
      <c r="F193" s="166"/>
      <c r="G193" s="166"/>
      <c r="H193" s="166"/>
      <c r="J193" s="166"/>
      <c r="K193" s="166"/>
      <c r="L193" s="166"/>
      <c r="M193" s="166"/>
      <c r="N193" s="166"/>
      <c r="O193" s="168" t="s">
        <v>319</v>
      </c>
      <c r="P193" s="169" t="s">
        <v>332</v>
      </c>
      <c r="R193" s="171"/>
      <c r="S193" s="172"/>
    </row>
    <row r="194" spans="1:19" hidden="1" outlineLevel="2" x14ac:dyDescent="0.25">
      <c r="B194" s="174" t="s">
        <v>425</v>
      </c>
      <c r="C194" s="185" t="s">
        <v>64</v>
      </c>
      <c r="D194" s="219">
        <f>$O$17</f>
        <v>6.6868957505472872</v>
      </c>
      <c r="E194" s="219">
        <f>$P$17</f>
        <v>6.6868957505472872</v>
      </c>
    </row>
    <row r="195" spans="1:19" hidden="1" outlineLevel="2" x14ac:dyDescent="0.25">
      <c r="B195" s="174" t="s">
        <v>407</v>
      </c>
      <c r="C195" s="185" t="s">
        <v>64</v>
      </c>
      <c r="D195" s="214">
        <f>Daten_ALLG!$D$85+Daten_ALLG!$F$85*$O$94</f>
        <v>31.378267256966531</v>
      </c>
      <c r="E195" s="214">
        <f>Daten_ALLG!$D$85+Daten_ALLG!$F$85*$P$94</f>
        <v>31.378267256966531</v>
      </c>
    </row>
    <row r="196" spans="1:19" hidden="1" outlineLevel="2" x14ac:dyDescent="0.25">
      <c r="B196" s="174" t="s">
        <v>487</v>
      </c>
      <c r="C196" s="185" t="s">
        <v>13</v>
      </c>
      <c r="O196" s="224">
        <f>(273+D195+Daten_ALLG!$D$128)/(D195-D194+Daten_ALLG!$D$128-Daten_ALLG!$D$127)*Daten_ALLG!$L$135</f>
        <v>3.2801436158431665</v>
      </c>
      <c r="P196" s="225">
        <f>(273+E195+Daten_ALLG!$D$128)/(E195-E194+Daten_ALLG!$D$128-Daten_ALLG!$D$127)*Daten_ALLG!$L$135</f>
        <v>3.2801436158431665</v>
      </c>
    </row>
    <row r="197" spans="1:19" hidden="1" outlineLevel="2" x14ac:dyDescent="0.25">
      <c r="B197" s="174" t="s">
        <v>488</v>
      </c>
      <c r="C197" s="185" t="s">
        <v>13</v>
      </c>
      <c r="O197" s="228">
        <f>Daten_ALLG!$D$124*O196+(1-Daten_ALLG!$D$124)*Daten_ALLG!$L$120</f>
        <v>3.0247675308687318</v>
      </c>
      <c r="P197" s="229">
        <f>Daten_ALLG!$D$124*P196+(1-Daten_ALLG!$D$124)*Daten_ALLG!$L$120</f>
        <v>3.0247675308687318</v>
      </c>
    </row>
    <row r="198" spans="1:19" s="162" customFormat="1" hidden="1" outlineLevel="2" x14ac:dyDescent="0.25">
      <c r="B198" s="163" t="s">
        <v>489</v>
      </c>
      <c r="O198" s="164"/>
      <c r="P198" s="165"/>
      <c r="R198" s="164"/>
      <c r="S198" s="165"/>
    </row>
    <row r="199" spans="1:19" s="170" customFormat="1" hidden="1" outlineLevel="2" x14ac:dyDescent="0.25">
      <c r="A199" s="166"/>
      <c r="B199" s="167"/>
      <c r="C199" s="166"/>
      <c r="D199" s="166" t="s">
        <v>563</v>
      </c>
      <c r="E199" s="166" t="s">
        <v>564</v>
      </c>
      <c r="F199" s="166"/>
      <c r="G199" s="166"/>
      <c r="H199" s="166"/>
      <c r="J199" s="166"/>
      <c r="K199" s="166"/>
      <c r="L199" s="166"/>
      <c r="M199" s="166"/>
      <c r="N199" s="166"/>
      <c r="O199" s="168" t="s">
        <v>319</v>
      </c>
      <c r="P199" s="169" t="s">
        <v>332</v>
      </c>
      <c r="R199" s="171"/>
      <c r="S199" s="172"/>
    </row>
    <row r="200" spans="1:19" hidden="1" outlineLevel="2" x14ac:dyDescent="0.25">
      <c r="B200" s="174" t="s">
        <v>425</v>
      </c>
      <c r="C200" s="185" t="s">
        <v>64</v>
      </c>
      <c r="D200" s="219">
        <f>$O$17</f>
        <v>6.6868957505472872</v>
      </c>
      <c r="E200" s="219">
        <f>$P$17</f>
        <v>6.6868957505472872</v>
      </c>
    </row>
    <row r="201" spans="1:19" hidden="1" outlineLevel="2" x14ac:dyDescent="0.25">
      <c r="B201" s="174" t="s">
        <v>407</v>
      </c>
      <c r="C201" s="185" t="s">
        <v>64</v>
      </c>
      <c r="D201" s="214">
        <f>Daten_ALLG!$D$84+Daten_ALLG!$F$84*$O$94</f>
        <v>43.379464890034242</v>
      </c>
      <c r="E201" s="214">
        <f>Daten_ALLG!$D$84+Daten_ALLG!$F$84*$P$94</f>
        <v>43.379464890034242</v>
      </c>
    </row>
    <row r="202" spans="1:19" hidden="1" outlineLevel="2" x14ac:dyDescent="0.25">
      <c r="B202" s="174" t="s">
        <v>487</v>
      </c>
      <c r="C202" s="185" t="s">
        <v>13</v>
      </c>
      <c r="O202" s="224">
        <f>(273+D201+Daten_ALLG!$D$128)/(D201-D200+Daten_ALLG!$D$128-Daten_ALLG!$D$127)*Daten_ALLG!$L$135</f>
        <v>2.4933185730210887</v>
      </c>
      <c r="P202" s="225">
        <f>(273+E201+Daten_ALLG!$D$128)/(E201-E200+Daten_ALLG!$D$128-Daten_ALLG!$D$127)*Daten_ALLG!$L$135</f>
        <v>2.4933185730210887</v>
      </c>
    </row>
    <row r="203" spans="1:19" hidden="1" outlineLevel="2" x14ac:dyDescent="0.25">
      <c r="B203" s="174" t="s">
        <v>488</v>
      </c>
      <c r="C203" s="185" t="s">
        <v>13</v>
      </c>
      <c r="O203" s="228">
        <f>Daten_ALLG!$D$124*O202+(1-Daten_ALLG!$D$124)*Daten_ALLG!$L$120</f>
        <v>2.3260668928427268</v>
      </c>
      <c r="P203" s="229">
        <f>Daten_ALLG!$D$124*P202+(1-Daten_ALLG!$D$124)*Daten_ALLG!$L$120</f>
        <v>2.3260668928427268</v>
      </c>
    </row>
    <row r="204" spans="1:19" s="162" customFormat="1" hidden="1" outlineLevel="2" x14ac:dyDescent="0.25">
      <c r="A204" s="212" t="str">
        <f>IF(A129="","",A129)</f>
        <v/>
      </c>
      <c r="B204" s="163" t="s">
        <v>438</v>
      </c>
      <c r="D204" s="212" t="str">
        <f>IF(D129="","",D129)</f>
        <v/>
      </c>
      <c r="E204" s="212" t="str">
        <f>IF(E129="","",E129)</f>
        <v/>
      </c>
      <c r="F204" s="212" t="str">
        <f>IF(F129="","",F129)</f>
        <v/>
      </c>
      <c r="G204" s="212"/>
      <c r="O204" s="164"/>
      <c r="P204" s="165"/>
      <c r="R204" s="164"/>
      <c r="S204" s="165"/>
    </row>
    <row r="205" spans="1:19" s="170" customFormat="1" hidden="1" outlineLevel="2" x14ac:dyDescent="0.25">
      <c r="A205" s="166"/>
      <c r="B205" s="167"/>
      <c r="C205" s="166"/>
      <c r="D205" s="166" t="s">
        <v>389</v>
      </c>
      <c r="E205" s="166" t="s">
        <v>399</v>
      </c>
      <c r="F205" s="166" t="s">
        <v>398</v>
      </c>
      <c r="G205" s="166"/>
      <c r="H205" s="166"/>
      <c r="J205" s="166"/>
      <c r="K205" s="166"/>
      <c r="L205" s="166"/>
      <c r="M205" s="166"/>
      <c r="N205" s="166"/>
      <c r="O205" s="168" t="s">
        <v>319</v>
      </c>
      <c r="P205" s="169" t="s">
        <v>332</v>
      </c>
      <c r="R205" s="171"/>
      <c r="S205" s="172"/>
    </row>
    <row r="206" spans="1:19" hidden="1" outlineLevel="2" x14ac:dyDescent="0.25">
      <c r="B206" s="174" t="s">
        <v>178</v>
      </c>
      <c r="C206" s="185" t="s">
        <v>13</v>
      </c>
      <c r="D206" s="220"/>
      <c r="E206" s="191">
        <f>D123/(D123+D128)</f>
        <v>0.79999999999999993</v>
      </c>
      <c r="F206" s="191">
        <f>1-E206</f>
        <v>0.20000000000000007</v>
      </c>
      <c r="G206" s="185"/>
    </row>
    <row r="207" spans="1:19" hidden="1" outlineLevel="2" x14ac:dyDescent="0.25">
      <c r="B207" s="174" t="s">
        <v>488</v>
      </c>
      <c r="C207" s="185" t="s">
        <v>13</v>
      </c>
      <c r="D207" s="191">
        <f>$E$206*E207+$F$206*F207</f>
        <v>2.4658070204479277</v>
      </c>
      <c r="E207" s="191">
        <f>O203</f>
        <v>2.3260668928427268</v>
      </c>
      <c r="F207" s="191">
        <f>O197</f>
        <v>3.0247675308687318</v>
      </c>
      <c r="G207" s="215" t="s">
        <v>563</v>
      </c>
      <c r="O207" s="228">
        <f>IF($A204&lt;&gt;"",IF($D204="V",$D207,IF($E204="V",$E207,IF($F204="V",$F207,0))),$D207)</f>
        <v>2.4658070204479277</v>
      </c>
      <c r="P207" s="229">
        <f>IF($A204&lt;&gt;"",IF($D204="N",$D208,IF($E204="N",$E208,IF($F204="N",$F208,SUMPRODUCT(D208:F208,D209:F209)))),$D208)</f>
        <v>2.4658070204479277</v>
      </c>
    </row>
    <row r="208" spans="1:19" hidden="1" outlineLevel="2" x14ac:dyDescent="0.25">
      <c r="C208" s="185" t="s">
        <v>13</v>
      </c>
      <c r="D208" s="191">
        <f>$E$206*E208+$F$206*F208</f>
        <v>2.4658070204479277</v>
      </c>
      <c r="E208" s="191">
        <f>P203</f>
        <v>2.3260668928427268</v>
      </c>
      <c r="F208" s="191">
        <f>P197</f>
        <v>3.0247675308687318</v>
      </c>
      <c r="G208" s="174" t="s">
        <v>564</v>
      </c>
    </row>
    <row r="209" spans="1:19" hidden="1" outlineLevel="2" x14ac:dyDescent="0.25">
      <c r="C209" s="185"/>
      <c r="D209" s="218">
        <f>IF(D204="V",1,0)</f>
        <v>0</v>
      </c>
      <c r="E209" s="218">
        <f t="shared" ref="E209:F209" si="7">IF(E204="V",1,0)</f>
        <v>0</v>
      </c>
      <c r="F209" s="218">
        <f t="shared" si="7"/>
        <v>0</v>
      </c>
      <c r="G209" s="218"/>
      <c r="H209" s="174"/>
    </row>
    <row r="210" spans="1:19" hidden="1" outlineLevel="2" x14ac:dyDescent="0.25">
      <c r="B210" s="174" t="s">
        <v>420</v>
      </c>
      <c r="C210" s="185" t="s">
        <v>368</v>
      </c>
      <c r="D210" s="191">
        <f>$E$206*E210+$F$206*F210</f>
        <v>6.3583673733899042</v>
      </c>
      <c r="E210" s="191">
        <f>O191</f>
        <v>6.3500197025223022</v>
      </c>
      <c r="F210" s="191">
        <f>O180</f>
        <v>6.3917580568603123</v>
      </c>
      <c r="G210" s="215" t="s">
        <v>563</v>
      </c>
      <c r="O210" s="226">
        <f>IF($A204&lt;&gt;"",IF($D204="V",$D210,IF($E204="V",$E210,IF($F204="V",$F210,0))),$D210)</f>
        <v>6.3583673733899042</v>
      </c>
      <c r="P210" s="227">
        <f>IF($A204&lt;&gt;"",IF($D204="N",$D211,IF($E204="N",$E211,IF($F204="N",$F211,SUMPRODUCT(D211:F211,D212:F212)))),$D211)</f>
        <v>6.3583673733899042</v>
      </c>
    </row>
    <row r="211" spans="1:19" hidden="1" outlineLevel="2" x14ac:dyDescent="0.25">
      <c r="C211" s="185" t="s">
        <v>368</v>
      </c>
      <c r="D211" s="191">
        <f>$E$206*E211+$F$206*F211</f>
        <v>6.3583673733899042</v>
      </c>
      <c r="E211" s="191">
        <f>P191</f>
        <v>6.3500197025223022</v>
      </c>
      <c r="F211" s="191">
        <f>P180</f>
        <v>6.3917580568603123</v>
      </c>
      <c r="G211" s="174" t="s">
        <v>564</v>
      </c>
    </row>
    <row r="212" spans="1:19" hidden="1" outlineLevel="2" x14ac:dyDescent="0.25">
      <c r="C212" s="185"/>
      <c r="D212" s="218">
        <f>IF(D204="V",1,0)</f>
        <v>0</v>
      </c>
      <c r="E212" s="218">
        <f t="shared" ref="E212:F212" si="8">IF(E204="V",1,0)</f>
        <v>0</v>
      </c>
      <c r="F212" s="218">
        <f t="shared" si="8"/>
        <v>0</v>
      </c>
      <c r="G212" s="218"/>
      <c r="H212" s="174"/>
    </row>
    <row r="213" spans="1:19" s="162" customFormat="1" hidden="1" outlineLevel="2" x14ac:dyDescent="0.25">
      <c r="B213" s="163" t="s">
        <v>490</v>
      </c>
      <c r="O213" s="164"/>
      <c r="P213" s="165"/>
      <c r="R213" s="164"/>
      <c r="S213" s="165"/>
    </row>
    <row r="214" spans="1:19" s="170" customFormat="1" hidden="1" outlineLevel="2" x14ac:dyDescent="0.25">
      <c r="A214" s="166"/>
      <c r="B214" s="167"/>
      <c r="C214" s="166"/>
      <c r="D214" s="166"/>
      <c r="E214" s="166"/>
      <c r="F214" s="166"/>
      <c r="G214" s="166"/>
      <c r="H214" s="166"/>
      <c r="J214" s="166"/>
      <c r="K214" s="166"/>
      <c r="L214" s="166"/>
      <c r="M214" s="166"/>
      <c r="N214" s="166"/>
      <c r="O214" s="168" t="s">
        <v>319</v>
      </c>
      <c r="P214" s="169" t="s">
        <v>332</v>
      </c>
      <c r="R214" s="171"/>
      <c r="S214" s="172"/>
    </row>
    <row r="215" spans="1:19" hidden="1" outlineLevel="2" x14ac:dyDescent="0.25">
      <c r="B215" s="174" t="s">
        <v>424</v>
      </c>
      <c r="C215" s="185" t="s">
        <v>64</v>
      </c>
      <c r="D215" s="219">
        <f>Daten_ALLG!$D$7</f>
        <v>9.60602185258848</v>
      </c>
      <c r="E215" s="230"/>
    </row>
    <row r="216" spans="1:19" hidden="1" outlineLevel="2" x14ac:dyDescent="0.25">
      <c r="B216" s="174" t="s">
        <v>407</v>
      </c>
      <c r="C216" s="185" t="s">
        <v>64</v>
      </c>
      <c r="D216" s="214">
        <f>Daten_ALLG!$D$37</f>
        <v>55</v>
      </c>
      <c r="E216" s="220"/>
    </row>
    <row r="217" spans="1:19" hidden="1" outlineLevel="2" x14ac:dyDescent="0.25">
      <c r="B217" s="174" t="s">
        <v>491</v>
      </c>
      <c r="C217" s="185" t="s">
        <v>13</v>
      </c>
      <c r="O217" s="224">
        <f>(273+D216+Daten_ALLG!$D$128)/(D216-D215+Daten_ALLG!$D$128-Daten_ALLG!$D$127)*Daten_ALLG!$L$135</f>
        <v>2.1631652858141517</v>
      </c>
      <c r="P217" s="225">
        <f>(273+D216+Daten_ALLG!$D$128)/(D216-D215+Daten_ALLG!$D$128-Daten_ALLG!$D$127)*Daten_ALLG!$L$135</f>
        <v>2.1631652858141517</v>
      </c>
    </row>
    <row r="218" spans="1:19" hidden="1" outlineLevel="2" x14ac:dyDescent="0.25">
      <c r="B218" s="174" t="s">
        <v>492</v>
      </c>
      <c r="C218" s="185" t="s">
        <v>13</v>
      </c>
      <c r="O218" s="228">
        <f>Daten_ALLG!$D$124*O217+(1-Daten_ALLG!$D$124)*Daten_ALLG!$L$120</f>
        <v>2.0328907738029667</v>
      </c>
      <c r="P218" s="229">
        <f>Daten_ALLG!$D$124*P217+(1-Daten_ALLG!$D$124)*Daten_ALLG!$L$120</f>
        <v>2.0328907738029667</v>
      </c>
    </row>
    <row r="219" spans="1:19" s="159" customFormat="1" ht="14.25" customHeight="1" collapsed="1" x14ac:dyDescent="0.25">
      <c r="A219" s="156" t="s">
        <v>440</v>
      </c>
      <c r="B219" s="157"/>
      <c r="C219" s="157"/>
      <c r="D219" s="158"/>
      <c r="O219" s="160"/>
      <c r="P219" s="161"/>
      <c r="R219" s="160"/>
      <c r="S219" s="161"/>
    </row>
    <row r="220" spans="1:19" s="162" customFormat="1" hidden="1" outlineLevel="2" x14ac:dyDescent="0.25">
      <c r="B220" s="163" t="s">
        <v>417</v>
      </c>
      <c r="O220" s="164"/>
      <c r="P220" s="165"/>
      <c r="R220" s="164"/>
      <c r="S220" s="165"/>
    </row>
    <row r="221" spans="1:19" s="170" customFormat="1" hidden="1" outlineLevel="2" x14ac:dyDescent="0.25">
      <c r="A221" s="166"/>
      <c r="B221" s="167"/>
      <c r="C221" s="166"/>
      <c r="D221" s="166" t="s">
        <v>563</v>
      </c>
      <c r="E221" s="166" t="s">
        <v>564</v>
      </c>
      <c r="F221" s="166"/>
      <c r="G221" s="166"/>
      <c r="H221" s="166"/>
      <c r="J221" s="166"/>
      <c r="K221" s="166"/>
      <c r="L221" s="166"/>
      <c r="M221" s="166"/>
      <c r="N221" s="166"/>
      <c r="O221" s="168" t="s">
        <v>319</v>
      </c>
      <c r="P221" s="169" t="s">
        <v>332</v>
      </c>
      <c r="R221" s="171"/>
      <c r="S221" s="172"/>
    </row>
    <row r="222" spans="1:19" hidden="1" outlineLevel="2" x14ac:dyDescent="0.25">
      <c r="B222" s="174" t="s">
        <v>423</v>
      </c>
      <c r="C222" s="185" t="s">
        <v>64</v>
      </c>
      <c r="D222" s="223">
        <f>Daten_ALLG!$D$17</f>
        <v>-2</v>
      </c>
    </row>
    <row r="223" spans="1:19" hidden="1" outlineLevel="2" x14ac:dyDescent="0.25">
      <c r="B223" s="174" t="s">
        <v>407</v>
      </c>
      <c r="C223" s="185" t="s">
        <v>64</v>
      </c>
      <c r="D223" s="214">
        <f>Daten_ALLG!$D$81+Daten_ALLG!$F$81*$O$94</f>
        <v>43.832187965326369</v>
      </c>
      <c r="E223" s="214">
        <f>Daten_ALLG!$D$81+Daten_ALLG!$F$81*$P$94</f>
        <v>43.832187965326369</v>
      </c>
    </row>
    <row r="224" spans="1:19" hidden="1" outlineLevel="2" x14ac:dyDescent="0.25">
      <c r="B224" s="174" t="s">
        <v>416</v>
      </c>
      <c r="C224" s="185" t="s">
        <v>13</v>
      </c>
      <c r="D224" s="191">
        <f>(273+D223+Daten_ALLG!$D$128)/(D223-D222+Daten_ALLG!$D$128-Daten_ALLG!$D$127)*Daten_ALLG!$L$136</f>
        <v>2.309855088679813</v>
      </c>
      <c r="E224" s="191">
        <f>(273+E223+Daten_ALLG!$D$128)/(E223-D222+Daten_ALLG!$D$128-Daten_ALLG!$D$127)*Daten_ALLG!$L$136</f>
        <v>2.309855088679813</v>
      </c>
    </row>
    <row r="225" spans="1:19" hidden="1" outlineLevel="2" x14ac:dyDescent="0.25">
      <c r="B225" s="174" t="s">
        <v>763</v>
      </c>
      <c r="C225" s="185" t="s">
        <v>13</v>
      </c>
      <c r="D225" s="191">
        <f>D223*Daten_ALLG!$F$132+Daten_ALLG!$D$132</f>
        <v>1.1605852357332065</v>
      </c>
      <c r="E225" s="191">
        <f>E223*Daten_ALLG!$F$132+Daten_ALLG!$D$132</f>
        <v>1.1605852357332065</v>
      </c>
    </row>
    <row r="226" spans="1:19" hidden="1" outlineLevel="2" x14ac:dyDescent="0.25">
      <c r="B226" s="174" t="s">
        <v>419</v>
      </c>
      <c r="C226" s="185" t="s">
        <v>13</v>
      </c>
      <c r="O226" s="224">
        <f>D224*D225/Daten_ALLG!$L$140</f>
        <v>0.9534631897602589</v>
      </c>
      <c r="P226" s="225">
        <f>E224*E225/Daten_ALLG!$L$140</f>
        <v>0.9534631897602589</v>
      </c>
    </row>
    <row r="227" spans="1:19" hidden="1" outlineLevel="2" x14ac:dyDescent="0.25">
      <c r="B227" s="174" t="s">
        <v>445</v>
      </c>
      <c r="C227" s="185" t="s">
        <v>368</v>
      </c>
      <c r="O227" s="226">
        <f>$O$100/O226</f>
        <v>9.5594768689078293</v>
      </c>
      <c r="P227" s="227">
        <f>$P$100/P226</f>
        <v>9.5594768689078293</v>
      </c>
    </row>
    <row r="228" spans="1:19" s="162" customFormat="1" hidden="1" outlineLevel="2" x14ac:dyDescent="0.25">
      <c r="B228" s="163" t="s">
        <v>418</v>
      </c>
      <c r="O228" s="164"/>
      <c r="P228" s="165"/>
      <c r="R228" s="164"/>
      <c r="S228" s="165"/>
    </row>
    <row r="229" spans="1:19" s="170" customFormat="1" hidden="1" outlineLevel="2" x14ac:dyDescent="0.25">
      <c r="A229" s="166"/>
      <c r="B229" s="167"/>
      <c r="C229" s="166"/>
      <c r="D229" s="166" t="s">
        <v>563</v>
      </c>
      <c r="E229" s="166" t="s">
        <v>564</v>
      </c>
      <c r="F229" s="166"/>
      <c r="G229" s="166"/>
      <c r="H229" s="166"/>
      <c r="J229" s="166"/>
      <c r="K229" s="166"/>
      <c r="L229" s="166"/>
      <c r="M229" s="166"/>
      <c r="N229" s="166"/>
      <c r="O229" s="168" t="s">
        <v>319</v>
      </c>
      <c r="P229" s="169" t="s">
        <v>332</v>
      </c>
      <c r="R229" s="171"/>
      <c r="S229" s="172"/>
    </row>
    <row r="230" spans="1:19" hidden="1" outlineLevel="2" x14ac:dyDescent="0.25">
      <c r="B230" s="174" t="s">
        <v>423</v>
      </c>
      <c r="C230" s="185" t="s">
        <v>64</v>
      </c>
      <c r="D230" s="223">
        <f>Daten_ALLG!$D$17</f>
        <v>-2</v>
      </c>
    </row>
    <row r="231" spans="1:19" hidden="1" outlineLevel="2" x14ac:dyDescent="0.25">
      <c r="B231" s="174" t="s">
        <v>407</v>
      </c>
      <c r="C231" s="185" t="s">
        <v>64</v>
      </c>
      <c r="D231" s="214">
        <f>Daten_ALLG!$D$80+Daten_ALLG!$F$80*$O$94</f>
        <v>70.234822758075325</v>
      </c>
      <c r="E231" s="214">
        <f>Daten_ALLG!$D$80+Daten_ALLG!$F$80*$P$94</f>
        <v>70.234822758075325</v>
      </c>
    </row>
    <row r="232" spans="1:19" hidden="1" outlineLevel="2" x14ac:dyDescent="0.25">
      <c r="B232" s="174" t="s">
        <v>416</v>
      </c>
      <c r="C232" s="185" t="s">
        <v>13</v>
      </c>
      <c r="D232" s="191">
        <f>(273+D231+Daten_ALLG!$D$128)/(D231-D230+Daten_ALLG!$D$128-Daten_ALLG!$D$127)*Daten_ALLG!$L$136</f>
        <v>1.6780940774509061</v>
      </c>
      <c r="E232" s="191">
        <f>(273+E231+Daten_ALLG!$D$128)/(E231-D230+Daten_ALLG!$D$128-Daten_ALLG!$D$127)*Daten_ALLG!$L$136</f>
        <v>1.6780940774509061</v>
      </c>
    </row>
    <row r="233" spans="1:19" hidden="1" outlineLevel="2" x14ac:dyDescent="0.25">
      <c r="B233" s="174" t="s">
        <v>763</v>
      </c>
      <c r="C233" s="185" t="s">
        <v>13</v>
      </c>
      <c r="D233" s="191">
        <f>D231*Daten_ALLG!$F$132+Daten_ALLG!$D$132</f>
        <v>1.6406331410559143</v>
      </c>
      <c r="E233" s="191">
        <f>E231*Daten_ALLG!$F$132+Daten_ALLG!$D$132</f>
        <v>1.6406331410559143</v>
      </c>
    </row>
    <row r="234" spans="1:19" hidden="1" outlineLevel="2" x14ac:dyDescent="0.25">
      <c r="B234" s="174" t="s">
        <v>419</v>
      </c>
      <c r="C234" s="185" t="s">
        <v>13</v>
      </c>
      <c r="O234" s="224">
        <f>D232*D233/Daten_ALLG!$L$140</f>
        <v>0.97919669613607174</v>
      </c>
      <c r="P234" s="225">
        <f>E232*E233/Daten_ALLG!$L$140</f>
        <v>0.97919669613607174</v>
      </c>
    </row>
    <row r="235" spans="1:19" hidden="1" outlineLevel="2" x14ac:dyDescent="0.25">
      <c r="B235" s="174" t="s">
        <v>445</v>
      </c>
      <c r="C235" s="185" t="s">
        <v>368</v>
      </c>
      <c r="O235" s="226">
        <f>$O$100/O234</f>
        <v>9.3082516963493518</v>
      </c>
      <c r="P235" s="227">
        <f>$P$100/P234</f>
        <v>9.3082516963493518</v>
      </c>
    </row>
    <row r="236" spans="1:19" s="162" customFormat="1" hidden="1" outlineLevel="2" x14ac:dyDescent="0.25">
      <c r="B236" s="163" t="s">
        <v>493</v>
      </c>
      <c r="O236" s="164"/>
      <c r="P236" s="165"/>
      <c r="R236" s="164"/>
      <c r="S236" s="165"/>
    </row>
    <row r="237" spans="1:19" s="170" customFormat="1" hidden="1" outlineLevel="2" x14ac:dyDescent="0.25">
      <c r="A237" s="166"/>
      <c r="B237" s="167"/>
      <c r="C237" s="166"/>
      <c r="D237" s="166" t="s">
        <v>563</v>
      </c>
      <c r="E237" s="166" t="s">
        <v>564</v>
      </c>
      <c r="F237" s="166"/>
      <c r="G237" s="166"/>
      <c r="H237" s="166"/>
      <c r="J237" s="166"/>
      <c r="K237" s="166"/>
      <c r="L237" s="166"/>
      <c r="M237" s="166"/>
      <c r="N237" s="166"/>
      <c r="O237" s="168" t="s">
        <v>319</v>
      </c>
      <c r="P237" s="169" t="s">
        <v>332</v>
      </c>
      <c r="R237" s="171"/>
      <c r="S237" s="172"/>
    </row>
    <row r="238" spans="1:19" hidden="1" outlineLevel="2" x14ac:dyDescent="0.25">
      <c r="B238" s="174" t="s">
        <v>426</v>
      </c>
      <c r="C238" s="185" t="s">
        <v>64</v>
      </c>
      <c r="D238" s="219">
        <f>Daten_ALLG!$D$13</f>
        <v>8.60602185258848</v>
      </c>
      <c r="E238" s="219">
        <f>Daten_ALLG!$D$13</f>
        <v>8.60602185258848</v>
      </c>
    </row>
    <row r="239" spans="1:19" hidden="1" outlineLevel="2" x14ac:dyDescent="0.25">
      <c r="B239" s="174" t="s">
        <v>407</v>
      </c>
      <c r="C239" s="185" t="s">
        <v>64</v>
      </c>
      <c r="D239" s="214">
        <f>Daten_ALLG!$D$85+Daten_ALLG!$F$85*$O$94</f>
        <v>31.378267256966531</v>
      </c>
      <c r="E239" s="214">
        <f>Daten_ALLG!$D$85+Daten_ALLG!$F$85*$P$94</f>
        <v>31.378267256966531</v>
      </c>
    </row>
    <row r="240" spans="1:19" hidden="1" outlineLevel="2" x14ac:dyDescent="0.25">
      <c r="B240" s="174" t="s">
        <v>487</v>
      </c>
      <c r="C240" s="185" t="s">
        <v>13</v>
      </c>
      <c r="O240" s="228">
        <f>(273+D239+Daten_ALLG!$D$128)/(D239-D238+Daten_ALLG!$D$128-Daten_ALLG!$D$127)*Daten_ALLG!$L$136</f>
        <v>3.8829641015802228</v>
      </c>
      <c r="P240" s="229">
        <f>(273+E239+Daten_ALLG!$D$128)/(E239-E238+Daten_ALLG!$D$128-Daten_ALLG!$D$127)*Daten_ALLG!$L$136</f>
        <v>3.8829641015802228</v>
      </c>
    </row>
    <row r="241" spans="1:19" s="162" customFormat="1" hidden="1" outlineLevel="2" x14ac:dyDescent="0.25">
      <c r="B241" s="163" t="s">
        <v>494</v>
      </c>
      <c r="O241" s="164"/>
      <c r="P241" s="165"/>
      <c r="R241" s="164"/>
      <c r="S241" s="165"/>
    </row>
    <row r="242" spans="1:19" s="170" customFormat="1" hidden="1" outlineLevel="2" x14ac:dyDescent="0.25">
      <c r="A242" s="166"/>
      <c r="B242" s="167"/>
      <c r="C242" s="166"/>
      <c r="D242" s="166" t="s">
        <v>563</v>
      </c>
      <c r="E242" s="166" t="s">
        <v>564</v>
      </c>
      <c r="F242" s="166"/>
      <c r="G242" s="166"/>
      <c r="H242" s="166"/>
      <c r="J242" s="166"/>
      <c r="K242" s="166"/>
      <c r="L242" s="166"/>
      <c r="M242" s="166"/>
      <c r="N242" s="166"/>
      <c r="O242" s="168" t="s">
        <v>319</v>
      </c>
      <c r="P242" s="169" t="s">
        <v>332</v>
      </c>
      <c r="R242" s="171"/>
      <c r="S242" s="172"/>
    </row>
    <row r="243" spans="1:19" hidden="1" outlineLevel="2" x14ac:dyDescent="0.25">
      <c r="B243" s="174" t="s">
        <v>426</v>
      </c>
      <c r="C243" s="185" t="s">
        <v>64</v>
      </c>
      <c r="D243" s="219">
        <f>Daten_ALLG!$D$13</f>
        <v>8.60602185258848</v>
      </c>
      <c r="E243" s="219">
        <f>Daten_ALLG!$D$13</f>
        <v>8.60602185258848</v>
      </c>
    </row>
    <row r="244" spans="1:19" hidden="1" outlineLevel="2" x14ac:dyDescent="0.25">
      <c r="B244" s="174" t="s">
        <v>407</v>
      </c>
      <c r="C244" s="185" t="s">
        <v>64</v>
      </c>
      <c r="D244" s="214">
        <f>Daten_ALLG!$D$84+Daten_ALLG!$F$84*$O$94</f>
        <v>43.379464890034242</v>
      </c>
      <c r="E244" s="214">
        <f>Daten_ALLG!$D$84+Daten_ALLG!$F$84*$P$94</f>
        <v>43.379464890034242</v>
      </c>
    </row>
    <row r="245" spans="1:19" hidden="1" outlineLevel="2" x14ac:dyDescent="0.25">
      <c r="B245" s="174" t="s">
        <v>487</v>
      </c>
      <c r="C245" s="185" t="s">
        <v>13</v>
      </c>
      <c r="O245" s="228">
        <f>(273+D244+Daten_ALLG!$D$128)/(D244-D243+Daten_ALLG!$D$128-Daten_ALLG!$D$127)*Daten_ALLG!$L$136</f>
        <v>2.9029225259797586</v>
      </c>
      <c r="P245" s="229">
        <f>(273+E244+Daten_ALLG!$D$128)/(E244-E243+Daten_ALLG!$D$128-Daten_ALLG!$D$127)*Daten_ALLG!$L$136</f>
        <v>2.9029225259797586</v>
      </c>
    </row>
    <row r="246" spans="1:19" s="162" customFormat="1" hidden="1" outlineLevel="2" x14ac:dyDescent="0.25">
      <c r="A246" s="212" t="str">
        <f>IF(A129="","",A129)</f>
        <v/>
      </c>
      <c r="B246" s="163" t="s">
        <v>438</v>
      </c>
      <c r="D246" s="212" t="str">
        <f>IF(D129="","",D129)</f>
        <v/>
      </c>
      <c r="E246" s="212" t="str">
        <f>IF(E129="","",E129)</f>
        <v/>
      </c>
      <c r="F246" s="212" t="str">
        <f t="shared" ref="F246:G246" si="9">IF(F129="","",F129)</f>
        <v/>
      </c>
      <c r="G246" s="212" t="str">
        <f t="shared" si="9"/>
        <v/>
      </c>
      <c r="O246" s="164"/>
      <c r="P246" s="165"/>
      <c r="R246" s="164"/>
      <c r="S246" s="165"/>
    </row>
    <row r="247" spans="1:19" s="170" customFormat="1" hidden="1" outlineLevel="2" x14ac:dyDescent="0.25">
      <c r="A247" s="166"/>
      <c r="B247" s="167"/>
      <c r="C247" s="166"/>
      <c r="D247" s="166" t="s">
        <v>389</v>
      </c>
      <c r="E247" s="166" t="s">
        <v>399</v>
      </c>
      <c r="F247" s="166" t="s">
        <v>398</v>
      </c>
      <c r="G247" s="166"/>
      <c r="H247" s="166"/>
      <c r="J247" s="166"/>
      <c r="K247" s="166"/>
      <c r="L247" s="166"/>
      <c r="M247" s="166"/>
      <c r="N247" s="166"/>
      <c r="O247" s="168" t="s">
        <v>319</v>
      </c>
      <c r="P247" s="169" t="s">
        <v>332</v>
      </c>
      <c r="R247" s="171"/>
      <c r="S247" s="172"/>
    </row>
    <row r="248" spans="1:19" hidden="1" outlineLevel="2" x14ac:dyDescent="0.25">
      <c r="B248" s="174" t="s">
        <v>178</v>
      </c>
      <c r="C248" s="185" t="s">
        <v>13</v>
      </c>
      <c r="D248" s="220"/>
      <c r="E248" s="191">
        <f>D123/(D128+D123)</f>
        <v>0.79999999999999993</v>
      </c>
      <c r="F248" s="191">
        <f>1-E248</f>
        <v>0.20000000000000007</v>
      </c>
      <c r="G248" s="185"/>
    </row>
    <row r="249" spans="1:19" hidden="1" outlineLevel="2" x14ac:dyDescent="0.25">
      <c r="B249" s="174" t="s">
        <v>487</v>
      </c>
      <c r="C249" s="185" t="s">
        <v>13</v>
      </c>
      <c r="D249" s="191">
        <f>$E$206*E249+$F$206*F249</f>
        <v>3.0989308410998517</v>
      </c>
      <c r="E249" s="191">
        <f>O245</f>
        <v>2.9029225259797586</v>
      </c>
      <c r="F249" s="191">
        <f>O240</f>
        <v>3.8829641015802228</v>
      </c>
      <c r="G249" s="215" t="s">
        <v>563</v>
      </c>
      <c r="O249" s="228">
        <f>IF($A246&lt;&gt;"",IF($D246="V",$D249,IF($E246="V",$E249,IF($F246="V",$F249,0))),$D249)</f>
        <v>3.0989308410998517</v>
      </c>
      <c r="P249" s="229">
        <f>IF($A246&lt;&gt;"",IF($D246="N",$D250,IF($E246="N",$E250,IF($F246="N",$F250,SUMPRODUCT(D250:F250,D251:F251)))),$D250)</f>
        <v>3.0989308410998517</v>
      </c>
    </row>
    <row r="250" spans="1:19" hidden="1" outlineLevel="2" x14ac:dyDescent="0.25">
      <c r="C250" s="185" t="s">
        <v>13</v>
      </c>
      <c r="D250" s="191">
        <f>$E$206*E250+$F$206*F250</f>
        <v>3.0989308410998517</v>
      </c>
      <c r="E250" s="191">
        <f>P245</f>
        <v>2.9029225259797586</v>
      </c>
      <c r="F250" s="191">
        <f>P240</f>
        <v>3.8829641015802228</v>
      </c>
      <c r="G250" s="174" t="s">
        <v>564</v>
      </c>
    </row>
    <row r="251" spans="1:19" hidden="1" outlineLevel="2" x14ac:dyDescent="0.25">
      <c r="C251" s="185"/>
      <c r="D251" s="218">
        <f>IF(D246="V",1,0)</f>
        <v>0</v>
      </c>
      <c r="E251" s="218">
        <f t="shared" ref="E251:F251" si="10">IF(E246="V",1,0)</f>
        <v>0</v>
      </c>
      <c r="F251" s="218">
        <f t="shared" si="10"/>
        <v>0</v>
      </c>
      <c r="G251" s="218"/>
      <c r="H251" s="174"/>
    </row>
    <row r="252" spans="1:19" hidden="1" outlineLevel="2" x14ac:dyDescent="0.25">
      <c r="B252" s="174" t="s">
        <v>420</v>
      </c>
      <c r="C252" s="185" t="s">
        <v>368</v>
      </c>
      <c r="D252" s="191">
        <f>$E$206*E252+$F$206*F252</f>
        <v>9.3584967308610469</v>
      </c>
      <c r="E252" s="191">
        <f>O235</f>
        <v>9.3082516963493518</v>
      </c>
      <c r="F252" s="191">
        <f>O227</f>
        <v>9.5594768689078293</v>
      </c>
      <c r="G252" s="215" t="s">
        <v>563</v>
      </c>
      <c r="O252" s="226">
        <f>IF($A246&lt;&gt;"",IF($D246="V",$D252,IF($E246="V",$E252,IF($F246="V",$F252,0))),$D252)</f>
        <v>9.3584967308610469</v>
      </c>
      <c r="P252" s="227">
        <f>IF($A246&lt;&gt;"",IF($D246="N",$D253,IF($E246="N",$E253,IF($F246="N",$F253,SUMPRODUCT(D253:F253,D254:F254)))),$D253)</f>
        <v>9.3584967308610469</v>
      </c>
    </row>
    <row r="253" spans="1:19" hidden="1" outlineLevel="2" x14ac:dyDescent="0.25">
      <c r="C253" s="185" t="s">
        <v>368</v>
      </c>
      <c r="D253" s="191">
        <f>$E$206*E253+$F$206*F253</f>
        <v>9.3584967308610469</v>
      </c>
      <c r="E253" s="191">
        <f>P235</f>
        <v>9.3082516963493518</v>
      </c>
      <c r="F253" s="191">
        <f>P227</f>
        <v>9.5594768689078293</v>
      </c>
      <c r="G253" s="174" t="s">
        <v>564</v>
      </c>
    </row>
    <row r="254" spans="1:19" hidden="1" outlineLevel="2" x14ac:dyDescent="0.25">
      <c r="C254" s="185"/>
      <c r="D254" s="218">
        <f>IF(D246="V",1,0)</f>
        <v>0</v>
      </c>
      <c r="E254" s="218">
        <f t="shared" ref="E254:F254" si="11">IF(E246="V",1,0)</f>
        <v>0</v>
      </c>
      <c r="F254" s="218">
        <f t="shared" si="11"/>
        <v>0</v>
      </c>
      <c r="G254" s="218"/>
      <c r="H254" s="174"/>
    </row>
    <row r="255" spans="1:19" s="162" customFormat="1" hidden="1" outlineLevel="2" x14ac:dyDescent="0.25">
      <c r="B255" s="163" t="s">
        <v>495</v>
      </c>
      <c r="O255" s="164"/>
      <c r="P255" s="165"/>
      <c r="R255" s="164"/>
      <c r="S255" s="165"/>
    </row>
    <row r="256" spans="1:19" s="170" customFormat="1" hidden="1" outlineLevel="2" x14ac:dyDescent="0.25">
      <c r="A256" s="166"/>
      <c r="B256" s="167"/>
      <c r="C256" s="166"/>
      <c r="D256" s="166"/>
      <c r="E256" s="166"/>
      <c r="F256" s="166"/>
      <c r="G256" s="166"/>
      <c r="H256" s="166"/>
      <c r="J256" s="166"/>
      <c r="K256" s="166"/>
      <c r="L256" s="166"/>
      <c r="M256" s="166"/>
      <c r="N256" s="166"/>
      <c r="O256" s="168" t="s">
        <v>319</v>
      </c>
      <c r="P256" s="169" t="s">
        <v>332</v>
      </c>
      <c r="R256" s="171"/>
      <c r="S256" s="172"/>
    </row>
    <row r="257" spans="1:19" hidden="1" outlineLevel="2" x14ac:dyDescent="0.25">
      <c r="B257" s="174" t="s">
        <v>426</v>
      </c>
      <c r="C257" s="185" t="s">
        <v>64</v>
      </c>
      <c r="D257" s="219">
        <f>Daten_ALLG!$D$8</f>
        <v>10.60602185258848</v>
      </c>
      <c r="E257" s="230"/>
    </row>
    <row r="258" spans="1:19" hidden="1" outlineLevel="2" x14ac:dyDescent="0.25">
      <c r="B258" s="174" t="s">
        <v>407</v>
      </c>
      <c r="C258" s="185" t="s">
        <v>64</v>
      </c>
      <c r="D258" s="214">
        <f>Daten_ALLG!$D$37</f>
        <v>55</v>
      </c>
      <c r="E258" s="220"/>
    </row>
    <row r="259" spans="1:19" hidden="1" outlineLevel="2" x14ac:dyDescent="0.25">
      <c r="B259" s="174" t="s">
        <v>491</v>
      </c>
      <c r="C259" s="185" t="s">
        <v>13</v>
      </c>
      <c r="O259" s="228">
        <f>(273+D258+Daten_ALLG!$D$128)/(D258-D257+Daten_ALLG!$D$128-Daten_ALLG!$D$127)*Daten_ALLG!$L$136</f>
        <v>2.4563891605615429</v>
      </c>
      <c r="P259" s="229">
        <f>(273+D258+Daten_ALLG!$D$128)/(D258-D257+Daten_ALLG!$D$128-Daten_ALLG!$D$127)*Daten_ALLG!$L$136</f>
        <v>2.4563891605615429</v>
      </c>
    </row>
    <row r="260" spans="1:19" s="159" customFormat="1" ht="14.25" customHeight="1" collapsed="1" x14ac:dyDescent="0.25">
      <c r="A260" s="156" t="s">
        <v>428</v>
      </c>
      <c r="B260" s="157"/>
      <c r="C260" s="157"/>
      <c r="D260" s="158"/>
      <c r="O260" s="160"/>
      <c r="P260" s="161"/>
      <c r="R260" s="160"/>
      <c r="S260" s="161"/>
    </row>
    <row r="261" spans="1:19" s="162" customFormat="1" hidden="1" outlineLevel="2" x14ac:dyDescent="0.25">
      <c r="B261" s="163" t="s">
        <v>429</v>
      </c>
      <c r="O261" s="164"/>
      <c r="P261" s="165"/>
      <c r="R261" s="164"/>
      <c r="S261" s="165"/>
    </row>
    <row r="262" spans="1:19" s="170" customFormat="1" hidden="1" outlineLevel="2" x14ac:dyDescent="0.25">
      <c r="A262" s="166"/>
      <c r="B262" s="167"/>
      <c r="C262" s="166"/>
      <c r="D262" s="166"/>
      <c r="E262" s="166"/>
      <c r="F262" s="166"/>
      <c r="G262" s="166"/>
      <c r="H262" s="166"/>
      <c r="J262" s="166"/>
      <c r="K262" s="166"/>
      <c r="L262" s="166"/>
      <c r="M262" s="166"/>
      <c r="N262" s="166"/>
      <c r="O262" s="168" t="s">
        <v>319</v>
      </c>
      <c r="P262" s="169" t="s">
        <v>332</v>
      </c>
      <c r="R262" s="171"/>
      <c r="S262" s="172"/>
    </row>
    <row r="263" spans="1:19" hidden="1" outlineLevel="2" x14ac:dyDescent="0.25">
      <c r="B263" s="173" t="s">
        <v>21</v>
      </c>
      <c r="C263" s="185" t="s">
        <v>13</v>
      </c>
      <c r="O263" s="231">
        <f>Daten_ALLG!$L116</f>
        <v>0.75</v>
      </c>
      <c r="P263" s="232">
        <f>Daten_ALLG!$L116</f>
        <v>0.75</v>
      </c>
    </row>
    <row r="264" spans="1:19" hidden="1" outlineLevel="2" x14ac:dyDescent="0.25">
      <c r="B264" s="173" t="s">
        <v>402</v>
      </c>
      <c r="C264" s="185" t="s">
        <v>13</v>
      </c>
      <c r="O264" s="231">
        <f>Daten_ALLG!$L117</f>
        <v>0.8</v>
      </c>
      <c r="P264" s="232">
        <f>Daten_ALLG!$L117</f>
        <v>0.8</v>
      </c>
    </row>
    <row r="265" spans="1:19" hidden="1" outlineLevel="2" x14ac:dyDescent="0.25">
      <c r="B265" s="173" t="s">
        <v>403</v>
      </c>
      <c r="C265" s="185" t="s">
        <v>13</v>
      </c>
      <c r="O265" s="231">
        <f>Daten_ALLG!$L118</f>
        <v>0.93</v>
      </c>
      <c r="P265" s="232">
        <f>Daten_ALLG!$L118</f>
        <v>0.93</v>
      </c>
    </row>
    <row r="266" spans="1:19" hidden="1" outlineLevel="2" x14ac:dyDescent="0.25">
      <c r="B266" s="173" t="s">
        <v>8</v>
      </c>
      <c r="C266" s="185" t="s">
        <v>13</v>
      </c>
      <c r="O266" s="231">
        <f>Daten_ALLG!$L119</f>
        <v>0.99</v>
      </c>
      <c r="P266" s="232">
        <f>Daten_ALLG!$L119</f>
        <v>0.99</v>
      </c>
    </row>
    <row r="267" spans="1:19" hidden="1" outlineLevel="2" x14ac:dyDescent="0.25">
      <c r="B267" s="173" t="s">
        <v>7</v>
      </c>
      <c r="C267" s="185" t="s">
        <v>13</v>
      </c>
      <c r="O267" s="231">
        <f>Daten_ALLG!$L120</f>
        <v>1</v>
      </c>
      <c r="P267" s="232">
        <f>Daten_ALLG!$L120</f>
        <v>1</v>
      </c>
    </row>
    <row r="268" spans="1:19" s="162" customFormat="1" hidden="1" outlineLevel="2" x14ac:dyDescent="0.25">
      <c r="B268" s="163" t="s">
        <v>448</v>
      </c>
      <c r="O268" s="164"/>
      <c r="P268" s="165"/>
      <c r="R268" s="164"/>
      <c r="S268" s="165"/>
    </row>
    <row r="269" spans="1:19" s="170" customFormat="1" hidden="1" outlineLevel="2" x14ac:dyDescent="0.25">
      <c r="A269" s="166"/>
      <c r="B269" s="167"/>
      <c r="C269" s="166"/>
      <c r="D269" s="166"/>
      <c r="E269" s="166"/>
      <c r="F269" s="166"/>
      <c r="G269" s="166"/>
      <c r="H269" s="166"/>
      <c r="J269" s="166"/>
      <c r="K269" s="166"/>
      <c r="L269" s="166"/>
      <c r="M269" s="166"/>
      <c r="N269" s="166"/>
      <c r="O269" s="168" t="s">
        <v>319</v>
      </c>
      <c r="P269" s="169" t="s">
        <v>332</v>
      </c>
      <c r="R269" s="171"/>
      <c r="S269" s="172"/>
    </row>
    <row r="270" spans="1:19" hidden="1" outlineLevel="2" x14ac:dyDescent="0.25">
      <c r="B270" s="173" t="s">
        <v>21</v>
      </c>
      <c r="C270" s="185" t="s">
        <v>368</v>
      </c>
      <c r="O270" s="198">
        <f>MAX($O$100,Daten_ALLG!$D$111)</f>
        <v>9.1146093078682711</v>
      </c>
      <c r="P270" s="199">
        <f>MAX($P$100,Daten_ALLG!$D$111)</f>
        <v>9.1146093078682711</v>
      </c>
    </row>
    <row r="271" spans="1:19" hidden="1" outlineLevel="2" x14ac:dyDescent="0.25">
      <c r="B271" s="173" t="s">
        <v>402</v>
      </c>
      <c r="C271" s="185" t="s">
        <v>368</v>
      </c>
      <c r="O271" s="198">
        <f>MAX($O$100,Daten_ALLG!$D$112)</f>
        <v>10</v>
      </c>
      <c r="P271" s="199">
        <f>MAX($P$100,Daten_ALLG!$D$112)</f>
        <v>10</v>
      </c>
    </row>
    <row r="272" spans="1:19" hidden="1" outlineLevel="2" x14ac:dyDescent="0.25">
      <c r="B272" s="173" t="s">
        <v>403</v>
      </c>
      <c r="C272" s="185" t="s">
        <v>368</v>
      </c>
      <c r="O272" s="198">
        <f>MAX($O$100,Daten_ALLG!$D$113)</f>
        <v>10</v>
      </c>
      <c r="P272" s="199">
        <f>MAX($P$100,Daten_ALLG!$D$113)</f>
        <v>10</v>
      </c>
    </row>
    <row r="273" spans="1:19" hidden="1" outlineLevel="2" x14ac:dyDescent="0.25">
      <c r="B273" s="173" t="s">
        <v>8</v>
      </c>
      <c r="C273" s="185" t="s">
        <v>368</v>
      </c>
      <c r="O273" s="198">
        <f>$O$100</f>
        <v>9.1146093078682711</v>
      </c>
      <c r="P273" s="199">
        <f>$P$100</f>
        <v>9.1146093078682711</v>
      </c>
    </row>
    <row r="274" spans="1:19" hidden="1" outlineLevel="2" x14ac:dyDescent="0.25">
      <c r="B274" s="173" t="s">
        <v>7</v>
      </c>
      <c r="C274" s="185" t="s">
        <v>368</v>
      </c>
      <c r="O274" s="198">
        <f>$O$100</f>
        <v>9.1146093078682711</v>
      </c>
      <c r="P274" s="199">
        <f>$P$100</f>
        <v>9.1146093078682711</v>
      </c>
    </row>
    <row r="275" spans="1:19" s="159" customFormat="1" ht="14.25" customHeight="1" thickBot="1" x14ac:dyDescent="0.3">
      <c r="A275" s="156" t="s">
        <v>451</v>
      </c>
      <c r="B275" s="157"/>
      <c r="C275" s="157"/>
      <c r="D275" s="158"/>
      <c r="O275" s="160"/>
      <c r="P275" s="161"/>
      <c r="R275" s="160"/>
      <c r="S275" s="161"/>
    </row>
    <row r="276" spans="1:19" s="162" customFormat="1" ht="15.75" outlineLevel="1" thickBot="1" x14ac:dyDescent="0.3">
      <c r="A276" s="335"/>
      <c r="B276" s="163" t="s">
        <v>566</v>
      </c>
      <c r="D276" s="335"/>
      <c r="E276" s="335"/>
      <c r="F276" s="335"/>
      <c r="G276" s="335"/>
      <c r="H276" s="335"/>
      <c r="I276" s="335"/>
      <c r="J276" s="335"/>
      <c r="K276" s="335"/>
      <c r="L276" s="335"/>
      <c r="M276" s="335"/>
      <c r="O276" s="164"/>
      <c r="P276" s="165"/>
      <c r="R276" s="164" t="s">
        <v>457</v>
      </c>
      <c r="S276" s="165"/>
    </row>
    <row r="277" spans="1:19" s="170" customFormat="1" ht="15.75" outlineLevel="1" collapsed="1" thickBot="1" x14ac:dyDescent="0.3">
      <c r="A277" s="166"/>
      <c r="B277" s="167"/>
      <c r="C277" s="166"/>
      <c r="D277" s="166" t="s">
        <v>389</v>
      </c>
      <c r="E277" s="166" t="s">
        <v>6</v>
      </c>
      <c r="F277" s="166" t="s">
        <v>431</v>
      </c>
      <c r="G277" s="166" t="s">
        <v>432</v>
      </c>
      <c r="H277" s="166" t="s">
        <v>433</v>
      </c>
      <c r="I277" s="166" t="s">
        <v>434</v>
      </c>
      <c r="J277" s="166" t="s">
        <v>435</v>
      </c>
      <c r="K277" s="166" t="s">
        <v>7</v>
      </c>
      <c r="L277" s="166" t="s">
        <v>436</v>
      </c>
      <c r="M277" s="166" t="s">
        <v>437</v>
      </c>
      <c r="N277" s="166"/>
      <c r="O277" s="168" t="s">
        <v>319</v>
      </c>
      <c r="P277" s="169" t="s">
        <v>332</v>
      </c>
      <c r="R277" s="233" t="s">
        <v>455</v>
      </c>
      <c r="S277" s="172" t="s">
        <v>456</v>
      </c>
    </row>
    <row r="278" spans="1:19" hidden="1" outlineLevel="2" x14ac:dyDescent="0.25">
      <c r="B278" s="174" t="s">
        <v>178</v>
      </c>
      <c r="C278" s="234" t="s">
        <v>13</v>
      </c>
      <c r="E278" s="191">
        <f>Daten_EZFH!$D$82</f>
        <v>6.0999999999999999E-2</v>
      </c>
      <c r="F278" s="191">
        <f>Daten_EZFH!$D$83</f>
        <v>0.27531343283582088</v>
      </c>
      <c r="G278" s="191">
        <f>Daten_EZFH!$D$84</f>
        <v>0.2498818181818182</v>
      </c>
      <c r="H278" s="191">
        <f>Daten_EZFH!$D$85</f>
        <v>0.24118656716417913</v>
      </c>
      <c r="I278" s="191">
        <f>Daten_EZFH!$D$86</f>
        <v>3.8818181818181814E-2</v>
      </c>
      <c r="J278" s="191">
        <f>Daten_EZFH!$D$87</f>
        <v>0.04</v>
      </c>
      <c r="K278" s="191">
        <f>Daten_EZFH!$D$88</f>
        <v>3.3000000000000002E-2</v>
      </c>
      <c r="L278" s="191">
        <f>Daten_EZFH!$D$89</f>
        <v>3.7696000000000007E-2</v>
      </c>
      <c r="M278" s="191">
        <f>Daten_EZFH!$D$90</f>
        <v>2.3104000000000006E-2</v>
      </c>
    </row>
    <row r="279" spans="1:19" hidden="1" outlineLevel="2" x14ac:dyDescent="0.25">
      <c r="B279" s="174" t="s">
        <v>764</v>
      </c>
      <c r="C279" s="234" t="s">
        <v>13</v>
      </c>
      <c r="D279" s="191">
        <f>1/(E278/E279+F278/F279+G278/G279+H278/H279+I278/I279+J278/J279+K278/K279+L278/L279+M278/M279)</f>
        <v>0.88101474929286994</v>
      </c>
      <c r="E279" s="191">
        <f>O263</f>
        <v>0.75</v>
      </c>
      <c r="F279" s="191">
        <f>O264</f>
        <v>0.8</v>
      </c>
      <c r="G279" s="191">
        <f>O264</f>
        <v>0.8</v>
      </c>
      <c r="H279" s="191">
        <f>O265</f>
        <v>0.93</v>
      </c>
      <c r="I279" s="191">
        <f>O265</f>
        <v>0.93</v>
      </c>
      <c r="J279" s="191">
        <f>O266</f>
        <v>0.99</v>
      </c>
      <c r="K279" s="191">
        <f>O267</f>
        <v>1</v>
      </c>
      <c r="L279" s="191">
        <f>IF(AND(A129="x",G129="V"),1,O207)</f>
        <v>2.4658070204479277</v>
      </c>
      <c r="M279" s="191">
        <f>IF(AND(A129="x",G129="V"),1,O249)</f>
        <v>3.0989308410998517</v>
      </c>
      <c r="N279" s="215" t="s">
        <v>563</v>
      </c>
      <c r="O279" s="235">
        <f>IF($A$276&lt;&gt;"",IF($D276="V",$D279,IF($E276="V",$E279,IF($F276="V",$F279,IF($G276="V",$G279,IF($H276="V",$H279,IF($I276="V",$I279,IF($J276="V",$J279,IF($K276="V",$K279,IF($L276="V",$L279,IF($M276="V",$M279,"")))))))))),$D279)</f>
        <v>0.88101474929286994</v>
      </c>
      <c r="P279" s="236">
        <f>IF($A$276&lt;&gt;"",IF($D276="N",D280,IF($E276="N",$E280,IF($F276="N",$F280,IF($G276="N",$G280,IF($H276="N",$H280,IF($I276="N",$I280,IF($J276="N",$J280,IF($K276="N",$K280,IF($L276="N",$L280,IF($M276="N",$M280,SUMPRODUCT(D281:M281,D280:M280))))))))))),$D280)</f>
        <v>0.88101474929286994</v>
      </c>
    </row>
    <row r="280" spans="1:19" hidden="1" outlineLevel="2" x14ac:dyDescent="0.25">
      <c r="C280" s="234" t="s">
        <v>13</v>
      </c>
      <c r="D280" s="191">
        <f>1/(E278/E280+F278/F280+G278/G280+H278/H280+I278/I280+J278/J280+K278/K280+L278/L280+M278/M280)</f>
        <v>0.88101474929286994</v>
      </c>
      <c r="E280" s="191">
        <f>P263</f>
        <v>0.75</v>
      </c>
      <c r="F280" s="191">
        <f>P264</f>
        <v>0.8</v>
      </c>
      <c r="G280" s="191">
        <f>P264</f>
        <v>0.8</v>
      </c>
      <c r="H280" s="191">
        <f>P265</f>
        <v>0.93</v>
      </c>
      <c r="I280" s="191">
        <f>P265</f>
        <v>0.93</v>
      </c>
      <c r="J280" s="191">
        <f>P266</f>
        <v>0.99</v>
      </c>
      <c r="K280" s="191">
        <f>P267</f>
        <v>1</v>
      </c>
      <c r="L280" s="191">
        <f>IF(AND(A129="x",OR(G129="V",G129="N"),D129="",E129="",F129=""),1,P207)</f>
        <v>2.4658070204479277</v>
      </c>
      <c r="M280" s="191">
        <f>IF(AND(A129="x",OR(G129="V",G129="N"),D129="",E129="",F129=""),1,P249)</f>
        <v>3.0989308410998517</v>
      </c>
      <c r="N280" s="174" t="s">
        <v>564</v>
      </c>
    </row>
    <row r="281" spans="1:19" hidden="1" outlineLevel="2" x14ac:dyDescent="0.25">
      <c r="C281" s="185"/>
      <c r="D281" s="218">
        <f>IF(D276="V",1,0)</f>
        <v>0</v>
      </c>
      <c r="E281" s="218">
        <f t="shared" ref="E281:M281" si="12">IF(E276="V",1,0)</f>
        <v>0</v>
      </c>
      <c r="F281" s="218">
        <f t="shared" si="12"/>
        <v>0</v>
      </c>
      <c r="G281" s="218">
        <f t="shared" si="12"/>
        <v>0</v>
      </c>
      <c r="H281" s="218">
        <f t="shared" si="12"/>
        <v>0</v>
      </c>
      <c r="I281" s="218">
        <f t="shared" si="12"/>
        <v>0</v>
      </c>
      <c r="J281" s="218">
        <f t="shared" si="12"/>
        <v>0</v>
      </c>
      <c r="K281" s="218">
        <f t="shared" si="12"/>
        <v>0</v>
      </c>
      <c r="L281" s="218">
        <f t="shared" si="12"/>
        <v>0</v>
      </c>
      <c r="M281" s="218">
        <f t="shared" si="12"/>
        <v>0</v>
      </c>
    </row>
    <row r="282" spans="1:19" hidden="1" outlineLevel="2" x14ac:dyDescent="0.25">
      <c r="B282" s="174" t="s">
        <v>420</v>
      </c>
      <c r="C282" s="185" t="s">
        <v>368</v>
      </c>
      <c r="D282" s="191">
        <f>SUMPRODUCT(E278:M278,E282:M282)</f>
        <v>9.729261372231468</v>
      </c>
      <c r="E282" s="191">
        <f>O270</f>
        <v>9.1146093078682711</v>
      </c>
      <c r="F282" s="191">
        <f>O271</f>
        <v>10</v>
      </c>
      <c r="G282" s="191">
        <f>O271</f>
        <v>10</v>
      </c>
      <c r="H282" s="191">
        <f>O272</f>
        <v>10</v>
      </c>
      <c r="I282" s="191">
        <f>O272</f>
        <v>10</v>
      </c>
      <c r="J282" s="191">
        <f>O273</f>
        <v>9.1146093078682711</v>
      </c>
      <c r="K282" s="191">
        <f>O274</f>
        <v>9.1146093078682711</v>
      </c>
      <c r="L282" s="191">
        <f>O210</f>
        <v>6.3583673733899042</v>
      </c>
      <c r="M282" s="191">
        <f>O252</f>
        <v>9.3584967308610469</v>
      </c>
      <c r="N282" s="215" t="s">
        <v>563</v>
      </c>
      <c r="O282" s="226">
        <f>IF($A$276&lt;&gt;"",IF($D276="V",$D282,IF($E276="V",$E282,IF($F276="V",$F282,IF($G276="V",$G282,IF($H276="V",$H282,IF($I276="V",$I282,IF($J276="V",$J282,IF($K276="V",$K282,IF($L276="V",$L282,IF($M276="V",$M282,"")))))))))),$D282)</f>
        <v>9.729261372231468</v>
      </c>
      <c r="P282" s="227">
        <f>IF($A$276&lt;&gt;"",IF($D276="N",D283,IF($E276="N",$E283,IF($F276="N",$F283,IF($G276="N",$G283,IF($H276="N",$H283,IF($I276="N",$I283,IF($J276="N",$J283,IF($K276="N",$K283,IF($L276="N",$L283,IF($M276="N",$M283,SUMPRODUCT(D284:M284,D283:M283))))))))))),$D283)</f>
        <v>9.729261372231468</v>
      </c>
      <c r="Q282" s="185" t="s">
        <v>368</v>
      </c>
      <c r="R282" s="228">
        <f>P282</f>
        <v>9.729261372231468</v>
      </c>
      <c r="S282" s="229">
        <f>H283</f>
        <v>10</v>
      </c>
    </row>
    <row r="283" spans="1:19" hidden="1" outlineLevel="2" x14ac:dyDescent="0.25">
      <c r="C283" s="185" t="s">
        <v>368</v>
      </c>
      <c r="D283" s="191">
        <f>SUMPRODUCT(E278:M278,E283:M283)</f>
        <v>9.729261372231468</v>
      </c>
      <c r="E283" s="191">
        <f>P270</f>
        <v>9.1146093078682711</v>
      </c>
      <c r="F283" s="191">
        <f>P271</f>
        <v>10</v>
      </c>
      <c r="G283" s="191">
        <f>P271</f>
        <v>10</v>
      </c>
      <c r="H283" s="191">
        <f>P272</f>
        <v>10</v>
      </c>
      <c r="I283" s="191">
        <f>P272</f>
        <v>10</v>
      </c>
      <c r="J283" s="191">
        <f>P273</f>
        <v>9.1146093078682711</v>
      </c>
      <c r="K283" s="191">
        <f>P274</f>
        <v>9.1146093078682711</v>
      </c>
      <c r="L283" s="191">
        <f>P210</f>
        <v>6.3583673733899042</v>
      </c>
      <c r="M283" s="191">
        <f>P252</f>
        <v>9.3584967308610469</v>
      </c>
      <c r="N283" s="174" t="s">
        <v>564</v>
      </c>
    </row>
    <row r="284" spans="1:19" hidden="1" outlineLevel="2" x14ac:dyDescent="0.25">
      <c r="C284" s="185"/>
      <c r="D284" s="218">
        <f>IF(D276="V",1,0)</f>
        <v>0</v>
      </c>
      <c r="E284" s="218">
        <f t="shared" ref="E284:M284" si="13">IF(E276="V",1,0)</f>
        <v>0</v>
      </c>
      <c r="F284" s="218">
        <f t="shared" si="13"/>
        <v>0</v>
      </c>
      <c r="G284" s="218">
        <f t="shared" si="13"/>
        <v>0</v>
      </c>
      <c r="H284" s="218">
        <f t="shared" si="13"/>
        <v>0</v>
      </c>
      <c r="I284" s="218">
        <f t="shared" si="13"/>
        <v>0</v>
      </c>
      <c r="J284" s="218">
        <f t="shared" si="13"/>
        <v>0</v>
      </c>
      <c r="K284" s="218">
        <f t="shared" si="13"/>
        <v>0</v>
      </c>
      <c r="L284" s="218">
        <f t="shared" si="13"/>
        <v>0</v>
      </c>
      <c r="M284" s="218">
        <f t="shared" si="13"/>
        <v>0</v>
      </c>
    </row>
    <row r="285" spans="1:19" s="162" customFormat="1" hidden="1" outlineLevel="2" x14ac:dyDescent="0.25">
      <c r="B285" s="163" t="s">
        <v>673</v>
      </c>
      <c r="O285" s="164"/>
      <c r="P285" s="165"/>
      <c r="R285" s="164"/>
      <c r="S285" s="165"/>
    </row>
    <row r="286" spans="1:19" s="170" customFormat="1" hidden="1" outlineLevel="2" x14ac:dyDescent="0.25">
      <c r="A286" s="166"/>
      <c r="B286" s="167"/>
      <c r="C286" s="166"/>
      <c r="D286" s="166" t="s">
        <v>389</v>
      </c>
      <c r="E286" s="166" t="s">
        <v>6</v>
      </c>
      <c r="F286" s="166" t="s">
        <v>431</v>
      </c>
      <c r="G286" s="166" t="s">
        <v>432</v>
      </c>
      <c r="H286" s="166" t="s">
        <v>433</v>
      </c>
      <c r="I286" s="170" t="s">
        <v>434</v>
      </c>
      <c r="J286" s="166" t="s">
        <v>435</v>
      </c>
      <c r="K286" s="166" t="s">
        <v>7</v>
      </c>
      <c r="L286" s="166" t="s">
        <v>436</v>
      </c>
      <c r="M286" s="166" t="s">
        <v>437</v>
      </c>
      <c r="N286" s="166"/>
      <c r="O286" s="168" t="s">
        <v>319</v>
      </c>
      <c r="P286" s="169" t="s">
        <v>332</v>
      </c>
      <c r="R286" s="171"/>
      <c r="S286" s="172"/>
    </row>
    <row r="287" spans="1:19" hidden="1" outlineLevel="2" x14ac:dyDescent="0.25">
      <c r="B287" s="174" t="s">
        <v>570</v>
      </c>
      <c r="C287" s="234" t="s">
        <v>13</v>
      </c>
      <c r="D287" s="192"/>
      <c r="E287" s="191">
        <f>Daten_ALLG!$D$186</f>
        <v>0.2</v>
      </c>
      <c r="F287" s="191">
        <f>Daten_ALLG!$D$182</f>
        <v>1.1000000000000001</v>
      </c>
      <c r="G287" s="191">
        <f>Daten_ALLG!$D$183</f>
        <v>1.1000000000000001</v>
      </c>
      <c r="H287" s="191">
        <f>Daten_ALLG!$D$182</f>
        <v>1.1000000000000001</v>
      </c>
      <c r="I287" s="191">
        <f>Daten_ALLG!$D$183</f>
        <v>1.1000000000000001</v>
      </c>
      <c r="J287" s="191">
        <f>Daten_ALLG!$D$188</f>
        <v>0.8</v>
      </c>
      <c r="K287" s="191">
        <f>Daten_ALLG!$D$187</f>
        <v>1.8</v>
      </c>
      <c r="L287" s="191">
        <f>Daten_ALLG!$D$187</f>
        <v>1.8</v>
      </c>
      <c r="M287" s="191">
        <f>Daten_ALLG!$D$187</f>
        <v>1.8</v>
      </c>
    </row>
    <row r="288" spans="1:19" hidden="1" outlineLevel="2" x14ac:dyDescent="0.25">
      <c r="B288" s="174" t="s">
        <v>573</v>
      </c>
      <c r="C288" s="234" t="s">
        <v>13</v>
      </c>
      <c r="D288" s="191">
        <f>SUMPRODUCT(E278:M278,E288:M288)</f>
        <v>1.202259117971588</v>
      </c>
      <c r="E288" s="191">
        <f>E$287/E279</f>
        <v>0.26666666666666666</v>
      </c>
      <c r="F288" s="191">
        <f>F$287/F279</f>
        <v>1.375</v>
      </c>
      <c r="G288" s="191">
        <f>G$287/G279</f>
        <v>1.375</v>
      </c>
      <c r="H288" s="191">
        <f>H$287/H279</f>
        <v>1.1827956989247312</v>
      </c>
      <c r="I288" s="191">
        <f t="shared" ref="F288:M289" si="14">I$287/I279</f>
        <v>1.1827956989247312</v>
      </c>
      <c r="J288" s="191">
        <f t="shared" si="14"/>
        <v>0.80808080808080818</v>
      </c>
      <c r="K288" s="191">
        <f t="shared" si="14"/>
        <v>1.8</v>
      </c>
      <c r="L288" s="191">
        <f t="shared" si="14"/>
        <v>0.72998413301338561</v>
      </c>
      <c r="M288" s="191">
        <f t="shared" si="14"/>
        <v>0.58084548907233957</v>
      </c>
      <c r="N288" s="215" t="s">
        <v>563</v>
      </c>
      <c r="O288" s="235">
        <f>IF($A$276&lt;&gt;"",IF($D276="V",$D288,IF($E276="V",$E288,IF($F276="V",$F288,IF($G276="V",$G288,IF($H276="V",$H288,IF($I276="V",$I288,IF($J276="V",$J288,IF($K276="V",$K288,IF($L276="V",$L288,IF($M276="V",$M288,"")))))))))),$D288)</f>
        <v>1.202259117971588</v>
      </c>
      <c r="P288" s="236">
        <f>IF($A$276&lt;&gt;"",IF($D276="N",D289,IF($E276="N",$E289,IF($F276="N",$F289,IF($G276="N",$G289,IF($H276="N",$H289,IF($I276="N",$I289,IF($J276="N",$J289,IF($K276="N",$K289,IF($L276="N",$L289,IF($M276="N",$M289,SUMPRODUCT(D290:M290,D289:M289))))))))))),$D289)</f>
        <v>1.202259117971588</v>
      </c>
    </row>
    <row r="289" spans="1:19" hidden="1" outlineLevel="2" x14ac:dyDescent="0.25">
      <c r="C289" s="234" t="s">
        <v>13</v>
      </c>
      <c r="D289" s="191">
        <f>SUMPRODUCT(E278:M278,E289:M289)</f>
        <v>1.202259117971588</v>
      </c>
      <c r="E289" s="191">
        <f>E$287/E280</f>
        <v>0.26666666666666666</v>
      </c>
      <c r="F289" s="191">
        <f t="shared" si="14"/>
        <v>1.375</v>
      </c>
      <c r="G289" s="191">
        <f t="shared" si="14"/>
        <v>1.375</v>
      </c>
      <c r="H289" s="191">
        <f t="shared" si="14"/>
        <v>1.1827956989247312</v>
      </c>
      <c r="I289" s="191">
        <f t="shared" si="14"/>
        <v>1.1827956989247312</v>
      </c>
      <c r="J289" s="191">
        <f t="shared" si="14"/>
        <v>0.80808080808080818</v>
      </c>
      <c r="K289" s="191">
        <f t="shared" si="14"/>
        <v>1.8</v>
      </c>
      <c r="L289" s="191">
        <f t="shared" si="14"/>
        <v>0.72998413301338561</v>
      </c>
      <c r="M289" s="191">
        <f t="shared" si="14"/>
        <v>0.58084548907233957</v>
      </c>
      <c r="N289" s="174" t="s">
        <v>564</v>
      </c>
    </row>
    <row r="290" spans="1:19" hidden="1" outlineLevel="2" x14ac:dyDescent="0.25">
      <c r="C290" s="185"/>
      <c r="D290" s="218">
        <f>IF(D276="V",1,0)</f>
        <v>0</v>
      </c>
      <c r="E290" s="218">
        <f t="shared" ref="E290:M290" si="15">IF(E276="V",1,0)</f>
        <v>0</v>
      </c>
      <c r="F290" s="218">
        <f t="shared" si="15"/>
        <v>0</v>
      </c>
      <c r="G290" s="218">
        <f t="shared" si="15"/>
        <v>0</v>
      </c>
      <c r="H290" s="218">
        <f t="shared" si="15"/>
        <v>0</v>
      </c>
      <c r="I290" s="218">
        <f t="shared" si="15"/>
        <v>0</v>
      </c>
      <c r="J290" s="218">
        <f t="shared" si="15"/>
        <v>0</v>
      </c>
      <c r="K290" s="218">
        <f t="shared" si="15"/>
        <v>0</v>
      </c>
      <c r="L290" s="218">
        <f t="shared" si="15"/>
        <v>0</v>
      </c>
      <c r="M290" s="218">
        <f t="shared" si="15"/>
        <v>0</v>
      </c>
    </row>
    <row r="291" spans="1:19" s="162" customFormat="1" hidden="1" outlineLevel="2" x14ac:dyDescent="0.25">
      <c r="B291" s="163" t="s">
        <v>674</v>
      </c>
      <c r="O291" s="164"/>
      <c r="P291" s="165"/>
      <c r="R291" s="164"/>
      <c r="S291" s="165"/>
    </row>
    <row r="292" spans="1:19" s="170" customFormat="1" hidden="1" outlineLevel="2" x14ac:dyDescent="0.25">
      <c r="A292" s="166"/>
      <c r="B292" s="167"/>
      <c r="C292" s="166"/>
      <c r="D292" s="166" t="s">
        <v>389</v>
      </c>
      <c r="E292" s="166" t="s">
        <v>6</v>
      </c>
      <c r="F292" s="166" t="s">
        <v>431</v>
      </c>
      <c r="G292" s="166" t="s">
        <v>432</v>
      </c>
      <c r="H292" s="166" t="s">
        <v>433</v>
      </c>
      <c r="I292" s="166" t="s">
        <v>434</v>
      </c>
      <c r="J292" s="166" t="s">
        <v>435</v>
      </c>
      <c r="K292" s="166" t="s">
        <v>7</v>
      </c>
      <c r="L292" s="166" t="s">
        <v>436</v>
      </c>
      <c r="M292" s="166" t="s">
        <v>437</v>
      </c>
      <c r="N292" s="166"/>
      <c r="O292" s="168" t="s">
        <v>319</v>
      </c>
      <c r="P292" s="169" t="s">
        <v>332</v>
      </c>
      <c r="R292" s="171"/>
      <c r="S292" s="172"/>
    </row>
    <row r="293" spans="1:19" hidden="1" outlineLevel="2" x14ac:dyDescent="0.25">
      <c r="B293" s="174" t="s">
        <v>571</v>
      </c>
      <c r="C293" s="234" t="s">
        <v>227</v>
      </c>
      <c r="D293" s="192"/>
      <c r="E293" s="214">
        <f>Daten_ALLG!$D$208</f>
        <v>15</v>
      </c>
      <c r="F293" s="214">
        <f>Daten_ALLG!$D$204</f>
        <v>208</v>
      </c>
      <c r="G293" s="214">
        <f>Daten_ALLG!$D$205</f>
        <v>292</v>
      </c>
      <c r="H293" s="214">
        <f>Daten_ALLG!$D$204</f>
        <v>208</v>
      </c>
      <c r="I293" s="214">
        <f>Daten_ALLG!$D$205</f>
        <v>292</v>
      </c>
      <c r="J293" s="214">
        <f>Daten_ALLG!$D$210</f>
        <v>240</v>
      </c>
      <c r="K293" s="214">
        <f>Daten_ALLG!$D$209</f>
        <v>444</v>
      </c>
      <c r="L293" s="214">
        <f>Daten_ALLG!$D$209</f>
        <v>444</v>
      </c>
      <c r="M293" s="214">
        <f>Daten_ALLG!$D$209</f>
        <v>444</v>
      </c>
    </row>
    <row r="294" spans="1:19" hidden="1" outlineLevel="2" x14ac:dyDescent="0.25">
      <c r="B294" s="174" t="s">
        <v>572</v>
      </c>
      <c r="C294" s="234" t="s">
        <v>13</v>
      </c>
      <c r="D294" s="214">
        <f>SUMPRODUCT(E278:M278,E294:M294)</f>
        <v>264.58607850792828</v>
      </c>
      <c r="E294" s="214">
        <f t="shared" ref="E294:M295" si="16">E$293/E279</f>
        <v>20</v>
      </c>
      <c r="F294" s="214">
        <f t="shared" si="16"/>
        <v>260</v>
      </c>
      <c r="G294" s="214">
        <f t="shared" si="16"/>
        <v>365</v>
      </c>
      <c r="H294" s="214">
        <f t="shared" si="16"/>
        <v>223.65591397849462</v>
      </c>
      <c r="I294" s="214">
        <f t="shared" si="16"/>
        <v>313.97849462365588</v>
      </c>
      <c r="J294" s="214">
        <f t="shared" si="16"/>
        <v>242.42424242424244</v>
      </c>
      <c r="K294" s="214">
        <f t="shared" si="16"/>
        <v>444</v>
      </c>
      <c r="L294" s="214">
        <f t="shared" si="16"/>
        <v>180.06275280996843</v>
      </c>
      <c r="M294" s="214">
        <f t="shared" si="16"/>
        <v>143.27522063784377</v>
      </c>
      <c r="N294" s="215" t="s">
        <v>563</v>
      </c>
      <c r="O294" s="216">
        <f>IF($A$276&lt;&gt;"",IF($D276="V",$D294,IF($E276="V",$E294,IF($F276="V",$F294,IF($G276="V",$G294,IF($H276="V",$H294,IF($I276="V",$I294,IF($J276="V",$J294,IF($K276="V",$K294,IF($L276="V",$L294,IF($M276="V",$M294,"")))))))))),$D294)</f>
        <v>264.58607850792828</v>
      </c>
      <c r="P294" s="217">
        <f>IF($A$276&lt;&gt;"",IF($D276="N",D295,IF($E276="N",$E295,IF($F276="N",$F295,IF($G276="N",$G295,IF($H276="N",$H295,IF($I276="N",$I295,IF($J276="N",$J295,IF($K276="N",$K295,IF($L276="N",$L295,IF($M276="N",$M295,SUMPRODUCT(D296:M296,D295:M295))))))))))),$D295)</f>
        <v>264.58607850792828</v>
      </c>
    </row>
    <row r="295" spans="1:19" hidden="1" outlineLevel="2" x14ac:dyDescent="0.25">
      <c r="C295" s="234" t="s">
        <v>13</v>
      </c>
      <c r="D295" s="214">
        <f>SUMPRODUCT(E278:M278,E295:M295)</f>
        <v>264.58607850792828</v>
      </c>
      <c r="E295" s="214">
        <f t="shared" si="16"/>
        <v>20</v>
      </c>
      <c r="F295" s="214">
        <f t="shared" si="16"/>
        <v>260</v>
      </c>
      <c r="G295" s="214">
        <f t="shared" si="16"/>
        <v>365</v>
      </c>
      <c r="H295" s="214">
        <f t="shared" si="16"/>
        <v>223.65591397849462</v>
      </c>
      <c r="I295" s="214">
        <f t="shared" si="16"/>
        <v>313.97849462365588</v>
      </c>
      <c r="J295" s="214">
        <f t="shared" si="16"/>
        <v>242.42424242424244</v>
      </c>
      <c r="K295" s="214">
        <f t="shared" si="16"/>
        <v>444</v>
      </c>
      <c r="L295" s="214">
        <f t="shared" si="16"/>
        <v>180.06275280996843</v>
      </c>
      <c r="M295" s="214">
        <f t="shared" si="16"/>
        <v>143.27522063784377</v>
      </c>
      <c r="N295" s="174" t="s">
        <v>564</v>
      </c>
    </row>
    <row r="296" spans="1:19" hidden="1" outlineLevel="2" x14ac:dyDescent="0.25">
      <c r="C296" s="185"/>
      <c r="D296" s="218">
        <f>IF(D276="V",1,0)</f>
        <v>0</v>
      </c>
      <c r="E296" s="218">
        <f t="shared" ref="E296:M296" si="17">IF(E276="V",1,0)</f>
        <v>0</v>
      </c>
      <c r="F296" s="218">
        <f t="shared" si="17"/>
        <v>0</v>
      </c>
      <c r="G296" s="218">
        <f t="shared" si="17"/>
        <v>0</v>
      </c>
      <c r="H296" s="218">
        <f t="shared" si="17"/>
        <v>0</v>
      </c>
      <c r="I296" s="218">
        <f t="shared" si="17"/>
        <v>0</v>
      </c>
      <c r="J296" s="218">
        <f t="shared" si="17"/>
        <v>0</v>
      </c>
      <c r="K296" s="218">
        <f t="shared" si="17"/>
        <v>0</v>
      </c>
      <c r="L296" s="218">
        <f t="shared" si="17"/>
        <v>0</v>
      </c>
      <c r="M296" s="218">
        <f t="shared" si="17"/>
        <v>0</v>
      </c>
    </row>
    <row r="297" spans="1:19" s="162" customFormat="1" hidden="1" outlineLevel="2" x14ac:dyDescent="0.25">
      <c r="B297" s="163" t="s">
        <v>675</v>
      </c>
      <c r="O297" s="164"/>
      <c r="P297" s="165"/>
      <c r="R297" s="164"/>
      <c r="S297" s="165"/>
    </row>
    <row r="298" spans="1:19" s="170" customFormat="1" hidden="1" outlineLevel="2" x14ac:dyDescent="0.25">
      <c r="A298" s="166"/>
      <c r="B298" s="167"/>
      <c r="C298" s="166"/>
      <c r="D298" s="166" t="s">
        <v>389</v>
      </c>
      <c r="E298" s="166" t="s">
        <v>6</v>
      </c>
      <c r="F298" s="166" t="s">
        <v>431</v>
      </c>
      <c r="G298" s="166" t="s">
        <v>432</v>
      </c>
      <c r="H298" s="166" t="s">
        <v>433</v>
      </c>
      <c r="I298" s="166" t="s">
        <v>434</v>
      </c>
      <c r="J298" s="166" t="s">
        <v>435</v>
      </c>
      <c r="K298" s="166" t="s">
        <v>7</v>
      </c>
      <c r="L298" s="166" t="s">
        <v>436</v>
      </c>
      <c r="M298" s="166" t="s">
        <v>437</v>
      </c>
      <c r="N298" s="166"/>
      <c r="O298" s="168" t="s">
        <v>319</v>
      </c>
      <c r="P298" s="169" t="s">
        <v>332</v>
      </c>
      <c r="R298" s="171"/>
      <c r="S298" s="172"/>
    </row>
    <row r="299" spans="1:19" hidden="1" outlineLevel="2" x14ac:dyDescent="0.25">
      <c r="B299" s="174" t="s">
        <v>671</v>
      </c>
      <c r="C299" s="234" t="s">
        <v>31</v>
      </c>
      <c r="D299" s="192"/>
      <c r="E299" s="237">
        <f>Daten_ALLG!$D$281</f>
        <v>0.05</v>
      </c>
      <c r="F299" s="237">
        <f>Daten_ALLG!$D$276</f>
        <v>8.6999999999999994E-2</v>
      </c>
      <c r="G299" s="237">
        <f>Daten_ALLG!$D$277</f>
        <v>0.122</v>
      </c>
      <c r="H299" s="237">
        <f>Daten_ALLG!$D$276</f>
        <v>8.6999999999999994E-2</v>
      </c>
      <c r="I299" s="237">
        <f>Daten_ALLG!$D$277</f>
        <v>0.122</v>
      </c>
      <c r="J299" s="237">
        <f>Daten_ALLG!$D$280</f>
        <v>0.10199999999999999</v>
      </c>
      <c r="K299" s="237">
        <f>Daten_ALLG!$D$278</f>
        <v>0.186</v>
      </c>
      <c r="L299" s="237">
        <f>Daten_ALLG!$D$279</f>
        <v>0.186</v>
      </c>
      <c r="M299" s="237">
        <f>Daten_ALLG!$D$279</f>
        <v>0.186</v>
      </c>
    </row>
    <row r="300" spans="1:19" hidden="1" outlineLevel="2" x14ac:dyDescent="0.25">
      <c r="B300" s="174" t="s">
        <v>677</v>
      </c>
      <c r="C300" s="234" t="s">
        <v>13</v>
      </c>
      <c r="D300" s="237">
        <f>SUMPRODUCT(E278:M278,E300:M300)</f>
        <v>0.11425827523659526</v>
      </c>
      <c r="E300" s="237">
        <f>E$299/E279</f>
        <v>6.6666666666666666E-2</v>
      </c>
      <c r="F300" s="237">
        <f t="shared" ref="F300:M301" si="18">F$299/F279</f>
        <v>0.10874999999999999</v>
      </c>
      <c r="G300" s="237">
        <f t="shared" si="18"/>
        <v>0.1525</v>
      </c>
      <c r="H300" s="237">
        <f t="shared" si="18"/>
        <v>9.3548387096774183E-2</v>
      </c>
      <c r="I300" s="237">
        <f t="shared" si="18"/>
        <v>0.13118279569892471</v>
      </c>
      <c r="J300" s="237">
        <f t="shared" si="18"/>
        <v>0.10303030303030303</v>
      </c>
      <c r="K300" s="237">
        <f t="shared" si="18"/>
        <v>0.186</v>
      </c>
      <c r="L300" s="237">
        <f t="shared" si="18"/>
        <v>7.5431693744716505E-2</v>
      </c>
      <c r="M300" s="237">
        <f t="shared" si="18"/>
        <v>6.0020700537475088E-2</v>
      </c>
      <c r="N300" s="215" t="s">
        <v>563</v>
      </c>
      <c r="O300" s="235">
        <f>IF($A$276&lt;&gt;"",IF($D276="V",$D300,IF($E276="V",$E300,IF($F276="V",$F300,IF($G276="V",$G300,IF($H276="V",$H300,IF($I276="V",$I300,IF($J276="V",$J300,IF($K276="V",$K300,IF($L276="V",$L300,IF($M276="V",$M300,"")))))))))),$D300)</f>
        <v>0.11425827523659526</v>
      </c>
      <c r="P300" s="236">
        <f>IF($A$276&lt;&gt;"",IF($D276="N",D301,IF($E276="N",$E301,IF($F276="N",$F301,IF($G276="N",$G301,IF($H276="N",$H301,IF($I276="N",$I301,IF($J276="N",$J301,IF($K276="N",$K301,IF($L276="N",$L301,IF($M276="N",$M301,SUMPRODUCT(D302:M302,D301:M301))))))))))),$D301)</f>
        <v>0.11425827523659526</v>
      </c>
    </row>
    <row r="301" spans="1:19" hidden="1" outlineLevel="2" x14ac:dyDescent="0.25">
      <c r="C301" s="234" t="s">
        <v>13</v>
      </c>
      <c r="D301" s="237">
        <f>SUMPRODUCT(E278:M278,E301:M301)</f>
        <v>0.11425827523659526</v>
      </c>
      <c r="E301" s="237">
        <f>E$299/E280</f>
        <v>6.6666666666666666E-2</v>
      </c>
      <c r="F301" s="237">
        <f t="shared" si="18"/>
        <v>0.10874999999999999</v>
      </c>
      <c r="G301" s="237">
        <f t="shared" si="18"/>
        <v>0.1525</v>
      </c>
      <c r="H301" s="237">
        <f t="shared" si="18"/>
        <v>9.3548387096774183E-2</v>
      </c>
      <c r="I301" s="237">
        <f t="shared" si="18"/>
        <v>0.13118279569892471</v>
      </c>
      <c r="J301" s="237">
        <f t="shared" si="18"/>
        <v>0.10303030303030303</v>
      </c>
      <c r="K301" s="237">
        <f t="shared" si="18"/>
        <v>0.186</v>
      </c>
      <c r="L301" s="237">
        <f t="shared" si="18"/>
        <v>7.5431693744716505E-2</v>
      </c>
      <c r="M301" s="237">
        <f t="shared" si="18"/>
        <v>6.0020700537475088E-2</v>
      </c>
      <c r="N301" s="174" t="s">
        <v>564</v>
      </c>
    </row>
    <row r="302" spans="1:19" ht="15.75" hidden="1" outlineLevel="2" thickBot="1" x14ac:dyDescent="0.3">
      <c r="C302" s="185"/>
      <c r="D302" s="218">
        <f>IF(D276="V",1,0)</f>
        <v>0</v>
      </c>
      <c r="E302" s="218">
        <f t="shared" ref="E302:M302" si="19">IF(E276="V",1,0)</f>
        <v>0</v>
      </c>
      <c r="F302" s="218">
        <f t="shared" si="19"/>
        <v>0</v>
      </c>
      <c r="G302" s="218">
        <f t="shared" si="19"/>
        <v>0</v>
      </c>
      <c r="H302" s="218">
        <f t="shared" si="19"/>
        <v>0</v>
      </c>
      <c r="I302" s="218">
        <f t="shared" si="19"/>
        <v>0</v>
      </c>
      <c r="J302" s="218">
        <f t="shared" si="19"/>
        <v>0</v>
      </c>
      <c r="K302" s="218">
        <f t="shared" si="19"/>
        <v>0</v>
      </c>
      <c r="L302" s="218">
        <f t="shared" si="19"/>
        <v>0</v>
      </c>
      <c r="M302" s="218">
        <f t="shared" si="19"/>
        <v>0</v>
      </c>
    </row>
    <row r="303" spans="1:19" s="162" customFormat="1" ht="15.75" outlineLevel="1" thickBot="1" x14ac:dyDescent="0.3">
      <c r="A303" s="335"/>
      <c r="B303" s="163" t="s">
        <v>885</v>
      </c>
      <c r="D303" s="335"/>
      <c r="E303" s="335"/>
      <c r="F303" s="335"/>
      <c r="G303" s="335"/>
      <c r="H303" s="335"/>
      <c r="I303" s="335"/>
      <c r="J303" s="335"/>
      <c r="K303" s="335"/>
      <c r="L303" s="335"/>
      <c r="M303" s="335"/>
      <c r="O303" s="164"/>
      <c r="P303" s="165"/>
      <c r="R303" s="164" t="s">
        <v>457</v>
      </c>
      <c r="S303" s="165"/>
    </row>
    <row r="304" spans="1:19" s="170" customFormat="1" outlineLevel="1" collapsed="1" x14ac:dyDescent="0.25">
      <c r="A304" s="166"/>
      <c r="B304" s="167"/>
      <c r="C304" s="166"/>
      <c r="D304" s="166" t="s">
        <v>389</v>
      </c>
      <c r="E304" s="166" t="s">
        <v>6</v>
      </c>
      <c r="F304" s="166" t="s">
        <v>431</v>
      </c>
      <c r="G304" s="166" t="s">
        <v>432</v>
      </c>
      <c r="H304" s="166" t="s">
        <v>433</v>
      </c>
      <c r="I304" s="166" t="s">
        <v>434</v>
      </c>
      <c r="J304" s="166" t="s">
        <v>435</v>
      </c>
      <c r="K304" s="166" t="s">
        <v>7</v>
      </c>
      <c r="L304" s="166" t="s">
        <v>436</v>
      </c>
      <c r="M304" s="166" t="s">
        <v>437</v>
      </c>
      <c r="N304" s="166"/>
      <c r="O304" s="168" t="s">
        <v>319</v>
      </c>
      <c r="P304" s="169" t="s">
        <v>332</v>
      </c>
      <c r="R304" s="233" t="s">
        <v>455</v>
      </c>
      <c r="S304" s="172" t="s">
        <v>456</v>
      </c>
    </row>
    <row r="305" spans="1:19" hidden="1" outlineLevel="2" x14ac:dyDescent="0.25">
      <c r="B305" s="174" t="s">
        <v>178</v>
      </c>
      <c r="C305" s="234" t="s">
        <v>13</v>
      </c>
      <c r="E305" s="191">
        <f>Daten_EZFH!$D$93</f>
        <v>6.0999999999999999E-2</v>
      </c>
      <c r="F305" s="191">
        <f>Daten_EZFH!$D$94</f>
        <v>0.24689679702699455</v>
      </c>
      <c r="G305" s="191">
        <f>Daten_EZFH!$D$95</f>
        <v>0.22409012124433336</v>
      </c>
      <c r="H305" s="191">
        <f>Daten_EZFH!$D$96</f>
        <v>0.21629235560868043</v>
      </c>
      <c r="I305" s="191">
        <f>Daten_EZFH!$D$97</f>
        <v>3.4811540645152371E-2</v>
      </c>
      <c r="J305" s="191">
        <f>Daten_EZFH!$D$98</f>
        <v>0.04</v>
      </c>
      <c r="K305" s="191">
        <f>Daten_EZFH!$D$99</f>
        <v>0.12</v>
      </c>
      <c r="L305" s="191">
        <f>Daten_EZFH!$D$100</f>
        <v>3.3805185474839121E-2</v>
      </c>
      <c r="M305" s="191">
        <f>Daten_EZFH!$D$101</f>
        <v>2.3104000000000006E-2</v>
      </c>
    </row>
    <row r="306" spans="1:19" hidden="1" outlineLevel="2" x14ac:dyDescent="0.25">
      <c r="B306" s="174" t="s">
        <v>485</v>
      </c>
      <c r="C306" s="234" t="s">
        <v>13</v>
      </c>
      <c r="D306" s="191">
        <f>1/(E305/E306+F305/F306+G305/G306+H305/H306+I305/I306+J305/J306+K305/K306+L305/L306+M305/M306)</f>
        <v>0.88769739597194963</v>
      </c>
      <c r="E306" s="191">
        <f>O263</f>
        <v>0.75</v>
      </c>
      <c r="F306" s="191">
        <f>O264</f>
        <v>0.8</v>
      </c>
      <c r="G306" s="191">
        <f>O264</f>
        <v>0.8</v>
      </c>
      <c r="H306" s="191">
        <f>O265</f>
        <v>0.93</v>
      </c>
      <c r="I306" s="191">
        <f>O265</f>
        <v>0.93</v>
      </c>
      <c r="J306" s="191">
        <f>O266</f>
        <v>0.99</v>
      </c>
      <c r="K306" s="191">
        <f>O267</f>
        <v>1</v>
      </c>
      <c r="L306" s="191">
        <f>O218</f>
        <v>2.0328907738029667</v>
      </c>
      <c r="M306" s="191">
        <f>O259</f>
        <v>2.4563891605615429</v>
      </c>
      <c r="N306" s="215" t="s">
        <v>563</v>
      </c>
      <c r="O306" s="235">
        <f>IF($A$303&lt;&gt;"",IF($D303="V",$D306,IF($E303="V",$E306,IF($F303="V",$F306,IF($G303="V",$G306,IF($H303="V",$H306,IF($I303="V",$I306,IF($J303="V",$J306,IF($K303="V",$K306,IF($L303="V",$L306,IF($M303="V",$M306,"")))))))))),$D306)</f>
        <v>0.88769739597194963</v>
      </c>
      <c r="P306" s="236">
        <f>IF($A$303&lt;&gt;"",IF($D303="N",D307,IF($E303="N",$E307,IF($F303="N",$F307,IF($G303="N",$G307,IF($H303="N",$H307,IF($I303="N",$I307,IF($J303="N",$J307,IF($K303="N",$K307,IF($L303="N",$L307,IF($M303="N",$M307,SUMPRODUCT(D308:M308,D307:M307))))))))))),$D307)</f>
        <v>0.88769739597194963</v>
      </c>
      <c r="Q306" s="185" t="s">
        <v>48</v>
      </c>
      <c r="R306" s="228">
        <f>IF(K303="N",Daten_EZFH!$D$17,0)</f>
        <v>0</v>
      </c>
    </row>
    <row r="307" spans="1:19" hidden="1" outlineLevel="2" x14ac:dyDescent="0.25">
      <c r="C307" s="234" t="s">
        <v>13</v>
      </c>
      <c r="D307" s="191">
        <f>1/(E305/E307+F305/F307+G305/G307+H305/H307+I305/I307+J305/J307+K305/K307+L305/L307+M305/M307)</f>
        <v>0.88769739597194963</v>
      </c>
      <c r="E307" s="191">
        <f>P263</f>
        <v>0.75</v>
      </c>
      <c r="F307" s="191">
        <f>P264</f>
        <v>0.8</v>
      </c>
      <c r="G307" s="191">
        <f>P264</f>
        <v>0.8</v>
      </c>
      <c r="H307" s="191">
        <f>P265</f>
        <v>0.93</v>
      </c>
      <c r="I307" s="191">
        <f>P265</f>
        <v>0.93</v>
      </c>
      <c r="J307" s="191">
        <f>P266</f>
        <v>0.99</v>
      </c>
      <c r="K307" s="191">
        <f>P267</f>
        <v>1</v>
      </c>
      <c r="L307" s="191">
        <f>P218</f>
        <v>2.0328907738029667</v>
      </c>
      <c r="M307" s="191">
        <f>P259</f>
        <v>2.4563891605615429</v>
      </c>
      <c r="N307" s="174" t="s">
        <v>564</v>
      </c>
    </row>
    <row r="308" spans="1:19" hidden="1" outlineLevel="2" x14ac:dyDescent="0.25">
      <c r="C308" s="185"/>
      <c r="D308" s="218">
        <f>IF(D303="V",1,0)</f>
        <v>0</v>
      </c>
      <c r="E308" s="218">
        <f t="shared" ref="E308:M308" si="20">IF(E303="V",1,0)</f>
        <v>0</v>
      </c>
      <c r="F308" s="218">
        <f t="shared" si="20"/>
        <v>0</v>
      </c>
      <c r="G308" s="218">
        <f t="shared" si="20"/>
        <v>0</v>
      </c>
      <c r="H308" s="218">
        <f t="shared" si="20"/>
        <v>0</v>
      </c>
      <c r="I308" s="218">
        <f t="shared" si="20"/>
        <v>0</v>
      </c>
      <c r="J308" s="218">
        <f t="shared" si="20"/>
        <v>0</v>
      </c>
      <c r="K308" s="218">
        <f t="shared" si="20"/>
        <v>0</v>
      </c>
      <c r="L308" s="218">
        <f t="shared" si="20"/>
        <v>0</v>
      </c>
      <c r="M308" s="218">
        <f t="shared" si="20"/>
        <v>0</v>
      </c>
      <c r="N308" s="218"/>
    </row>
    <row r="309" spans="1:19" s="162" customFormat="1" hidden="1" outlineLevel="2" x14ac:dyDescent="0.25">
      <c r="B309" s="163" t="s">
        <v>672</v>
      </c>
      <c r="O309" s="164"/>
      <c r="P309" s="165"/>
      <c r="R309" s="164"/>
      <c r="S309" s="165"/>
    </row>
    <row r="310" spans="1:19" s="170" customFormat="1" hidden="1" outlineLevel="2" x14ac:dyDescent="0.25">
      <c r="A310" s="166"/>
      <c r="B310" s="167"/>
      <c r="C310" s="166"/>
      <c r="D310" s="166" t="s">
        <v>389</v>
      </c>
      <c r="E310" s="166" t="s">
        <v>6</v>
      </c>
      <c r="F310" s="166" t="s">
        <v>431</v>
      </c>
      <c r="G310" s="166" t="s">
        <v>432</v>
      </c>
      <c r="H310" s="166" t="s">
        <v>433</v>
      </c>
      <c r="I310" s="166" t="s">
        <v>434</v>
      </c>
      <c r="J310" s="166" t="s">
        <v>435</v>
      </c>
      <c r="K310" s="166" t="s">
        <v>7</v>
      </c>
      <c r="L310" s="166" t="s">
        <v>436</v>
      </c>
      <c r="M310" s="166" t="s">
        <v>437</v>
      </c>
      <c r="N310" s="166"/>
      <c r="O310" s="168" t="s">
        <v>319</v>
      </c>
      <c r="P310" s="169" t="s">
        <v>332</v>
      </c>
      <c r="R310" s="171"/>
      <c r="S310" s="172"/>
    </row>
    <row r="311" spans="1:19" hidden="1" outlineLevel="2" x14ac:dyDescent="0.25">
      <c r="B311" s="174" t="s">
        <v>570</v>
      </c>
      <c r="C311" s="234" t="s">
        <v>13</v>
      </c>
      <c r="D311" s="192"/>
      <c r="E311" s="191">
        <f>Daten_ALLG!$D$186</f>
        <v>0.2</v>
      </c>
      <c r="F311" s="191">
        <f>Daten_ALLG!$D$182</f>
        <v>1.1000000000000001</v>
      </c>
      <c r="G311" s="191">
        <f>Daten_ALLG!$D$183</f>
        <v>1.1000000000000001</v>
      </c>
      <c r="H311" s="191">
        <f>Daten_ALLG!$D$182</f>
        <v>1.1000000000000001</v>
      </c>
      <c r="I311" s="191">
        <f>Daten_ALLG!$D$183</f>
        <v>1.1000000000000001</v>
      </c>
      <c r="J311" s="191">
        <f>Daten_ALLG!$D$188</f>
        <v>0.8</v>
      </c>
      <c r="K311" s="191">
        <f>Daten_ALLG!$D$187</f>
        <v>1.8</v>
      </c>
      <c r="L311" s="191">
        <f>Daten_ALLG!$D$187</f>
        <v>1.8</v>
      </c>
      <c r="M311" s="191">
        <f>Daten_ALLG!$D$187</f>
        <v>1.8</v>
      </c>
    </row>
    <row r="312" spans="1:19" hidden="1" outlineLevel="2" x14ac:dyDescent="0.25">
      <c r="B312" s="174" t="s">
        <v>576</v>
      </c>
      <c r="C312" s="234" t="s">
        <v>13</v>
      </c>
      <c r="D312" s="191">
        <f>SUMPRODUCT(E305:M305,E312:M312)</f>
        <v>1.2560641532174768</v>
      </c>
      <c r="E312" s="191">
        <f t="shared" ref="E312:M313" si="21">E$311/E306</f>
        <v>0.26666666666666666</v>
      </c>
      <c r="F312" s="191">
        <f t="shared" si="21"/>
        <v>1.375</v>
      </c>
      <c r="G312" s="191">
        <f t="shared" si="21"/>
        <v>1.375</v>
      </c>
      <c r="H312" s="191">
        <f t="shared" si="21"/>
        <v>1.1827956989247312</v>
      </c>
      <c r="I312" s="191">
        <f t="shared" si="21"/>
        <v>1.1827956989247312</v>
      </c>
      <c r="J312" s="191">
        <f t="shared" si="21"/>
        <v>0.80808080808080818</v>
      </c>
      <c r="K312" s="191">
        <f t="shared" si="21"/>
        <v>1.8</v>
      </c>
      <c r="L312" s="191">
        <f t="shared" si="21"/>
        <v>0.88543861932764178</v>
      </c>
      <c r="M312" s="191">
        <f t="shared" si="21"/>
        <v>0.73278291115260863</v>
      </c>
      <c r="N312" s="215" t="s">
        <v>563</v>
      </c>
      <c r="O312" s="235">
        <f>IF($A$303&lt;&gt;"",IF($D303="V",$D312,IF($E303="V",$E312,IF($F303="V",$F312,IF($G303="V",$G312,IF($H303="V",$H312,IF($I303="V",$I312,IF($J303="V",$J312,IF($K303="V",$K312,IF($L303="V",$L312,IF($M303="V",$M312,"")))))))))),$D312)</f>
        <v>1.2560641532174768</v>
      </c>
      <c r="P312" s="236">
        <f>IF($A$303&lt;&gt;"",IF($D303="N",D313,IF($E303="N",$E313,IF($F303="N",$F313,IF($G303="N",$G313,IF($H303="N",$H313,IF($I303="N",$I313,IF($J303="N",$J313,IF($K303="N",$K313,IF($L303="N",$L313,IF($M303="N",$M313,SUMPRODUCT(D314:M314,D313:M313))))))))))),$D313)</f>
        <v>1.2560641532174768</v>
      </c>
    </row>
    <row r="313" spans="1:19" hidden="1" outlineLevel="2" x14ac:dyDescent="0.25">
      <c r="C313" s="234" t="s">
        <v>13</v>
      </c>
      <c r="D313" s="191">
        <f>SUMPRODUCT(E305:M305,E313:M313)</f>
        <v>1.2560641532174768</v>
      </c>
      <c r="E313" s="191">
        <f t="shared" si="21"/>
        <v>0.26666666666666666</v>
      </c>
      <c r="F313" s="191">
        <f t="shared" si="21"/>
        <v>1.375</v>
      </c>
      <c r="G313" s="191">
        <f t="shared" si="21"/>
        <v>1.375</v>
      </c>
      <c r="H313" s="191">
        <f t="shared" si="21"/>
        <v>1.1827956989247312</v>
      </c>
      <c r="I313" s="191">
        <f t="shared" si="21"/>
        <v>1.1827956989247312</v>
      </c>
      <c r="J313" s="191">
        <f t="shared" si="21"/>
        <v>0.80808080808080818</v>
      </c>
      <c r="K313" s="191">
        <f t="shared" si="21"/>
        <v>1.8</v>
      </c>
      <c r="L313" s="191">
        <f t="shared" si="21"/>
        <v>0.88543861932764178</v>
      </c>
      <c r="M313" s="191">
        <f t="shared" si="21"/>
        <v>0.73278291115260863</v>
      </c>
      <c r="N313" s="174" t="s">
        <v>564</v>
      </c>
    </row>
    <row r="314" spans="1:19" hidden="1" outlineLevel="2" x14ac:dyDescent="0.25">
      <c r="C314" s="185"/>
      <c r="D314" s="218">
        <f t="shared" ref="D314:M314" si="22">IF(D303="V",1,0)</f>
        <v>0</v>
      </c>
      <c r="E314" s="218">
        <f t="shared" si="22"/>
        <v>0</v>
      </c>
      <c r="F314" s="218">
        <f t="shared" si="22"/>
        <v>0</v>
      </c>
      <c r="G314" s="218">
        <f t="shared" si="22"/>
        <v>0</v>
      </c>
      <c r="H314" s="218">
        <f t="shared" si="22"/>
        <v>0</v>
      </c>
      <c r="I314" s="218">
        <f t="shared" si="22"/>
        <v>0</v>
      </c>
      <c r="J314" s="218">
        <f t="shared" si="22"/>
        <v>0</v>
      </c>
      <c r="K314" s="218">
        <f t="shared" si="22"/>
        <v>0</v>
      </c>
      <c r="L314" s="218">
        <f t="shared" si="22"/>
        <v>0</v>
      </c>
      <c r="M314" s="218">
        <f t="shared" si="22"/>
        <v>0</v>
      </c>
      <c r="N314" s="218"/>
    </row>
    <row r="315" spans="1:19" s="162" customFormat="1" hidden="1" outlineLevel="2" x14ac:dyDescent="0.25">
      <c r="B315" s="163" t="s">
        <v>676</v>
      </c>
      <c r="O315" s="164"/>
      <c r="P315" s="165"/>
      <c r="R315" s="164"/>
      <c r="S315" s="165"/>
    </row>
    <row r="316" spans="1:19" s="170" customFormat="1" hidden="1" outlineLevel="2" x14ac:dyDescent="0.25">
      <c r="A316" s="166"/>
      <c r="B316" s="167"/>
      <c r="C316" s="166"/>
      <c r="D316" s="166" t="s">
        <v>389</v>
      </c>
      <c r="E316" s="166" t="s">
        <v>6</v>
      </c>
      <c r="F316" s="166" t="s">
        <v>431</v>
      </c>
      <c r="G316" s="166" t="s">
        <v>432</v>
      </c>
      <c r="H316" s="166" t="s">
        <v>433</v>
      </c>
      <c r="I316" s="166" t="s">
        <v>434</v>
      </c>
      <c r="J316" s="166" t="s">
        <v>435</v>
      </c>
      <c r="K316" s="166" t="s">
        <v>7</v>
      </c>
      <c r="L316" s="166" t="s">
        <v>436</v>
      </c>
      <c r="M316" s="166" t="s">
        <v>437</v>
      </c>
      <c r="N316" s="166"/>
      <c r="O316" s="168" t="s">
        <v>319</v>
      </c>
      <c r="P316" s="169" t="s">
        <v>332</v>
      </c>
      <c r="R316" s="171"/>
      <c r="S316" s="172"/>
    </row>
    <row r="317" spans="1:19" hidden="1" outlineLevel="2" x14ac:dyDescent="0.25">
      <c r="B317" s="174" t="s">
        <v>571</v>
      </c>
      <c r="C317" s="234" t="s">
        <v>227</v>
      </c>
      <c r="D317" s="192"/>
      <c r="E317" s="214">
        <f>Daten_ALLG!$D$208</f>
        <v>15</v>
      </c>
      <c r="F317" s="214">
        <f>Daten_ALLG!$D$204</f>
        <v>208</v>
      </c>
      <c r="G317" s="214">
        <f>Daten_ALLG!$D$205</f>
        <v>292</v>
      </c>
      <c r="H317" s="214">
        <f>Daten_ALLG!$D$204</f>
        <v>208</v>
      </c>
      <c r="I317" s="214">
        <f>Daten_ALLG!$D$205</f>
        <v>292</v>
      </c>
      <c r="J317" s="214">
        <f>Daten_ALLG!$D$210</f>
        <v>240</v>
      </c>
      <c r="K317" s="214">
        <f>Daten_ALLG!$D$209</f>
        <v>444</v>
      </c>
      <c r="L317" s="214">
        <f>Daten_ALLG!$D$209</f>
        <v>444</v>
      </c>
      <c r="M317" s="214">
        <f>Daten_ALLG!$D$209</f>
        <v>444</v>
      </c>
    </row>
    <row r="318" spans="1:19" hidden="1" outlineLevel="2" x14ac:dyDescent="0.25">
      <c r="B318" s="174" t="s">
        <v>577</v>
      </c>
      <c r="C318" s="234" t="s">
        <v>13</v>
      </c>
      <c r="D318" s="214">
        <f>SUMPRODUCT(E305:M305,E318:M318)</f>
        <v>281.04762029163521</v>
      </c>
      <c r="E318" s="214">
        <f t="shared" ref="E318:M319" si="23">E$317/E306</f>
        <v>20</v>
      </c>
      <c r="F318" s="214">
        <f t="shared" si="23"/>
        <v>260</v>
      </c>
      <c r="G318" s="214">
        <f t="shared" si="23"/>
        <v>365</v>
      </c>
      <c r="H318" s="214">
        <f t="shared" si="23"/>
        <v>223.65591397849462</v>
      </c>
      <c r="I318" s="214">
        <f t="shared" si="23"/>
        <v>313.97849462365588</v>
      </c>
      <c r="J318" s="214">
        <f t="shared" si="23"/>
        <v>242.42424242424244</v>
      </c>
      <c r="K318" s="214">
        <f t="shared" si="23"/>
        <v>444</v>
      </c>
      <c r="L318" s="214">
        <f t="shared" si="23"/>
        <v>218.40819276748496</v>
      </c>
      <c r="M318" s="214">
        <f t="shared" si="23"/>
        <v>180.75311808431013</v>
      </c>
      <c r="N318" s="215" t="s">
        <v>563</v>
      </c>
      <c r="O318" s="216">
        <f>IF($A$303&lt;&gt;"",IF($D303="V",$D318,IF($E303="V",$E318,IF($F303="V",$F318,IF($G303="V",$G318,IF($H303="V",$H318,IF($I303="V",$I318,IF($J303="V",$J318,IF($K303="V",$K318,IF($L303="V",$L318,IF($M303="V",$M318,"")))))))))),$D318)</f>
        <v>281.04762029163521</v>
      </c>
      <c r="P318" s="217">
        <f>IF($A$303&lt;&gt;"",IF($D303="N",D319,IF($E303="N",$E319,IF($F303="N",$F319,IF($G303="N",$G319,IF($H303="N",$H319,IF($I303="N",$I319,IF($J303="N",$J319,IF($K303="N",$K319,IF($L303="N",$L319,IF($M303="N",$M319,SUMPRODUCT(D320:M320,D319:M319))))))))))),$D319)</f>
        <v>281.04762029163521</v>
      </c>
    </row>
    <row r="319" spans="1:19" hidden="1" outlineLevel="2" x14ac:dyDescent="0.25">
      <c r="C319" s="234" t="s">
        <v>13</v>
      </c>
      <c r="D319" s="214">
        <f>SUMPRODUCT(E305:M305,E319:M319)</f>
        <v>281.04762029163521</v>
      </c>
      <c r="E319" s="214">
        <f t="shared" si="23"/>
        <v>20</v>
      </c>
      <c r="F319" s="214">
        <f t="shared" si="23"/>
        <v>260</v>
      </c>
      <c r="G319" s="214">
        <f t="shared" si="23"/>
        <v>365</v>
      </c>
      <c r="H319" s="214">
        <f t="shared" si="23"/>
        <v>223.65591397849462</v>
      </c>
      <c r="I319" s="214">
        <f t="shared" si="23"/>
        <v>313.97849462365588</v>
      </c>
      <c r="J319" s="214">
        <f t="shared" si="23"/>
        <v>242.42424242424244</v>
      </c>
      <c r="K319" s="214">
        <f t="shared" si="23"/>
        <v>444</v>
      </c>
      <c r="L319" s="214">
        <f t="shared" si="23"/>
        <v>218.40819276748496</v>
      </c>
      <c r="M319" s="214">
        <f t="shared" si="23"/>
        <v>180.75311808431013</v>
      </c>
      <c r="N319" s="174" t="s">
        <v>564</v>
      </c>
    </row>
    <row r="320" spans="1:19" hidden="1" outlineLevel="2" x14ac:dyDescent="0.25">
      <c r="C320" s="185"/>
      <c r="D320" s="218">
        <f t="shared" ref="D320:M320" si="24">IF(D303="V",1,0)</f>
        <v>0</v>
      </c>
      <c r="E320" s="218">
        <f t="shared" si="24"/>
        <v>0</v>
      </c>
      <c r="F320" s="218">
        <f t="shared" si="24"/>
        <v>0</v>
      </c>
      <c r="G320" s="218">
        <f t="shared" si="24"/>
        <v>0</v>
      </c>
      <c r="H320" s="218">
        <f t="shared" si="24"/>
        <v>0</v>
      </c>
      <c r="I320" s="218">
        <f t="shared" si="24"/>
        <v>0</v>
      </c>
      <c r="J320" s="218">
        <f t="shared" si="24"/>
        <v>0</v>
      </c>
      <c r="K320" s="218">
        <f t="shared" si="24"/>
        <v>0</v>
      </c>
      <c r="L320" s="218">
        <f t="shared" si="24"/>
        <v>0</v>
      </c>
      <c r="M320" s="218">
        <f t="shared" si="24"/>
        <v>0</v>
      </c>
    </row>
    <row r="321" spans="1:19" s="162" customFormat="1" hidden="1" outlineLevel="2" x14ac:dyDescent="0.25">
      <c r="B321" s="163" t="s">
        <v>679</v>
      </c>
      <c r="O321" s="164"/>
      <c r="P321" s="165"/>
      <c r="R321" s="164"/>
      <c r="S321" s="165"/>
    </row>
    <row r="322" spans="1:19" s="170" customFormat="1" hidden="1" outlineLevel="2" x14ac:dyDescent="0.25">
      <c r="A322" s="166"/>
      <c r="B322" s="167"/>
      <c r="C322" s="166"/>
      <c r="D322" s="166" t="s">
        <v>389</v>
      </c>
      <c r="E322" s="166" t="s">
        <v>6</v>
      </c>
      <c r="F322" s="166" t="s">
        <v>431</v>
      </c>
      <c r="G322" s="166" t="s">
        <v>432</v>
      </c>
      <c r="H322" s="166" t="s">
        <v>433</v>
      </c>
      <c r="I322" s="166" t="s">
        <v>434</v>
      </c>
      <c r="J322" s="166" t="s">
        <v>435</v>
      </c>
      <c r="K322" s="166" t="s">
        <v>7</v>
      </c>
      <c r="L322" s="166" t="s">
        <v>436</v>
      </c>
      <c r="M322" s="166" t="s">
        <v>437</v>
      </c>
      <c r="N322" s="166"/>
      <c r="O322" s="168" t="s">
        <v>319</v>
      </c>
      <c r="P322" s="169" t="s">
        <v>332</v>
      </c>
      <c r="R322" s="171"/>
      <c r="S322" s="172"/>
    </row>
    <row r="323" spans="1:19" hidden="1" outlineLevel="2" x14ac:dyDescent="0.25">
      <c r="B323" s="174" t="s">
        <v>671</v>
      </c>
      <c r="C323" s="234" t="s">
        <v>227</v>
      </c>
      <c r="E323" s="237">
        <f>Daten_ALLG!$D$281</f>
        <v>0.05</v>
      </c>
      <c r="F323" s="237">
        <f>Daten_ALLG!$D$276</f>
        <v>8.6999999999999994E-2</v>
      </c>
      <c r="G323" s="237">
        <f>Daten_ALLG!$D$277</f>
        <v>0.122</v>
      </c>
      <c r="H323" s="237">
        <f>Daten_ALLG!$D$276</f>
        <v>8.6999999999999994E-2</v>
      </c>
      <c r="I323" s="237">
        <f>Daten_ALLG!$D$277</f>
        <v>0.122</v>
      </c>
      <c r="J323" s="237">
        <f>Daten_ALLG!$D$280</f>
        <v>0.10199999999999999</v>
      </c>
      <c r="K323" s="237">
        <f>Daten_ALLG!$D$278</f>
        <v>0.186</v>
      </c>
      <c r="L323" s="237">
        <f>Daten_ALLG!$D$279</f>
        <v>0.186</v>
      </c>
      <c r="M323" s="237">
        <f>Daten_ALLG!$D$279</f>
        <v>0.186</v>
      </c>
    </row>
    <row r="324" spans="1:19" hidden="1" outlineLevel="2" x14ac:dyDescent="0.25">
      <c r="B324" s="174" t="s">
        <v>678</v>
      </c>
      <c r="C324" s="234" t="s">
        <v>13</v>
      </c>
      <c r="D324" s="237">
        <f>SUMPRODUCT(E305:M305,E324:M324)</f>
        <v>0.12117459727762715</v>
      </c>
      <c r="E324" s="237">
        <f t="shared" ref="E324:M325" si="25">E$323/E306</f>
        <v>6.6666666666666666E-2</v>
      </c>
      <c r="F324" s="237">
        <f t="shared" si="25"/>
        <v>0.10874999999999999</v>
      </c>
      <c r="G324" s="237">
        <f t="shared" si="25"/>
        <v>0.1525</v>
      </c>
      <c r="H324" s="237">
        <f t="shared" si="25"/>
        <v>9.3548387096774183E-2</v>
      </c>
      <c r="I324" s="237">
        <f t="shared" si="25"/>
        <v>0.13118279569892471</v>
      </c>
      <c r="J324" s="237">
        <f t="shared" si="25"/>
        <v>0.10303030303030303</v>
      </c>
      <c r="K324" s="237">
        <f t="shared" si="25"/>
        <v>0.186</v>
      </c>
      <c r="L324" s="237">
        <f t="shared" si="25"/>
        <v>9.149532399718964E-2</v>
      </c>
      <c r="M324" s="237">
        <f t="shared" si="25"/>
        <v>7.572090081910289E-2</v>
      </c>
      <c r="N324" s="215" t="s">
        <v>563</v>
      </c>
      <c r="O324" s="235">
        <f>IF($A$303&lt;&gt;"",IF($D303="V",$D324,IF($E303="V",$E324,IF($F303="V",$F324,IF($G303="V",$G324,IF($H303="V",$H324,IF($I303="V",$I324,IF($J303="V",$J324,IF($K303="V",$K324,IF($L303="V",$L324,IF($M303="V",$M324,"")))))))))),$D324)</f>
        <v>0.12117459727762715</v>
      </c>
      <c r="P324" s="236">
        <f>IF($A$303&lt;&gt;"",IF($D303="N",D325,IF($E303="N",$E325,IF($F303="N",$F325,IF($G303="N",$G325,IF($H303="N",$H325,IF($I303="N",$I325,IF($J303="N",$J325,IF($K303="N",$K325,IF($L303="N",$L325,IF($M303="N",$M325,SUMPRODUCT(D326:M326,D325:M325))))))))))),$D325)</f>
        <v>0.12117459727762715</v>
      </c>
    </row>
    <row r="325" spans="1:19" hidden="1" outlineLevel="2" x14ac:dyDescent="0.25">
      <c r="C325" s="234" t="s">
        <v>13</v>
      </c>
      <c r="D325" s="237">
        <f>SUMPRODUCT(E305:M305,E325:M325)</f>
        <v>0.12117459727762715</v>
      </c>
      <c r="E325" s="237">
        <f t="shared" si="25"/>
        <v>6.6666666666666666E-2</v>
      </c>
      <c r="F325" s="237">
        <f t="shared" si="25"/>
        <v>0.10874999999999999</v>
      </c>
      <c r="G325" s="237">
        <f t="shared" si="25"/>
        <v>0.1525</v>
      </c>
      <c r="H325" s="237">
        <f t="shared" si="25"/>
        <v>9.3548387096774183E-2</v>
      </c>
      <c r="I325" s="237">
        <f t="shared" si="25"/>
        <v>0.13118279569892471</v>
      </c>
      <c r="J325" s="237">
        <f t="shared" si="25"/>
        <v>0.10303030303030303</v>
      </c>
      <c r="K325" s="237">
        <f t="shared" si="25"/>
        <v>0.186</v>
      </c>
      <c r="L325" s="237">
        <f t="shared" si="25"/>
        <v>9.149532399718964E-2</v>
      </c>
      <c r="M325" s="237">
        <f t="shared" si="25"/>
        <v>7.572090081910289E-2</v>
      </c>
      <c r="N325" s="174" t="s">
        <v>564</v>
      </c>
    </row>
    <row r="326" spans="1:19" hidden="1" outlineLevel="2" x14ac:dyDescent="0.25">
      <c r="C326" s="185"/>
      <c r="D326" s="218">
        <f t="shared" ref="D326:M326" si="26">IF(D303="V",1,0)</f>
        <v>0</v>
      </c>
      <c r="E326" s="218">
        <f t="shared" si="26"/>
        <v>0</v>
      </c>
      <c r="F326" s="218">
        <f t="shared" si="26"/>
        <v>0</v>
      </c>
      <c r="G326" s="218">
        <f t="shared" si="26"/>
        <v>0</v>
      </c>
      <c r="H326" s="218">
        <f t="shared" si="26"/>
        <v>0</v>
      </c>
      <c r="I326" s="218">
        <f t="shared" si="26"/>
        <v>0</v>
      </c>
      <c r="J326" s="218">
        <f t="shared" si="26"/>
        <v>0</v>
      </c>
      <c r="K326" s="218">
        <f t="shared" si="26"/>
        <v>0</v>
      </c>
      <c r="L326" s="218">
        <f t="shared" si="26"/>
        <v>0</v>
      </c>
      <c r="M326" s="218">
        <f t="shared" si="26"/>
        <v>0</v>
      </c>
    </row>
    <row r="327" spans="1:19" s="159" customFormat="1" ht="14.25" customHeight="1" collapsed="1" x14ac:dyDescent="0.25">
      <c r="A327" s="156" t="s">
        <v>465</v>
      </c>
      <c r="B327" s="157"/>
      <c r="C327" s="157"/>
      <c r="D327" s="158"/>
      <c r="O327" s="160"/>
      <c r="P327" s="161"/>
      <c r="R327" s="160"/>
      <c r="S327" s="161"/>
    </row>
    <row r="328" spans="1:19" s="162" customFormat="1" hidden="1" outlineLevel="2" x14ac:dyDescent="0.25">
      <c r="A328" s="212" t="str">
        <f>IF(A276="","",A276)</f>
        <v/>
      </c>
      <c r="B328" s="163" t="s">
        <v>461</v>
      </c>
      <c r="D328" s="212" t="str">
        <f t="shared" ref="D328:M328" si="27">IF(D276="","",D276)</f>
        <v/>
      </c>
      <c r="E328" s="212" t="str">
        <f t="shared" si="27"/>
        <v/>
      </c>
      <c r="F328" s="212" t="str">
        <f t="shared" si="27"/>
        <v/>
      </c>
      <c r="G328" s="212" t="str">
        <f t="shared" si="27"/>
        <v/>
      </c>
      <c r="H328" s="212" t="str">
        <f t="shared" si="27"/>
        <v/>
      </c>
      <c r="I328" s="212" t="str">
        <f t="shared" si="27"/>
        <v/>
      </c>
      <c r="J328" s="212" t="str">
        <f t="shared" si="27"/>
        <v/>
      </c>
      <c r="K328" s="212" t="str">
        <f t="shared" si="27"/>
        <v/>
      </c>
      <c r="L328" s="212" t="str">
        <f t="shared" si="27"/>
        <v/>
      </c>
      <c r="M328" s="212" t="str">
        <f t="shared" si="27"/>
        <v/>
      </c>
      <c r="O328" s="164"/>
      <c r="P328" s="165"/>
      <c r="R328" s="164" t="s">
        <v>457</v>
      </c>
      <c r="S328" s="165"/>
    </row>
    <row r="329" spans="1:19" s="170" customFormat="1" hidden="1" outlineLevel="2" x14ac:dyDescent="0.25">
      <c r="A329" s="166"/>
      <c r="B329" s="167"/>
      <c r="C329" s="166"/>
      <c r="D329" s="166" t="s">
        <v>389</v>
      </c>
      <c r="E329" s="166" t="s">
        <v>6</v>
      </c>
      <c r="F329" s="166" t="s">
        <v>431</v>
      </c>
      <c r="G329" s="166" t="s">
        <v>432</v>
      </c>
      <c r="H329" s="166" t="s">
        <v>433</v>
      </c>
      <c r="I329" s="170" t="s">
        <v>434</v>
      </c>
      <c r="J329" s="166" t="s">
        <v>435</v>
      </c>
      <c r="K329" s="166" t="s">
        <v>7</v>
      </c>
      <c r="L329" s="166" t="s">
        <v>436</v>
      </c>
      <c r="M329" s="166" t="s">
        <v>437</v>
      </c>
      <c r="N329" s="166"/>
      <c r="O329" s="168" t="s">
        <v>319</v>
      </c>
      <c r="P329" s="169" t="s">
        <v>332</v>
      </c>
      <c r="R329" s="171" t="s">
        <v>446</v>
      </c>
      <c r="S329" s="172" t="s">
        <v>456</v>
      </c>
    </row>
    <row r="330" spans="1:19" hidden="1" outlineLevel="2" x14ac:dyDescent="0.25">
      <c r="B330" s="174" t="s">
        <v>444</v>
      </c>
      <c r="C330" s="234" t="s">
        <v>427</v>
      </c>
      <c r="D330" s="214">
        <f>SUMPRODUCT(E278:M278,E330:M330)</f>
        <v>50.594744637854205</v>
      </c>
      <c r="E330" s="214">
        <f>E282*Daten_ALLG!$D$98</f>
        <v>455.73046539341357</v>
      </c>
      <c r="L330" s="214">
        <f>L282*Daten_ALLG!$D$98</f>
        <v>317.91836866949524</v>
      </c>
      <c r="M330" s="214">
        <f>M282*Daten_ALLG!$D$98</f>
        <v>467.92483654305232</v>
      </c>
      <c r="N330" s="215" t="s">
        <v>563</v>
      </c>
    </row>
    <row r="331" spans="1:19" hidden="1" outlineLevel="2" x14ac:dyDescent="0.25">
      <c r="C331" s="234" t="s">
        <v>427</v>
      </c>
      <c r="D331" s="214">
        <f>SUMPRODUCT(E278:M278,E331:M331)</f>
        <v>50.594744637854205</v>
      </c>
      <c r="E331" s="214">
        <f>E283*Daten_ALLG!$D$98</f>
        <v>455.73046539341357</v>
      </c>
      <c r="L331" s="214">
        <f>L283*Daten_ALLG!$D$98</f>
        <v>317.91836866949524</v>
      </c>
      <c r="M331" s="214">
        <f>M283*Daten_ALLG!$D$98</f>
        <v>467.92483654305232</v>
      </c>
      <c r="N331" s="174" t="s">
        <v>564</v>
      </c>
      <c r="O331" s="193">
        <f>IF($A$328&lt;&gt;"",IF($D328="V",$D330,IF($E328="V",$E330,IF($F328="V",$F330,IF($G328="V",$G330,IF($H328="V",$H330,IF($I328="V",$I330,IF($J328="V",$J330,IF($K328="V",$K330,IF($L328="V",$L330,IF($M328="V",$M330,"")))))))))),$D330)</f>
        <v>50.594744637854205</v>
      </c>
      <c r="P331" s="194">
        <f>IF($A$328&lt;&gt;"",IF($D328="N",D331,IF($E328="N",$E331,IF($F328="N",$F331,IF($G328="N",$G331,IF($H328="N",$H331,IF($I328="N",$I331,IF($J328="N",$J331,IF($K328="N",$K331,IF($L328="N",$L331,IF($M328="N",$M331,SUMPRODUCT(D332:M332,D331:M331))))))))))),$D331)</f>
        <v>50.594744637854205</v>
      </c>
      <c r="Q331" s="185" t="s">
        <v>427</v>
      </c>
      <c r="R331" s="180">
        <f>IF(A328&lt;&gt;"",IF(OR(L328="n",M328="n",E328="n"),P331,0),0)</f>
        <v>0</v>
      </c>
    </row>
    <row r="332" spans="1:19" hidden="1" outlineLevel="2" x14ac:dyDescent="0.25">
      <c r="C332" s="185"/>
      <c r="D332" s="218">
        <f>IF(D328="V",1,0)</f>
        <v>0</v>
      </c>
      <c r="E332" s="218">
        <f t="shared" ref="E332:M332" si="28">IF(E328="V",1,0)</f>
        <v>0</v>
      </c>
      <c r="F332" s="218">
        <f t="shared" si="28"/>
        <v>0</v>
      </c>
      <c r="G332" s="218">
        <f t="shared" si="28"/>
        <v>0</v>
      </c>
      <c r="H332" s="218">
        <f t="shared" si="28"/>
        <v>0</v>
      </c>
      <c r="I332" s="218">
        <f t="shared" si="28"/>
        <v>0</v>
      </c>
      <c r="J332" s="218">
        <f t="shared" si="28"/>
        <v>0</v>
      </c>
      <c r="K332" s="218">
        <f t="shared" si="28"/>
        <v>0</v>
      </c>
      <c r="L332" s="218">
        <f t="shared" si="28"/>
        <v>0</v>
      </c>
      <c r="M332" s="218">
        <f t="shared" si="28"/>
        <v>0</v>
      </c>
    </row>
    <row r="333" spans="1:19" s="162" customFormat="1" hidden="1" outlineLevel="2" x14ac:dyDescent="0.25">
      <c r="B333" s="163" t="s">
        <v>443</v>
      </c>
      <c r="O333" s="164"/>
      <c r="P333" s="165"/>
      <c r="R333" s="164"/>
      <c r="S333" s="165"/>
    </row>
    <row r="334" spans="1:19" s="170" customFormat="1" hidden="1" outlineLevel="2" x14ac:dyDescent="0.25">
      <c r="A334" s="166"/>
      <c r="B334" s="167"/>
      <c r="C334" s="166"/>
      <c r="D334" s="166"/>
      <c r="E334" s="166"/>
      <c r="F334" s="166"/>
      <c r="G334" s="166"/>
      <c r="H334" s="166"/>
      <c r="J334" s="166"/>
      <c r="K334" s="166"/>
      <c r="L334" s="166"/>
      <c r="M334" s="166"/>
      <c r="N334" s="166"/>
      <c r="O334" s="168" t="s">
        <v>319</v>
      </c>
      <c r="P334" s="169" t="s">
        <v>332</v>
      </c>
      <c r="R334" s="171"/>
      <c r="S334" s="172"/>
    </row>
    <row r="335" spans="1:19" hidden="1" outlineLevel="2" x14ac:dyDescent="0.25">
      <c r="B335" s="174" t="s">
        <v>447</v>
      </c>
      <c r="C335" s="234" t="s">
        <v>355</v>
      </c>
      <c r="D335" s="214">
        <f>Daten_ALLG!$L$105*O331^Daten_ALLG!$L$107*(O134-O26)</f>
        <v>12.527980054081715</v>
      </c>
      <c r="E335" s="214">
        <f>Daten_ALLG!$L$105*P331^Daten_ALLG!$L$107*(P134-P26)</f>
        <v>12.527980054081715</v>
      </c>
      <c r="O335" s="238"/>
      <c r="P335" s="239"/>
    </row>
    <row r="336" spans="1:19" hidden="1" outlineLevel="2" x14ac:dyDescent="0.25">
      <c r="B336" s="174" t="s">
        <v>478</v>
      </c>
      <c r="C336" s="234" t="s">
        <v>348</v>
      </c>
      <c r="O336" s="216">
        <f>D335*O18*24/1000</f>
        <v>83.381130184380069</v>
      </c>
      <c r="P336" s="217">
        <f>E335*P18*24/1000</f>
        <v>83.381130184380069</v>
      </c>
    </row>
    <row r="337" spans="1:19" s="162" customFormat="1" hidden="1" outlineLevel="2" x14ac:dyDescent="0.25">
      <c r="A337" s="212" t="str">
        <f>IF(A349="","",A349)</f>
        <v/>
      </c>
      <c r="B337" s="163" t="s">
        <v>462</v>
      </c>
      <c r="D337" s="212" t="str">
        <f>IF(D349="","",D349)</f>
        <v/>
      </c>
      <c r="E337" s="212" t="str">
        <f>IF(E349="","",E349)</f>
        <v/>
      </c>
      <c r="F337" s="212" t="str">
        <f>IF(F349="","",F349)</f>
        <v/>
      </c>
      <c r="G337" s="212"/>
      <c r="H337" s="212"/>
      <c r="I337" s="212"/>
      <c r="J337" s="212"/>
      <c r="K337" s="212"/>
      <c r="L337" s="212"/>
      <c r="M337" s="212"/>
      <c r="O337" s="164"/>
      <c r="P337" s="165"/>
      <c r="R337" s="164" t="s">
        <v>457</v>
      </c>
      <c r="S337" s="165"/>
    </row>
    <row r="338" spans="1:19" s="170" customFormat="1" hidden="1" outlineLevel="2" x14ac:dyDescent="0.25">
      <c r="A338" s="166"/>
      <c r="B338" s="167"/>
      <c r="C338" s="166"/>
      <c r="D338" s="166" t="s">
        <v>389</v>
      </c>
      <c r="E338" s="166" t="s">
        <v>180</v>
      </c>
      <c r="F338" s="166" t="s">
        <v>23</v>
      </c>
      <c r="H338" s="166"/>
      <c r="J338" s="166"/>
      <c r="K338" s="166"/>
      <c r="L338" s="166"/>
      <c r="M338" s="166"/>
      <c r="N338" s="166"/>
      <c r="O338" s="168" t="s">
        <v>319</v>
      </c>
      <c r="P338" s="169" t="s">
        <v>332</v>
      </c>
      <c r="R338" s="171" t="s">
        <v>446</v>
      </c>
      <c r="S338" s="172" t="s">
        <v>456</v>
      </c>
    </row>
    <row r="339" spans="1:19" hidden="1" outlineLevel="2" x14ac:dyDescent="0.25">
      <c r="B339" s="174" t="s">
        <v>444</v>
      </c>
      <c r="C339" s="234" t="s">
        <v>427</v>
      </c>
      <c r="D339" s="214">
        <f>E351*E339+F351*F339</f>
        <v>141.26977628485218</v>
      </c>
      <c r="E339" s="214">
        <f>Daten_ALLG!$D$101*Daten_EZFH!$D$18+Daten_ALLG!$F$101</f>
        <v>114.86457428520717</v>
      </c>
      <c r="F339" s="214">
        <f>Daten_ALLG!$D$102*F353</f>
        <v>246.89058428343225</v>
      </c>
      <c r="L339" s="220"/>
      <c r="M339" s="220"/>
      <c r="O339" s="193">
        <f>IF($A337&lt;&gt;"",IF($D337="V",$D339,IF($E337="V",$E339,IF($F337="V",F339,""))),$D339)</f>
        <v>141.26977628485218</v>
      </c>
      <c r="P339" s="194">
        <f>IF($A337&lt;&gt;"",IF($D337="N",$D339,IF($E337="N",$E339,IF($F337="N",F339,O339))),$D339)</f>
        <v>141.26977628485218</v>
      </c>
      <c r="Q339" s="185" t="s">
        <v>427</v>
      </c>
      <c r="R339" s="180">
        <f>IF(A303="",0,IF(F349="N",F339,IF(E349="N",E339,0)))</f>
        <v>0</v>
      </c>
      <c r="S339" s="181">
        <f>IF(A303="",0,IF(R339=0,0,E339))</f>
        <v>0</v>
      </c>
    </row>
    <row r="340" spans="1:19" s="162" customFormat="1" hidden="1" outlineLevel="2" x14ac:dyDescent="0.25">
      <c r="B340" s="163" t="s">
        <v>464</v>
      </c>
      <c r="O340" s="164"/>
      <c r="P340" s="165"/>
      <c r="R340" s="164"/>
      <c r="S340" s="165"/>
    </row>
    <row r="341" spans="1:19" s="170" customFormat="1" hidden="1" outlineLevel="2" x14ac:dyDescent="0.25">
      <c r="A341" s="166"/>
      <c r="B341" s="167"/>
      <c r="C341" s="166"/>
      <c r="D341" s="166"/>
      <c r="E341" s="166"/>
      <c r="F341" s="166"/>
      <c r="G341" s="166"/>
      <c r="H341" s="166"/>
      <c r="J341" s="166"/>
      <c r="K341" s="166"/>
      <c r="L341" s="166"/>
      <c r="M341" s="166"/>
      <c r="N341" s="166"/>
      <c r="O341" s="168" t="s">
        <v>319</v>
      </c>
      <c r="P341" s="169" t="s">
        <v>332</v>
      </c>
      <c r="R341" s="171"/>
      <c r="S341" s="172"/>
    </row>
    <row r="342" spans="1:19" hidden="1" outlineLevel="2" x14ac:dyDescent="0.25">
      <c r="B342" s="174" t="s">
        <v>447</v>
      </c>
      <c r="C342" s="234" t="s">
        <v>355</v>
      </c>
      <c r="D342" s="214">
        <f>Daten_ALLG!$L$105*O339^Daten_ALLG!$L$107*(Daten_ALLG!$D$37-O26)</f>
        <v>43.184699964830237</v>
      </c>
      <c r="E342" s="214">
        <f>Daten_ALLG!$L$105*P339^Daten_ALLG!$L$107*(Daten_ALLG!$D$37-P26)</f>
        <v>43.184699964830237</v>
      </c>
      <c r="O342" s="238"/>
      <c r="P342" s="239"/>
    </row>
    <row r="343" spans="1:19" hidden="1" outlineLevel="2" x14ac:dyDescent="0.25">
      <c r="B343" s="174" t="s">
        <v>479</v>
      </c>
      <c r="C343" s="234" t="s">
        <v>348</v>
      </c>
      <c r="O343" s="216">
        <f>D342*8760/1000</f>
        <v>378.29797169191284</v>
      </c>
      <c r="P343" s="217">
        <f>E342*8760/1000</f>
        <v>378.29797169191284</v>
      </c>
    </row>
    <row r="344" spans="1:19" s="159" customFormat="1" ht="14.25" customHeight="1" collapsed="1" x14ac:dyDescent="0.25">
      <c r="A344" s="156" t="s">
        <v>190</v>
      </c>
      <c r="B344" s="157"/>
      <c r="C344" s="157"/>
      <c r="D344" s="158"/>
      <c r="O344" s="160"/>
      <c r="P344" s="161"/>
      <c r="R344" s="160"/>
      <c r="S344" s="161"/>
    </row>
    <row r="345" spans="1:19" s="162" customFormat="1" hidden="1" outlineLevel="2" x14ac:dyDescent="0.25">
      <c r="B345" s="163" t="s">
        <v>365</v>
      </c>
      <c r="O345" s="164"/>
      <c r="P345" s="165"/>
      <c r="R345" s="164"/>
      <c r="S345" s="165"/>
    </row>
    <row r="346" spans="1:19" s="170" customFormat="1" hidden="1" outlineLevel="2" x14ac:dyDescent="0.25">
      <c r="A346" s="166"/>
      <c r="B346" s="167"/>
      <c r="C346" s="166"/>
      <c r="D346" s="166"/>
      <c r="E346" s="166"/>
      <c r="F346" s="166"/>
      <c r="G346" s="166"/>
      <c r="H346" s="166"/>
      <c r="J346" s="166"/>
      <c r="K346" s="166"/>
      <c r="L346" s="166"/>
      <c r="M346" s="166"/>
      <c r="N346" s="166"/>
      <c r="O346" s="168" t="s">
        <v>319</v>
      </c>
      <c r="P346" s="169" t="s">
        <v>332</v>
      </c>
      <c r="R346" s="171"/>
      <c r="S346" s="172"/>
    </row>
    <row r="347" spans="1:19" hidden="1" outlineLevel="2" x14ac:dyDescent="0.25">
      <c r="B347" s="174" t="s">
        <v>467</v>
      </c>
      <c r="C347" s="185" t="s">
        <v>348</v>
      </c>
      <c r="O347" s="216">
        <f>(Daten_ALLG!$L$166*O94^Daten_ALLG!$L$168)*Daten_EZFH!$D$16</f>
        <v>138.9363446194221</v>
      </c>
      <c r="P347" s="217">
        <f>(Daten_ALLG!$L$166*P94^Daten_ALLG!$L$168)*Daten_EZFH!$D$16</f>
        <v>138.9363446194221</v>
      </c>
    </row>
    <row r="348" spans="1:19" s="159" customFormat="1" ht="14.25" customHeight="1" thickBot="1" x14ac:dyDescent="0.3">
      <c r="A348" s="156" t="s">
        <v>458</v>
      </c>
      <c r="B348" s="157"/>
      <c r="C348" s="157"/>
      <c r="D348" s="158"/>
      <c r="O348" s="160"/>
      <c r="P348" s="161"/>
      <c r="R348" s="160"/>
      <c r="S348" s="161"/>
    </row>
    <row r="349" spans="1:19" s="162" customFormat="1" ht="15.75" outlineLevel="1" thickBot="1" x14ac:dyDescent="0.3">
      <c r="A349" s="335"/>
      <c r="B349" s="163" t="s">
        <v>453</v>
      </c>
      <c r="D349" s="335"/>
      <c r="E349" s="335"/>
      <c r="F349" s="335"/>
      <c r="O349" s="164"/>
      <c r="P349" s="165"/>
      <c r="R349" s="164" t="s">
        <v>457</v>
      </c>
      <c r="S349" s="165"/>
    </row>
    <row r="350" spans="1:19" s="170" customFormat="1" ht="15.75" outlineLevel="1" collapsed="1" thickBot="1" x14ac:dyDescent="0.3">
      <c r="A350" s="166"/>
      <c r="B350" s="167"/>
      <c r="C350" s="166"/>
      <c r="D350" s="166" t="s">
        <v>389</v>
      </c>
      <c r="E350" s="166" t="s">
        <v>191</v>
      </c>
      <c r="F350" s="166" t="s">
        <v>45</v>
      </c>
      <c r="G350" s="166"/>
      <c r="H350" s="166"/>
      <c r="J350" s="166"/>
      <c r="K350" s="166"/>
      <c r="L350" s="166"/>
      <c r="M350" s="166"/>
      <c r="N350" s="166"/>
      <c r="O350" s="168" t="s">
        <v>319</v>
      </c>
      <c r="P350" s="169" t="s">
        <v>332</v>
      </c>
      <c r="R350" s="171" t="s">
        <v>454</v>
      </c>
      <c r="S350" s="172" t="s">
        <v>456</v>
      </c>
    </row>
    <row r="351" spans="1:19" hidden="1" outlineLevel="2" x14ac:dyDescent="0.25">
      <c r="B351" s="174" t="s">
        <v>157</v>
      </c>
      <c r="C351" s="185" t="s">
        <v>13</v>
      </c>
      <c r="E351" s="191">
        <f>1-F351</f>
        <v>0.8</v>
      </c>
      <c r="F351" s="191">
        <f>Daten_EZFH!$D$105</f>
        <v>0.2</v>
      </c>
      <c r="J351" s="197"/>
      <c r="K351" s="197"/>
      <c r="L351" s="197"/>
      <c r="M351" s="197"/>
      <c r="N351" s="197"/>
    </row>
    <row r="352" spans="1:19" hidden="1" outlineLevel="2" x14ac:dyDescent="0.25">
      <c r="B352" s="174" t="s">
        <v>480</v>
      </c>
      <c r="C352" s="234" t="s">
        <v>348</v>
      </c>
      <c r="D352" s="187">
        <f>F351*F352</f>
        <v>296.26870114011871</v>
      </c>
      <c r="E352" s="187">
        <v>0</v>
      </c>
      <c r="F352" s="184">
        <f>F353*Daten_ALLG!$L$147</f>
        <v>1481.3435057005936</v>
      </c>
      <c r="G352" s="197"/>
      <c r="H352" s="197"/>
      <c r="O352" s="216">
        <f>IF($A349&lt;&gt;"",IF($D349="V",$D352,IF($E349="V",$E352,IF($F349="V",F352,""))),$D352)</f>
        <v>296.26870114011871</v>
      </c>
      <c r="P352" s="217">
        <f>IF($A349&lt;&gt;"",IF($D349="N",$D352,IF($E349="N",$E352,IF($F349="N",F352,O352))),$D352)</f>
        <v>296.26870114011871</v>
      </c>
      <c r="Q352" s="185" t="s">
        <v>50</v>
      </c>
      <c r="R352" s="200">
        <f>IF(F349="n",F353,0)</f>
        <v>0</v>
      </c>
    </row>
    <row r="353" spans="1:19" ht="15.75" hidden="1" outlineLevel="2" thickBot="1" x14ac:dyDescent="0.3">
      <c r="B353" s="174" t="s">
        <v>452</v>
      </c>
      <c r="C353" s="175" t="s">
        <v>50</v>
      </c>
      <c r="D353" s="207">
        <f>F351*F353</f>
        <v>0.82296861427810752</v>
      </c>
      <c r="E353" s="223">
        <v>0</v>
      </c>
      <c r="F353" s="213">
        <f>Daten_EZFH!$D$18*Daten_ALLG!$D$144</f>
        <v>4.1148430713905375</v>
      </c>
    </row>
    <row r="354" spans="1:19" s="162" customFormat="1" ht="15.75" outlineLevel="1" thickBot="1" x14ac:dyDescent="0.3">
      <c r="A354" s="335"/>
      <c r="B354" s="163" t="s">
        <v>459</v>
      </c>
      <c r="D354" s="335"/>
      <c r="E354" s="335"/>
      <c r="F354" s="335"/>
      <c r="O354" s="164"/>
      <c r="P354" s="165"/>
      <c r="R354" s="164" t="s">
        <v>457</v>
      </c>
      <c r="S354" s="165"/>
    </row>
    <row r="355" spans="1:19" s="170" customFormat="1" outlineLevel="1" collapsed="1" x14ac:dyDescent="0.25">
      <c r="A355" s="166"/>
      <c r="B355" s="167"/>
      <c r="C355" s="166"/>
      <c r="D355" s="166" t="s">
        <v>65</v>
      </c>
      <c r="E355" s="166" t="s">
        <v>191</v>
      </c>
      <c r="F355" s="166" t="s">
        <v>45</v>
      </c>
      <c r="G355" s="166"/>
      <c r="H355" s="166"/>
      <c r="J355" s="166"/>
      <c r="K355" s="166"/>
      <c r="L355" s="166"/>
      <c r="M355" s="166"/>
      <c r="N355" s="166"/>
      <c r="O355" s="168" t="s">
        <v>319</v>
      </c>
      <c r="P355" s="169" t="s">
        <v>332</v>
      </c>
      <c r="R355" s="171" t="s">
        <v>460</v>
      </c>
      <c r="S355" s="172" t="s">
        <v>456</v>
      </c>
    </row>
    <row r="356" spans="1:19" hidden="1" outlineLevel="2" x14ac:dyDescent="0.25">
      <c r="B356" s="174" t="s">
        <v>157</v>
      </c>
      <c r="C356" s="185" t="s">
        <v>13</v>
      </c>
      <c r="D356" s="230"/>
      <c r="E356" s="191">
        <f>1-F356</f>
        <v>0.86</v>
      </c>
      <c r="F356" s="191">
        <f>Daten_EZFH!$D$108</f>
        <v>0.14000000000000001</v>
      </c>
      <c r="G356" s="192"/>
      <c r="H356" s="192"/>
      <c r="J356" s="192"/>
      <c r="K356" s="192"/>
      <c r="L356" s="192"/>
      <c r="M356" s="192"/>
      <c r="N356" s="192"/>
    </row>
    <row r="357" spans="1:19" hidden="1" outlineLevel="2" x14ac:dyDescent="0.25">
      <c r="B357" s="174" t="s">
        <v>372</v>
      </c>
      <c r="C357" s="185" t="s">
        <v>348</v>
      </c>
      <c r="D357" s="214">
        <f>E356*E357+F356*F357</f>
        <v>1090.3401419872075</v>
      </c>
      <c r="E357" s="223">
        <v>0</v>
      </c>
      <c r="F357" s="214">
        <f>F358*Daten_ALLG!$D$154</f>
        <v>7788.1438713371963</v>
      </c>
      <c r="G357" s="185"/>
      <c r="H357" s="185"/>
      <c r="J357" s="220"/>
      <c r="K357" s="220"/>
      <c r="L357" s="220"/>
      <c r="M357" s="220"/>
      <c r="N357" s="220"/>
      <c r="O357" s="216">
        <f>IF($A354&lt;&gt;"",IF($D354="V",$D357,IF($E354="V",$E357,IF($F354="V",F357,""))),$D357)</f>
        <v>1090.3401419872075</v>
      </c>
      <c r="P357" s="217">
        <f>IF($A354&lt;&gt;"",IF($D354="N",$D357,IF($E354="N",$E357,IF($F354="N",F357,O357))),$D357)</f>
        <v>1090.3401419872075</v>
      </c>
      <c r="Q357" s="185" t="s">
        <v>368</v>
      </c>
      <c r="R357" s="200">
        <f>IF(F354="N",F358,0)</f>
        <v>0</v>
      </c>
    </row>
    <row r="358" spans="1:19" hidden="1" outlineLevel="2" x14ac:dyDescent="0.25">
      <c r="B358" s="174" t="s">
        <v>370</v>
      </c>
      <c r="C358" s="185" t="s">
        <v>368</v>
      </c>
      <c r="D358" s="207">
        <f>F356*F358</f>
        <v>1.0903401419872076</v>
      </c>
      <c r="E358" s="223">
        <v>0</v>
      </c>
      <c r="F358" s="202">
        <f>F359/Daten_ALLG!$D$151</f>
        <v>7.788143871337196</v>
      </c>
    </row>
    <row r="359" spans="1:19" hidden="1" outlineLevel="2" x14ac:dyDescent="0.25">
      <c r="B359" s="174" t="s">
        <v>371</v>
      </c>
      <c r="C359" s="185" t="s">
        <v>50</v>
      </c>
      <c r="F359" s="214">
        <f>Daten_EZFH!$D$25*Daten_ALLG!$D$150</f>
        <v>38.940719356685982</v>
      </c>
    </row>
    <row r="360" spans="1:19" s="159" customFormat="1" ht="14.25" customHeight="1" collapsed="1" x14ac:dyDescent="0.25">
      <c r="A360" s="156" t="s">
        <v>706</v>
      </c>
      <c r="B360" s="157"/>
      <c r="C360" s="157"/>
      <c r="D360" s="158"/>
      <c r="O360" s="160"/>
      <c r="P360" s="161"/>
      <c r="R360" s="160"/>
      <c r="S360" s="161"/>
    </row>
    <row r="361" spans="1:19" s="162" customFormat="1" hidden="1" outlineLevel="2" x14ac:dyDescent="0.25">
      <c r="B361" s="163" t="s">
        <v>770</v>
      </c>
      <c r="O361" s="164"/>
      <c r="P361" s="165"/>
      <c r="R361" s="164"/>
      <c r="S361" s="165"/>
    </row>
    <row r="362" spans="1:19" s="170" customFormat="1" hidden="1" outlineLevel="2" x14ac:dyDescent="0.25">
      <c r="A362" s="166"/>
      <c r="B362" s="167"/>
      <c r="C362" s="166"/>
      <c r="D362" s="166"/>
      <c r="E362" s="166"/>
      <c r="F362" s="166"/>
      <c r="G362" s="166"/>
      <c r="H362" s="166"/>
      <c r="J362" s="166"/>
      <c r="K362" s="166"/>
      <c r="L362" s="166"/>
      <c r="M362" s="166"/>
      <c r="N362" s="166"/>
      <c r="O362" s="168" t="s">
        <v>319</v>
      </c>
      <c r="P362" s="169" t="s">
        <v>332</v>
      </c>
      <c r="R362" s="171"/>
      <c r="S362" s="172"/>
    </row>
    <row r="363" spans="1:19" hidden="1" outlineLevel="2" x14ac:dyDescent="0.25">
      <c r="B363" s="174" t="s">
        <v>691</v>
      </c>
      <c r="C363" s="174" t="s">
        <v>694</v>
      </c>
      <c r="D363" s="185"/>
      <c r="F363" s="192" t="s">
        <v>348</v>
      </c>
      <c r="J363" s="197"/>
      <c r="K363" s="197"/>
      <c r="L363" s="197"/>
      <c r="M363" s="197"/>
      <c r="N363" s="197"/>
      <c r="O363" s="221">
        <f>IF($A354&lt;&gt;"",IF($D354="V",0,IF($E354="V",0,IF($F354="V",F357,0))),0)</f>
        <v>0</v>
      </c>
      <c r="P363" s="222">
        <f>IF($A354&lt;&gt;"",IF($D354="n",0,IF($E354="n",0,IF($F354="n",F357,O363))),0)</f>
        <v>0</v>
      </c>
    </row>
    <row r="364" spans="1:19" hidden="1" outlineLevel="2" x14ac:dyDescent="0.25">
      <c r="B364" s="174" t="s">
        <v>692</v>
      </c>
      <c r="C364" s="174" t="s">
        <v>694</v>
      </c>
      <c r="D364" s="185"/>
      <c r="F364" s="192" t="s">
        <v>348</v>
      </c>
      <c r="J364" s="197"/>
      <c r="K364" s="197"/>
      <c r="L364" s="197"/>
      <c r="M364" s="197"/>
      <c r="N364" s="197"/>
      <c r="O364" s="180">
        <f>IF($A354&lt;&gt;"",IF($D354="V",$D357,IF($E354="V",0,IF($F354="V",0,0))),D357)</f>
        <v>1090.3401419872075</v>
      </c>
      <c r="P364" s="181">
        <f>IF($A354&lt;&gt;"",IF($D354="n",$D357,IF($E354="n",0,IF($F354="n",0,O364))),D357)</f>
        <v>1090.3401419872075</v>
      </c>
    </row>
    <row r="365" spans="1:19" s="162" customFormat="1" hidden="1" outlineLevel="2" x14ac:dyDescent="0.25">
      <c r="B365" s="163" t="s">
        <v>774</v>
      </c>
      <c r="O365" s="164"/>
      <c r="P365" s="165"/>
      <c r="R365" s="164"/>
      <c r="S365" s="165"/>
    </row>
    <row r="366" spans="1:19" s="170" customFormat="1" hidden="1" outlineLevel="2" x14ac:dyDescent="0.25">
      <c r="A366" s="166"/>
      <c r="B366" s="167"/>
      <c r="C366" s="166"/>
      <c r="D366" s="166"/>
      <c r="E366" s="166"/>
      <c r="F366" s="166"/>
      <c r="G366" s="166"/>
      <c r="H366" s="166"/>
      <c r="J366" s="166"/>
      <c r="K366" s="166"/>
      <c r="L366" s="166"/>
      <c r="M366" s="166"/>
      <c r="N366" s="166"/>
      <c r="O366" s="168" t="s">
        <v>319</v>
      </c>
      <c r="P366" s="169" t="s">
        <v>332</v>
      </c>
      <c r="R366" s="171"/>
      <c r="S366" s="172"/>
    </row>
    <row r="367" spans="1:19" hidden="1" outlineLevel="2" x14ac:dyDescent="0.25">
      <c r="B367" s="174" t="s">
        <v>691</v>
      </c>
      <c r="D367" s="174" t="s">
        <v>686</v>
      </c>
      <c r="E367" s="185" t="s">
        <v>654</v>
      </c>
      <c r="F367" s="192"/>
      <c r="J367" s="197"/>
      <c r="K367" s="197"/>
      <c r="L367" s="197"/>
      <c r="M367" s="197"/>
      <c r="N367" s="197"/>
      <c r="O367" s="221">
        <v>1</v>
      </c>
      <c r="P367" s="222">
        <v>1</v>
      </c>
    </row>
    <row r="368" spans="1:19" hidden="1" outlineLevel="2" x14ac:dyDescent="0.25">
      <c r="D368" s="174" t="s">
        <v>688</v>
      </c>
      <c r="E368" s="185" t="s">
        <v>654</v>
      </c>
      <c r="F368" s="192"/>
      <c r="J368" s="197"/>
      <c r="K368" s="197"/>
      <c r="L368" s="197"/>
      <c r="M368" s="197"/>
      <c r="N368" s="197"/>
      <c r="O368" s="221">
        <f>IF($A$276="",0,IF($D276="V",0,IF($E276="V",0,IF($F276="V",0,IF($G276="V",0,IF($H276="V",0,IF($I276="V",0,IF($J276="V",0,IF($K276="V",1,IF($L276="V",1,IF($M276="V",1,0)))))))))))</f>
        <v>0</v>
      </c>
      <c r="P368" s="222">
        <f>IF($A$276="",0,IF($D276="N",0,IF($E276="N",0,IF($F276="N",0,IF($G276="N",0,IF($H276="N",0,IF($I276="N",0,IF($J276="N",0,IF($K276="N",1,IF($L276="N",1,IF($M276="N",1,O368)))))))))))</f>
        <v>0</v>
      </c>
    </row>
    <row r="369" spans="1:19" hidden="1" outlineLevel="2" x14ac:dyDescent="0.25">
      <c r="D369" s="174" t="s">
        <v>687</v>
      </c>
      <c r="E369" s="185" t="s">
        <v>654</v>
      </c>
      <c r="F369" s="192"/>
      <c r="J369" s="197"/>
      <c r="K369" s="197"/>
      <c r="L369" s="197"/>
      <c r="M369" s="197"/>
      <c r="N369" s="197"/>
      <c r="O369" s="221">
        <f>IF($A$303="",0,IF($D303="V",0,IF($E303="V",0,IF($F303="V",0,IF($G303="V",0,IF($H303="V",0,IF($I303="V",0,IF($J303="V",0,IF($K303="V",1,IF($L303="V",1,IF($M303="V",1,0)))))))))))</f>
        <v>0</v>
      </c>
      <c r="P369" s="222">
        <f>IF($A$303="",0,IF($D303="N",0,IF($E303="N",0,IF($F303="N",0,IF($G303="N",0,IF($H303="N",0,IF($I303="N",0,IF($J303="N",0,IF($K303="N",1,IF($L303="N",1,IF($M303="N",1,O369)))))))))))</f>
        <v>0</v>
      </c>
    </row>
    <row r="370" spans="1:19" s="162" customFormat="1" hidden="1" outlineLevel="2" x14ac:dyDescent="0.25">
      <c r="B370" s="163" t="s">
        <v>771</v>
      </c>
      <c r="O370" s="164"/>
      <c r="P370" s="165"/>
      <c r="R370" s="164"/>
      <c r="S370" s="165"/>
    </row>
    <row r="371" spans="1:19" s="170" customFormat="1" hidden="1" outlineLevel="2" x14ac:dyDescent="0.25">
      <c r="A371" s="166"/>
      <c r="B371" s="167"/>
      <c r="C371" s="166"/>
      <c r="D371" s="166"/>
      <c r="E371" s="166"/>
      <c r="F371" s="166"/>
      <c r="G371" s="166"/>
      <c r="H371" s="166"/>
      <c r="J371" s="166"/>
      <c r="K371" s="166"/>
      <c r="L371" s="166"/>
      <c r="M371" s="166"/>
      <c r="N371" s="166"/>
      <c r="O371" s="168" t="s">
        <v>319</v>
      </c>
      <c r="P371" s="169" t="s">
        <v>332</v>
      </c>
      <c r="R371" s="171"/>
      <c r="S371" s="172"/>
    </row>
    <row r="372" spans="1:19" hidden="1" outlineLevel="2" x14ac:dyDescent="0.25">
      <c r="B372" s="174" t="s">
        <v>691</v>
      </c>
      <c r="C372" s="174" t="s">
        <v>689</v>
      </c>
      <c r="D372" s="185"/>
      <c r="F372" s="192" t="s">
        <v>348</v>
      </c>
      <c r="J372" s="197"/>
      <c r="K372" s="197"/>
      <c r="L372" s="197"/>
      <c r="M372" s="197"/>
      <c r="N372" s="197"/>
      <c r="O372" s="221">
        <f>O37*O367</f>
        <v>3437.3402245449161</v>
      </c>
      <c r="P372" s="222">
        <f>P37*P367</f>
        <v>3437.3402245449161</v>
      </c>
    </row>
    <row r="373" spans="1:19" hidden="1" outlineLevel="2" x14ac:dyDescent="0.25">
      <c r="C373" s="174" t="s">
        <v>690</v>
      </c>
      <c r="D373" s="185"/>
      <c r="F373" s="192" t="s">
        <v>348</v>
      </c>
      <c r="J373" s="197"/>
      <c r="K373" s="197"/>
      <c r="L373" s="197"/>
      <c r="M373" s="197"/>
      <c r="N373" s="197"/>
      <c r="O373" s="221">
        <f>IF(O368=0,0,O368*O409)</f>
        <v>0</v>
      </c>
      <c r="P373" s="222">
        <f>IF(P368=0,0,P368*P409)</f>
        <v>0</v>
      </c>
    </row>
    <row r="374" spans="1:19" hidden="1" outlineLevel="2" x14ac:dyDescent="0.25">
      <c r="C374" s="174" t="s">
        <v>685</v>
      </c>
      <c r="D374" s="185"/>
      <c r="F374" s="192" t="s">
        <v>348</v>
      </c>
      <c r="J374" s="197"/>
      <c r="K374" s="197"/>
      <c r="L374" s="197"/>
      <c r="M374" s="197"/>
      <c r="N374" s="197"/>
      <c r="O374" s="221">
        <f>IF(O369=0,0,O369*O417)</f>
        <v>0</v>
      </c>
      <c r="P374" s="222">
        <f>IF(P369=0,0,P369*P417)</f>
        <v>0</v>
      </c>
    </row>
    <row r="375" spans="1:19" s="162" customFormat="1" hidden="1" outlineLevel="2" x14ac:dyDescent="0.25">
      <c r="B375" s="163" t="s">
        <v>772</v>
      </c>
      <c r="O375" s="164"/>
      <c r="P375" s="165"/>
      <c r="R375" s="164"/>
      <c r="S375" s="165"/>
    </row>
    <row r="376" spans="1:19" s="170" customFormat="1" hidden="1" outlineLevel="2" x14ac:dyDescent="0.25">
      <c r="A376" s="166"/>
      <c r="B376" s="167"/>
      <c r="C376" s="166"/>
      <c r="D376" s="166"/>
      <c r="E376" s="166"/>
      <c r="F376" s="166"/>
      <c r="G376" s="166"/>
      <c r="H376" s="166"/>
      <c r="J376" s="166"/>
      <c r="K376" s="166"/>
      <c r="L376" s="166"/>
      <c r="M376" s="166"/>
      <c r="N376" s="166"/>
      <c r="O376" s="168" t="s">
        <v>319</v>
      </c>
      <c r="P376" s="169" t="s">
        <v>332</v>
      </c>
      <c r="R376" s="171"/>
      <c r="S376" s="172"/>
    </row>
    <row r="377" spans="1:19" hidden="1" outlineLevel="2" x14ac:dyDescent="0.25">
      <c r="B377" s="174" t="s">
        <v>698</v>
      </c>
      <c r="C377" s="185"/>
      <c r="E377" s="192" t="s">
        <v>13</v>
      </c>
      <c r="F377" s="192"/>
      <c r="J377" s="197"/>
      <c r="K377" s="197"/>
      <c r="L377" s="197"/>
      <c r="M377" s="197"/>
      <c r="N377" s="197"/>
      <c r="O377" s="205">
        <f>IF(O363=0,0,Daten_ALLG!$D$157*LN(F358/(O372+O374))+Daten_ALLG!$F$157)</f>
        <v>0</v>
      </c>
      <c r="P377" s="206">
        <f>IF(P363=0,0,Daten_ALLG!$D$157*LN(F358/(P372+P374))+Daten_ALLG!$F$157)</f>
        <v>0</v>
      </c>
    </row>
    <row r="378" spans="1:19" hidden="1" outlineLevel="2" x14ac:dyDescent="0.25">
      <c r="B378" s="174" t="s">
        <v>818</v>
      </c>
      <c r="E378" s="173" t="s">
        <v>348</v>
      </c>
      <c r="O378" s="193">
        <f>O377*O363</f>
        <v>0</v>
      </c>
      <c r="P378" s="194">
        <f>P377*P363</f>
        <v>0</v>
      </c>
    </row>
    <row r="379" spans="1:19" hidden="1" outlineLevel="2" x14ac:dyDescent="0.25">
      <c r="B379" s="174" t="s">
        <v>819</v>
      </c>
      <c r="O379" s="180">
        <f>IF(O363=0,0,O378*O374/(O374+O372))</f>
        <v>0</v>
      </c>
      <c r="P379" s="181">
        <f>P378*P374/(P374+P372)</f>
        <v>0</v>
      </c>
    </row>
    <row r="380" spans="1:19" hidden="1" outlineLevel="2" x14ac:dyDescent="0.25">
      <c r="B380" s="174" t="s">
        <v>820</v>
      </c>
      <c r="O380" s="180">
        <f>IF(O363=0,0,O378-O379)</f>
        <v>0</v>
      </c>
      <c r="P380" s="181">
        <f>P378-P379</f>
        <v>0</v>
      </c>
    </row>
    <row r="381" spans="1:19" hidden="1" outlineLevel="2" x14ac:dyDescent="0.25">
      <c r="B381" s="174" t="s">
        <v>741</v>
      </c>
      <c r="E381" s="173" t="s">
        <v>348</v>
      </c>
      <c r="O381" s="221">
        <f>O363-O378</f>
        <v>0</v>
      </c>
      <c r="P381" s="222">
        <f>P363-P378</f>
        <v>0</v>
      </c>
    </row>
    <row r="382" spans="1:19" s="162" customFormat="1" hidden="1" outlineLevel="2" x14ac:dyDescent="0.25">
      <c r="B382" s="163" t="s">
        <v>773</v>
      </c>
      <c r="O382" s="164"/>
      <c r="P382" s="165"/>
      <c r="R382" s="164"/>
      <c r="S382" s="165"/>
    </row>
    <row r="383" spans="1:19" s="170" customFormat="1" hidden="1" outlineLevel="2" x14ac:dyDescent="0.25">
      <c r="A383" s="166"/>
      <c r="B383" s="167"/>
      <c r="C383" s="166"/>
      <c r="D383" s="166"/>
      <c r="E383" s="166"/>
      <c r="F383" s="166"/>
      <c r="G383" s="166"/>
      <c r="H383" s="166"/>
      <c r="J383" s="166"/>
      <c r="K383" s="166"/>
      <c r="L383" s="166"/>
      <c r="M383" s="166"/>
      <c r="N383" s="166"/>
      <c r="O383" s="168" t="s">
        <v>319</v>
      </c>
      <c r="P383" s="169" t="s">
        <v>332</v>
      </c>
      <c r="R383" s="171"/>
      <c r="S383" s="172"/>
    </row>
    <row r="384" spans="1:19" hidden="1" outlineLevel="2" x14ac:dyDescent="0.25">
      <c r="B384" s="146" t="s">
        <v>700</v>
      </c>
      <c r="C384" s="185"/>
      <c r="E384" s="240" t="s">
        <v>699</v>
      </c>
      <c r="F384" s="146"/>
      <c r="G384" s="146"/>
      <c r="H384" s="241"/>
      <c r="I384" s="146"/>
      <c r="J384" s="146"/>
      <c r="K384" s="241"/>
      <c r="L384" s="197"/>
      <c r="M384" s="197"/>
      <c r="N384" s="197"/>
      <c r="O384" s="242">
        <f>-2*O373/(O18*24)^2</f>
        <v>0</v>
      </c>
      <c r="P384" s="243">
        <f>-2*P373/(P18*24)^2</f>
        <v>0</v>
      </c>
    </row>
    <row r="385" spans="1:19" hidden="1" outlineLevel="2" x14ac:dyDescent="0.25">
      <c r="B385" s="125" t="s">
        <v>701</v>
      </c>
      <c r="C385" s="185"/>
      <c r="E385" s="240" t="s">
        <v>368</v>
      </c>
      <c r="I385" s="146"/>
      <c r="L385" s="197"/>
      <c r="M385" s="197"/>
      <c r="N385" s="197"/>
      <c r="O385" s="205">
        <f>2*O373/(O18*24)</f>
        <v>0</v>
      </c>
      <c r="P385" s="206">
        <f>2*P373/(P18*24)</f>
        <v>0</v>
      </c>
    </row>
    <row r="386" spans="1:19" hidden="1" outlineLevel="2" x14ac:dyDescent="0.25">
      <c r="B386" s="125" t="s">
        <v>703</v>
      </c>
      <c r="C386" s="185"/>
      <c r="E386" s="241" t="s">
        <v>702</v>
      </c>
      <c r="F386" s="146"/>
      <c r="G386" s="146"/>
      <c r="I386" s="146"/>
      <c r="L386" s="197"/>
      <c r="M386" s="197"/>
      <c r="N386" s="197"/>
      <c r="O386" s="244">
        <f>IF(O381=0,0,O385/(O381/8760^2-O384))</f>
        <v>0</v>
      </c>
      <c r="P386" s="245">
        <f>IF(P381=0,0,P385/(P381/8760^2-P384))</f>
        <v>0</v>
      </c>
    </row>
    <row r="387" spans="1:19" hidden="1" outlineLevel="2" x14ac:dyDescent="0.25">
      <c r="B387" s="125" t="s">
        <v>704</v>
      </c>
      <c r="C387" s="185"/>
      <c r="E387" s="240" t="s">
        <v>368</v>
      </c>
      <c r="F387" s="146"/>
      <c r="G387" s="146"/>
      <c r="I387" s="146"/>
      <c r="L387" s="197"/>
      <c r="M387" s="197"/>
      <c r="N387" s="197"/>
      <c r="O387" s="246">
        <f>2*O363/8760^2*O386</f>
        <v>0</v>
      </c>
      <c r="P387" s="247">
        <f>2*P363/8760^2*P386</f>
        <v>0</v>
      </c>
    </row>
    <row r="388" spans="1:19" hidden="1" outlineLevel="2" x14ac:dyDescent="0.25">
      <c r="B388" s="125" t="s">
        <v>821</v>
      </c>
      <c r="C388" s="185"/>
      <c r="E388" s="241" t="s">
        <v>348</v>
      </c>
      <c r="F388" s="146"/>
      <c r="G388" s="146"/>
      <c r="I388" s="146"/>
      <c r="L388" s="197"/>
      <c r="M388" s="197"/>
      <c r="N388" s="197"/>
      <c r="O388" s="180">
        <f>IF(O367=0,0,MIN(0.5*O387*(O18*24),O373))</f>
        <v>0</v>
      </c>
      <c r="P388" s="181">
        <f>IF(P367=0,0,MIN(0.5*P387*(P18*24),P373))</f>
        <v>0</v>
      </c>
    </row>
    <row r="389" spans="1:19" hidden="1" outlineLevel="2" x14ac:dyDescent="0.25">
      <c r="B389" s="125" t="s">
        <v>822</v>
      </c>
      <c r="C389" s="185"/>
      <c r="E389" s="241" t="s">
        <v>348</v>
      </c>
      <c r="F389" s="146"/>
      <c r="G389" s="146"/>
      <c r="I389" s="146"/>
      <c r="L389" s="197"/>
      <c r="M389" s="197"/>
      <c r="N389" s="197"/>
      <c r="O389" s="180">
        <f>IF(O367=0,0,O363-O379-O380-O388)</f>
        <v>0</v>
      </c>
      <c r="P389" s="181">
        <f>IF(P367=0,0,P363-P379-P380-P388)</f>
        <v>0</v>
      </c>
    </row>
    <row r="390" spans="1:19" s="162" customFormat="1" hidden="1" outlineLevel="2" x14ac:dyDescent="0.25">
      <c r="B390" s="163" t="s">
        <v>775</v>
      </c>
      <c r="O390" s="164"/>
      <c r="P390" s="165"/>
      <c r="R390" s="164"/>
      <c r="S390" s="165"/>
    </row>
    <row r="391" spans="1:19" s="170" customFormat="1" hidden="1" outlineLevel="2" x14ac:dyDescent="0.25">
      <c r="A391" s="166"/>
      <c r="B391" s="167"/>
      <c r="C391" s="166"/>
      <c r="D391" s="166"/>
      <c r="E391" s="166"/>
      <c r="F391" s="166"/>
      <c r="G391" s="166"/>
      <c r="H391" s="166"/>
      <c r="J391" s="166"/>
      <c r="K391" s="166"/>
      <c r="L391" s="166"/>
      <c r="M391" s="166"/>
      <c r="N391" s="166"/>
      <c r="O391" s="168" t="s">
        <v>319</v>
      </c>
      <c r="P391" s="169" t="s">
        <v>332</v>
      </c>
      <c r="R391" s="171"/>
      <c r="S391" s="172"/>
    </row>
    <row r="392" spans="1:19" hidden="1" outlineLevel="2" x14ac:dyDescent="0.25">
      <c r="B392" s="125" t="s">
        <v>705</v>
      </c>
      <c r="C392" s="185"/>
      <c r="E392" s="241" t="s">
        <v>348</v>
      </c>
      <c r="F392" s="192"/>
      <c r="G392" s="192"/>
      <c r="H392" s="192"/>
      <c r="I392" s="146"/>
      <c r="J392" s="146"/>
      <c r="K392" s="146"/>
      <c r="L392" s="197"/>
      <c r="M392" s="197"/>
      <c r="N392" s="197"/>
      <c r="O392" s="180">
        <f>O364*Daten_EZFH!$D$109</f>
        <v>109.03401419872075</v>
      </c>
      <c r="P392" s="181">
        <f>P364*Daten_EZFH!$D$109</f>
        <v>109.03401419872075</v>
      </c>
    </row>
    <row r="393" spans="1:19" hidden="1" outlineLevel="2" x14ac:dyDescent="0.25">
      <c r="B393" s="125" t="s">
        <v>822</v>
      </c>
      <c r="C393" s="185"/>
      <c r="E393" s="241" t="s">
        <v>348</v>
      </c>
      <c r="F393" s="146"/>
      <c r="G393" s="146"/>
      <c r="I393" s="146"/>
      <c r="L393" s="197"/>
      <c r="M393" s="197"/>
      <c r="N393" s="197"/>
      <c r="O393" s="180">
        <f>O364*(1-Daten_EZFH!$D$109)</f>
        <v>981.30612778848683</v>
      </c>
      <c r="P393" s="181">
        <f>P364*(1-Daten_EZFH!$D$109)</f>
        <v>981.30612778848683</v>
      </c>
    </row>
    <row r="394" spans="1:19" s="159" customFormat="1" ht="14.25" customHeight="1" collapsed="1" x14ac:dyDescent="0.25">
      <c r="A394" s="156" t="s">
        <v>466</v>
      </c>
      <c r="B394" s="157"/>
      <c r="C394" s="157"/>
      <c r="D394" s="158"/>
      <c r="O394" s="160"/>
      <c r="P394" s="161"/>
      <c r="R394" s="160"/>
      <c r="S394" s="161"/>
    </row>
    <row r="395" spans="1:19" s="162" customFormat="1" hidden="1" outlineLevel="2" x14ac:dyDescent="0.25">
      <c r="B395" s="163" t="s">
        <v>510</v>
      </c>
      <c r="O395" s="164"/>
      <c r="P395" s="165"/>
      <c r="R395" s="164"/>
      <c r="S395" s="165"/>
    </row>
    <row r="396" spans="1:19" s="170" customFormat="1" hidden="1" outlineLevel="2" x14ac:dyDescent="0.25">
      <c r="A396" s="166"/>
      <c r="B396" s="167"/>
      <c r="C396" s="166"/>
      <c r="D396" s="166"/>
      <c r="E396" s="166"/>
      <c r="F396" s="166"/>
      <c r="G396" s="166"/>
      <c r="H396" s="166"/>
      <c r="J396" s="166"/>
      <c r="K396" s="166"/>
      <c r="L396" s="166"/>
      <c r="M396" s="166"/>
      <c r="N396" s="166"/>
      <c r="O396" s="168" t="s">
        <v>319</v>
      </c>
      <c r="P396" s="169" t="s">
        <v>332</v>
      </c>
      <c r="R396" s="171"/>
      <c r="S396" s="172"/>
    </row>
    <row r="397" spans="1:19" hidden="1" outlineLevel="2" x14ac:dyDescent="0.25">
      <c r="I397" s="173" t="s">
        <v>337</v>
      </c>
      <c r="L397" s="174" t="s">
        <v>309</v>
      </c>
      <c r="M397" s="234" t="s">
        <v>348</v>
      </c>
      <c r="O397" s="248">
        <f>O95</f>
        <v>20516.80785308126</v>
      </c>
      <c r="P397" s="249">
        <f>P95</f>
        <v>20516.80785308126</v>
      </c>
    </row>
    <row r="398" spans="1:19" hidden="1" outlineLevel="2" x14ac:dyDescent="0.25">
      <c r="I398" s="173" t="s">
        <v>53</v>
      </c>
      <c r="L398" s="174" t="s">
        <v>349</v>
      </c>
      <c r="M398" s="234" t="s">
        <v>348</v>
      </c>
      <c r="O398" s="248">
        <f>O96</f>
        <v>2856.6726906297004</v>
      </c>
      <c r="P398" s="249">
        <f>P96</f>
        <v>2856.6726906297004</v>
      </c>
    </row>
    <row r="399" spans="1:19" hidden="1" outlineLevel="2" x14ac:dyDescent="0.25">
      <c r="I399" s="173" t="s">
        <v>501</v>
      </c>
      <c r="L399" s="174" t="s">
        <v>364</v>
      </c>
      <c r="M399" s="234" t="s">
        <v>348</v>
      </c>
      <c r="O399" s="248">
        <f>O108</f>
        <v>2736.5876464561952</v>
      </c>
      <c r="P399" s="249">
        <f>P108</f>
        <v>2736.5876464561952</v>
      </c>
    </row>
    <row r="400" spans="1:19" hidden="1" outlineLevel="2" x14ac:dyDescent="0.25">
      <c r="I400" s="173" t="s">
        <v>502</v>
      </c>
      <c r="L400" s="174" t="s">
        <v>475</v>
      </c>
      <c r="M400" s="234" t="s">
        <v>348</v>
      </c>
      <c r="O400" s="248">
        <f>O166</f>
        <v>648.77403723119414</v>
      </c>
      <c r="P400" s="249">
        <f>P166</f>
        <v>648.77403723119414</v>
      </c>
    </row>
    <row r="401" spans="6:16" hidden="1" outlineLevel="2" x14ac:dyDescent="0.25">
      <c r="I401" s="173" t="s">
        <v>360</v>
      </c>
      <c r="L401" s="174" t="s">
        <v>361</v>
      </c>
      <c r="M401" s="234" t="s">
        <v>348</v>
      </c>
      <c r="O401" s="248">
        <f>O105</f>
        <v>3692.3274184205752</v>
      </c>
      <c r="P401" s="249">
        <f>P105</f>
        <v>3692.3274184205752</v>
      </c>
    </row>
    <row r="402" spans="6:16" hidden="1" outlineLevel="2" x14ac:dyDescent="0.25">
      <c r="H402" s="174" t="s">
        <v>469</v>
      </c>
      <c r="L402" s="174" t="s">
        <v>396</v>
      </c>
      <c r="M402" s="234" t="s">
        <v>348</v>
      </c>
      <c r="O402" s="250">
        <f>O397+O398-O399-O400-O401</f>
        <v>16295.791441602998</v>
      </c>
      <c r="P402" s="251">
        <f>P397+P398-P399-P400-P401</f>
        <v>16295.791441602998</v>
      </c>
    </row>
    <row r="403" spans="6:16" hidden="1" outlineLevel="2" x14ac:dyDescent="0.25">
      <c r="H403" s="173" t="s">
        <v>365</v>
      </c>
      <c r="L403" s="174" t="s">
        <v>467</v>
      </c>
      <c r="M403" s="234" t="s">
        <v>348</v>
      </c>
      <c r="O403" s="250">
        <f>O347</f>
        <v>138.9363446194221</v>
      </c>
      <c r="P403" s="251">
        <f>P347</f>
        <v>138.9363446194221</v>
      </c>
    </row>
    <row r="404" spans="6:16" hidden="1" outlineLevel="2" x14ac:dyDescent="0.25">
      <c r="H404" s="174" t="s">
        <v>503</v>
      </c>
      <c r="L404" s="174" t="s">
        <v>397</v>
      </c>
      <c r="M404" s="234" t="s">
        <v>348</v>
      </c>
      <c r="O404" s="250">
        <f>O131</f>
        <v>614.36625758434673</v>
      </c>
      <c r="P404" s="251">
        <f>P131</f>
        <v>614.36625758434673</v>
      </c>
    </row>
    <row r="405" spans="6:16" hidden="1" outlineLevel="2" x14ac:dyDescent="0.25">
      <c r="H405" s="174" t="s">
        <v>504</v>
      </c>
      <c r="L405" s="174" t="s">
        <v>478</v>
      </c>
      <c r="M405" s="234" t="s">
        <v>348</v>
      </c>
      <c r="O405" s="250">
        <f>O336</f>
        <v>83.381130184380069</v>
      </c>
      <c r="P405" s="251">
        <f>P336</f>
        <v>83.381130184380069</v>
      </c>
    </row>
    <row r="406" spans="6:16" hidden="1" outlineLevel="2" x14ac:dyDescent="0.25">
      <c r="G406" s="174" t="s">
        <v>508</v>
      </c>
      <c r="L406" s="174" t="s">
        <v>481</v>
      </c>
      <c r="M406" s="234" t="s">
        <v>348</v>
      </c>
      <c r="O406" s="252">
        <f>O402+O403+O404+O405</f>
        <v>17132.475173991152</v>
      </c>
      <c r="P406" s="253">
        <f>P402+P403+P404+P405</f>
        <v>17132.475173991152</v>
      </c>
    </row>
    <row r="407" spans="6:16" hidden="1" outlineLevel="2" x14ac:dyDescent="0.25">
      <c r="G407" s="174" t="s">
        <v>536</v>
      </c>
      <c r="L407" s="174" t="s">
        <v>537</v>
      </c>
      <c r="M407" s="234" t="s">
        <v>348</v>
      </c>
      <c r="O407" s="252">
        <f>O409-O406</f>
        <v>2313.822618119837</v>
      </c>
      <c r="P407" s="253">
        <f>P409-P406</f>
        <v>2313.822618119837</v>
      </c>
    </row>
    <row r="408" spans="6:16" hidden="1" outlineLevel="2" x14ac:dyDescent="0.25">
      <c r="G408" s="174" t="s">
        <v>499</v>
      </c>
      <c r="L408" s="174" t="s">
        <v>578</v>
      </c>
      <c r="M408" s="234" t="s">
        <v>13</v>
      </c>
      <c r="O408" s="254">
        <f>O279</f>
        <v>0.88101474929286994</v>
      </c>
      <c r="P408" s="255">
        <f>P279</f>
        <v>0.88101474929286994</v>
      </c>
    </row>
    <row r="409" spans="6:16" hidden="1" outlineLevel="2" x14ac:dyDescent="0.25">
      <c r="F409" s="174" t="s">
        <v>498</v>
      </c>
      <c r="L409" s="173" t="s">
        <v>471</v>
      </c>
      <c r="M409" s="234" t="s">
        <v>348</v>
      </c>
      <c r="O409" s="256">
        <f>O406/O408</f>
        <v>19446.297792110989</v>
      </c>
      <c r="P409" s="257">
        <f>P406/P408</f>
        <v>19446.297792110989</v>
      </c>
    </row>
    <row r="410" spans="6:16" hidden="1" outlineLevel="2" x14ac:dyDescent="0.25">
      <c r="H410" s="174" t="s">
        <v>74</v>
      </c>
      <c r="L410" s="174" t="s">
        <v>468</v>
      </c>
      <c r="M410" s="234" t="s">
        <v>348</v>
      </c>
      <c r="O410" s="258">
        <f>O30</f>
        <v>1546.8855777178603</v>
      </c>
      <c r="P410" s="259">
        <f>P30</f>
        <v>1546.8855777178603</v>
      </c>
    </row>
    <row r="411" spans="6:16" hidden="1" outlineLevel="2" x14ac:dyDescent="0.25">
      <c r="H411" s="174" t="s">
        <v>505</v>
      </c>
      <c r="L411" s="174" t="s">
        <v>477</v>
      </c>
      <c r="M411" s="234" t="s">
        <v>348</v>
      </c>
      <c r="O411" s="258">
        <f>O163</f>
        <v>1620.5099452872578</v>
      </c>
      <c r="P411" s="259">
        <f>P163</f>
        <v>1620.5099452872578</v>
      </c>
    </row>
    <row r="412" spans="6:16" hidden="1" outlineLevel="2" x14ac:dyDescent="0.25">
      <c r="H412" s="174" t="s">
        <v>506</v>
      </c>
      <c r="L412" s="174" t="s">
        <v>479</v>
      </c>
      <c r="M412" s="234" t="s">
        <v>348</v>
      </c>
      <c r="O412" s="258">
        <f>O343</f>
        <v>378.29797169191284</v>
      </c>
      <c r="P412" s="259">
        <f>P343</f>
        <v>378.29797169191284</v>
      </c>
    </row>
    <row r="413" spans="6:16" hidden="1" outlineLevel="2" x14ac:dyDescent="0.25">
      <c r="H413" s="174" t="s">
        <v>472</v>
      </c>
      <c r="L413" s="174" t="s">
        <v>480</v>
      </c>
      <c r="M413" s="234" t="s">
        <v>348</v>
      </c>
      <c r="O413" s="258">
        <f>O352</f>
        <v>296.26870114011871</v>
      </c>
      <c r="P413" s="259">
        <f>P352</f>
        <v>296.26870114011871</v>
      </c>
    </row>
    <row r="414" spans="6:16" hidden="1" outlineLevel="2" x14ac:dyDescent="0.25">
      <c r="G414" s="174" t="s">
        <v>509</v>
      </c>
      <c r="I414" s="174"/>
      <c r="L414" s="174" t="s">
        <v>482</v>
      </c>
      <c r="M414" s="234" t="s">
        <v>348</v>
      </c>
      <c r="O414" s="260">
        <f>O410+O411+O412-O413</f>
        <v>3249.4247935569119</v>
      </c>
      <c r="P414" s="261">
        <f>P410+P411+P412-P413</f>
        <v>3249.4247935569119</v>
      </c>
    </row>
    <row r="415" spans="6:16" hidden="1" outlineLevel="2" x14ac:dyDescent="0.25">
      <c r="G415" s="174" t="s">
        <v>538</v>
      </c>
      <c r="L415" s="174" t="s">
        <v>539</v>
      </c>
      <c r="M415" s="234" t="s">
        <v>348</v>
      </c>
      <c r="O415" s="260">
        <f>O417-O414</f>
        <v>411.08475429309738</v>
      </c>
      <c r="P415" s="261">
        <f>P417-P414</f>
        <v>411.08475429309738</v>
      </c>
    </row>
    <row r="416" spans="6:16" hidden="1" outlineLevel="2" x14ac:dyDescent="0.25">
      <c r="G416" s="174" t="s">
        <v>500</v>
      </c>
      <c r="L416" s="174" t="s">
        <v>579</v>
      </c>
      <c r="M416" s="234" t="s">
        <v>13</v>
      </c>
      <c r="O416" s="262">
        <f>O306</f>
        <v>0.88769739597194963</v>
      </c>
      <c r="P416" s="263">
        <f>P306</f>
        <v>0.88769739597194963</v>
      </c>
    </row>
    <row r="417" spans="1:19" hidden="1" outlineLevel="2" x14ac:dyDescent="0.25">
      <c r="F417" s="174" t="s">
        <v>294</v>
      </c>
      <c r="I417" s="174"/>
      <c r="L417" s="173" t="s">
        <v>470</v>
      </c>
      <c r="M417" s="234" t="s">
        <v>348</v>
      </c>
      <c r="N417" s="264"/>
      <c r="O417" s="265">
        <f>O414/O416</f>
        <v>3660.5095478500093</v>
      </c>
      <c r="P417" s="266">
        <f>P414/P416</f>
        <v>3660.5095478500093</v>
      </c>
    </row>
    <row r="418" spans="1:19" hidden="1" outlineLevel="2" x14ac:dyDescent="0.25">
      <c r="H418" s="174" t="s">
        <v>279</v>
      </c>
      <c r="L418" s="174" t="s">
        <v>484</v>
      </c>
      <c r="M418" s="234" t="s">
        <v>348</v>
      </c>
      <c r="O418" s="267">
        <f>O402+O403+O410</f>
        <v>17981.613363940283</v>
      </c>
      <c r="P418" s="268">
        <f>P402+P403+P410</f>
        <v>17981.613363940283</v>
      </c>
    </row>
    <row r="419" spans="1:19" hidden="1" outlineLevel="2" x14ac:dyDescent="0.25">
      <c r="G419" s="174" t="s">
        <v>507</v>
      </c>
      <c r="L419" s="174" t="s">
        <v>483</v>
      </c>
      <c r="M419" s="234" t="s">
        <v>348</v>
      </c>
      <c r="O419" s="269">
        <f>O406+O414</f>
        <v>20381.899967548063</v>
      </c>
      <c r="P419" s="270">
        <f>P406+P414</f>
        <v>20381.899967548063</v>
      </c>
    </row>
    <row r="420" spans="1:19" hidden="1" outlineLevel="2" x14ac:dyDescent="0.25">
      <c r="G420" s="174" t="s">
        <v>569</v>
      </c>
      <c r="L420" s="174" t="s">
        <v>580</v>
      </c>
      <c r="M420" s="234" t="s">
        <v>13</v>
      </c>
      <c r="O420" s="271">
        <f>(O414+O406)/O421</f>
        <v>0.88207339368340731</v>
      </c>
      <c r="P420" s="272">
        <f>(P414+P406)/P421</f>
        <v>0.88207339368340731</v>
      </c>
    </row>
    <row r="421" spans="1:19" hidden="1" outlineLevel="2" x14ac:dyDescent="0.25">
      <c r="F421" s="174" t="s">
        <v>473</v>
      </c>
      <c r="I421" s="174"/>
      <c r="L421" s="173" t="s">
        <v>497</v>
      </c>
      <c r="M421" s="234" t="s">
        <v>348</v>
      </c>
      <c r="N421" s="264" t="s">
        <v>736</v>
      </c>
      <c r="O421" s="273">
        <f>O409+O417</f>
        <v>23106.807339960997</v>
      </c>
      <c r="P421" s="274">
        <f>P409+P417</f>
        <v>23106.807339960997</v>
      </c>
    </row>
    <row r="422" spans="1:19" s="275" customFormat="1" hidden="1" outlineLevel="2" x14ac:dyDescent="0.25">
      <c r="B422" s="276"/>
      <c r="F422" s="276"/>
      <c r="G422" s="174" t="s">
        <v>353</v>
      </c>
      <c r="H422" s="173"/>
      <c r="I422" s="174"/>
      <c r="J422" s="173"/>
      <c r="K422" s="173"/>
      <c r="L422" s="173" t="s">
        <v>476</v>
      </c>
      <c r="M422" s="234" t="s">
        <v>348</v>
      </c>
      <c r="N422" s="173"/>
      <c r="O422" s="269">
        <f>O37</f>
        <v>3437.3402245449161</v>
      </c>
      <c r="P422" s="270">
        <f>P37</f>
        <v>3437.3402245449161</v>
      </c>
      <c r="R422" s="277"/>
      <c r="S422" s="278"/>
    </row>
    <row r="423" spans="1:19" s="275" customFormat="1" hidden="1" outlineLevel="2" x14ac:dyDescent="0.25">
      <c r="B423" s="276"/>
      <c r="F423" s="174" t="s">
        <v>474</v>
      </c>
      <c r="G423" s="173"/>
      <c r="H423" s="173"/>
      <c r="I423" s="173"/>
      <c r="J423" s="173"/>
      <c r="K423" s="173"/>
      <c r="L423" s="173" t="s">
        <v>358</v>
      </c>
      <c r="M423" s="234" t="s">
        <v>348</v>
      </c>
      <c r="N423" s="264" t="s">
        <v>736</v>
      </c>
      <c r="O423" s="273">
        <f>O422</f>
        <v>3437.3402245449161</v>
      </c>
      <c r="P423" s="274">
        <f>P422</f>
        <v>3437.3402245449161</v>
      </c>
      <c r="R423" s="277"/>
      <c r="S423" s="278"/>
    </row>
    <row r="424" spans="1:19" hidden="1" outlineLevel="2" x14ac:dyDescent="0.25">
      <c r="F424" s="173" t="s">
        <v>709</v>
      </c>
      <c r="L424" s="173" t="s">
        <v>710</v>
      </c>
      <c r="M424" s="234" t="s">
        <v>348</v>
      </c>
      <c r="O424" s="279">
        <f>O379+O380+O388+O392</f>
        <v>109.03401419872075</v>
      </c>
      <c r="P424" s="280">
        <f>P379+P380+P388+P392</f>
        <v>109.03401419872075</v>
      </c>
    </row>
    <row r="425" spans="1:19" hidden="1" outlineLevel="2" x14ac:dyDescent="0.25">
      <c r="F425" s="174" t="s">
        <v>711</v>
      </c>
      <c r="L425" s="173" t="s">
        <v>712</v>
      </c>
      <c r="M425" s="234" t="s">
        <v>348</v>
      </c>
      <c r="O425" s="279">
        <f>O389+O393</f>
        <v>981.30612778848683</v>
      </c>
      <c r="P425" s="280">
        <f>P389+P393</f>
        <v>981.30612778848683</v>
      </c>
    </row>
    <row r="426" spans="1:19" hidden="1" outlineLevel="2" x14ac:dyDescent="0.25">
      <c r="E426" s="173" t="s">
        <v>713</v>
      </c>
      <c r="L426" s="173" t="s">
        <v>372</v>
      </c>
      <c r="M426" s="234" t="s">
        <v>348</v>
      </c>
      <c r="N426" s="264" t="s">
        <v>40</v>
      </c>
      <c r="O426" s="281">
        <f>O357</f>
        <v>1090.3401419872075</v>
      </c>
      <c r="P426" s="282">
        <f>P357</f>
        <v>1090.3401419872075</v>
      </c>
    </row>
    <row r="427" spans="1:19" hidden="1" outlineLevel="2" x14ac:dyDescent="0.25">
      <c r="E427" s="174" t="s">
        <v>765</v>
      </c>
      <c r="L427" s="173" t="s">
        <v>496</v>
      </c>
      <c r="M427" s="234" t="s">
        <v>348</v>
      </c>
      <c r="O427" s="273">
        <f>O421+O423-O426</f>
        <v>25453.807422518705</v>
      </c>
      <c r="P427" s="274">
        <f>P421+P423-P426</f>
        <v>25453.807422518705</v>
      </c>
    </row>
    <row r="428" spans="1:19" s="162" customFormat="1" hidden="1" outlineLevel="2" x14ac:dyDescent="0.25">
      <c r="B428" s="163" t="s">
        <v>511</v>
      </c>
      <c r="O428" s="283"/>
      <c r="P428" s="284"/>
      <c r="R428" s="164"/>
      <c r="S428" s="165"/>
    </row>
    <row r="429" spans="1:19" s="170" customFormat="1" hidden="1" outlineLevel="2" x14ac:dyDescent="0.25">
      <c r="A429" s="166"/>
      <c r="B429" s="167"/>
      <c r="C429" s="166"/>
      <c r="D429" s="166"/>
      <c r="E429" s="166"/>
      <c r="F429" s="166"/>
      <c r="G429" s="166"/>
      <c r="H429" s="166"/>
      <c r="J429" s="166"/>
      <c r="K429" s="166"/>
      <c r="L429" s="166"/>
      <c r="M429" s="166"/>
      <c r="N429" s="166"/>
      <c r="O429" s="168" t="s">
        <v>319</v>
      </c>
      <c r="P429" s="169" t="s">
        <v>332</v>
      </c>
      <c r="R429" s="171"/>
      <c r="S429" s="172"/>
    </row>
    <row r="430" spans="1:19" hidden="1" outlineLevel="2" x14ac:dyDescent="0.25">
      <c r="I430" s="173" t="s">
        <v>337</v>
      </c>
      <c r="L430" s="174" t="s">
        <v>512</v>
      </c>
      <c r="M430" s="234" t="s">
        <v>58</v>
      </c>
      <c r="O430" s="248">
        <f>O397/Daten_EZFH!$D$16</f>
        <v>144.90848257293496</v>
      </c>
      <c r="P430" s="249">
        <f>P397/Daten_EZFH!$D$16</f>
        <v>144.90848257293496</v>
      </c>
    </row>
    <row r="431" spans="1:19" hidden="1" outlineLevel="2" x14ac:dyDescent="0.25">
      <c r="I431" s="173" t="s">
        <v>53</v>
      </c>
      <c r="L431" s="174" t="s">
        <v>513</v>
      </c>
      <c r="M431" s="234" t="s">
        <v>58</v>
      </c>
      <c r="O431" s="248">
        <f>O398/Daten_EZFH!$D$16</f>
        <v>20.176438156022613</v>
      </c>
      <c r="P431" s="249">
        <f>P398/Daten_EZFH!$D$16</f>
        <v>20.176438156022613</v>
      </c>
    </row>
    <row r="432" spans="1:19" hidden="1" outlineLevel="2" x14ac:dyDescent="0.25">
      <c r="I432" s="173" t="s">
        <v>501</v>
      </c>
      <c r="L432" s="174" t="s">
        <v>514</v>
      </c>
      <c r="M432" s="234" t="s">
        <v>58</v>
      </c>
      <c r="O432" s="248">
        <f>O399/Daten_EZFH!$D$16</f>
        <v>19.328287622299449</v>
      </c>
      <c r="P432" s="249">
        <f>P399/Daten_EZFH!$D$16</f>
        <v>19.328287622299449</v>
      </c>
    </row>
    <row r="433" spans="6:16" hidden="1" outlineLevel="2" x14ac:dyDescent="0.25">
      <c r="I433" s="173" t="s">
        <v>502</v>
      </c>
      <c r="L433" s="174" t="s">
        <v>515</v>
      </c>
      <c r="M433" s="234" t="s">
        <v>58</v>
      </c>
      <c r="O433" s="248">
        <f>O400/Daten_EZFH!$D$16</f>
        <v>4.5822362787186748</v>
      </c>
      <c r="P433" s="249">
        <f>P400/Daten_EZFH!$D$16</f>
        <v>4.5822362787186748</v>
      </c>
    </row>
    <row r="434" spans="6:16" hidden="1" outlineLevel="2" x14ac:dyDescent="0.25">
      <c r="I434" s="173" t="s">
        <v>360</v>
      </c>
      <c r="L434" s="174" t="s">
        <v>516</v>
      </c>
      <c r="M434" s="234" t="s">
        <v>58</v>
      </c>
      <c r="O434" s="248">
        <f>O401/Daten_EZFH!$D$16</f>
        <v>26.07859698239621</v>
      </c>
      <c r="P434" s="249">
        <f>P401/Daten_EZFH!$D$16</f>
        <v>26.07859698239621</v>
      </c>
    </row>
    <row r="435" spans="6:16" hidden="1" outlineLevel="2" x14ac:dyDescent="0.25">
      <c r="H435" s="174" t="s">
        <v>469</v>
      </c>
      <c r="L435" s="174" t="s">
        <v>517</v>
      </c>
      <c r="M435" s="234" t="s">
        <v>58</v>
      </c>
      <c r="O435" s="250">
        <f>O402/Daten_EZFH!$D$16</f>
        <v>115.09579984554324</v>
      </c>
      <c r="P435" s="251">
        <f>P402/Daten_EZFH!$D$16</f>
        <v>115.09579984554324</v>
      </c>
    </row>
    <row r="436" spans="6:16" hidden="1" outlineLevel="2" x14ac:dyDescent="0.25">
      <c r="H436" s="173" t="s">
        <v>365</v>
      </c>
      <c r="L436" s="174" t="s">
        <v>518</v>
      </c>
      <c r="M436" s="234" t="s">
        <v>58</v>
      </c>
      <c r="O436" s="250">
        <f>O403/Daten_EZFH!$D$16</f>
        <v>0.98129567802172424</v>
      </c>
      <c r="P436" s="251">
        <f>P403/Daten_EZFH!$D$16</f>
        <v>0.98129567802172424</v>
      </c>
    </row>
    <row r="437" spans="6:16" hidden="1" outlineLevel="2" x14ac:dyDescent="0.25">
      <c r="H437" s="174" t="s">
        <v>503</v>
      </c>
      <c r="L437" s="174" t="s">
        <v>519</v>
      </c>
      <c r="M437" s="234" t="s">
        <v>58</v>
      </c>
      <c r="O437" s="250">
        <f>O404/Daten_EZFH!$D$16</f>
        <v>4.3392170345442072</v>
      </c>
      <c r="P437" s="251">
        <f>P404/Daten_EZFH!$D$16</f>
        <v>4.3392170345442072</v>
      </c>
    </row>
    <row r="438" spans="6:16" hidden="1" outlineLevel="2" x14ac:dyDescent="0.25">
      <c r="H438" s="174" t="s">
        <v>504</v>
      </c>
      <c r="L438" s="174" t="s">
        <v>520</v>
      </c>
      <c r="M438" s="234" t="s">
        <v>58</v>
      </c>
      <c r="O438" s="250">
        <f>O405/Daten_EZFH!$D$16</f>
        <v>0.58891388644653431</v>
      </c>
      <c r="P438" s="251">
        <f>P405/Daten_EZFH!$D$16</f>
        <v>0.58891388644653431</v>
      </c>
    </row>
    <row r="439" spans="6:16" hidden="1" outlineLevel="2" x14ac:dyDescent="0.25">
      <c r="G439" s="174" t="s">
        <v>508</v>
      </c>
      <c r="L439" s="174" t="s">
        <v>521</v>
      </c>
      <c r="M439" s="234" t="s">
        <v>58</v>
      </c>
      <c r="O439" s="252">
        <f>O406/Daten_EZFH!$D$16</f>
        <v>121.00522644455575</v>
      </c>
      <c r="P439" s="253">
        <f>P406/Daten_EZFH!$D$16</f>
        <v>121.00522644455575</v>
      </c>
    </row>
    <row r="440" spans="6:16" hidden="1" outlineLevel="2" x14ac:dyDescent="0.25">
      <c r="G440" s="174" t="s">
        <v>536</v>
      </c>
      <c r="L440" s="174" t="s">
        <v>540</v>
      </c>
      <c r="M440" s="234" t="s">
        <v>58</v>
      </c>
      <c r="O440" s="252">
        <f>O407/Daten_EZFH!$D$16</f>
        <v>16.34233390182704</v>
      </c>
      <c r="P440" s="253">
        <f>P407/Daten_EZFH!$D$16</f>
        <v>16.34233390182704</v>
      </c>
    </row>
    <row r="441" spans="6:16" hidden="1" outlineLevel="2" x14ac:dyDescent="0.25">
      <c r="G441" s="174" t="s">
        <v>499</v>
      </c>
      <c r="L441" s="174" t="s">
        <v>578</v>
      </c>
      <c r="M441" s="234" t="s">
        <v>13</v>
      </c>
      <c r="O441" s="254">
        <f>O408</f>
        <v>0.88101474929286994</v>
      </c>
      <c r="P441" s="255">
        <f>P408</f>
        <v>0.88101474929286994</v>
      </c>
    </row>
    <row r="442" spans="6:16" hidden="1" outlineLevel="2" x14ac:dyDescent="0.25">
      <c r="F442" s="174" t="s">
        <v>498</v>
      </c>
      <c r="L442" s="173" t="s">
        <v>522</v>
      </c>
      <c r="M442" s="234" t="s">
        <v>58</v>
      </c>
      <c r="O442" s="256">
        <f>O409/Daten_EZFH!$D$16</f>
        <v>137.34756034638278</v>
      </c>
      <c r="P442" s="257">
        <f>P409/Daten_EZFH!$D$16</f>
        <v>137.34756034638278</v>
      </c>
    </row>
    <row r="443" spans="6:16" hidden="1" outlineLevel="2" x14ac:dyDescent="0.25">
      <c r="H443" s="174" t="s">
        <v>74</v>
      </c>
      <c r="L443" s="174" t="s">
        <v>523</v>
      </c>
      <c r="M443" s="234" t="s">
        <v>58</v>
      </c>
      <c r="O443" s="258">
        <f>O410/Daten_EZFH!$D$16</f>
        <v>10.925522302797635</v>
      </c>
      <c r="P443" s="259">
        <f>P410/Daten_EZFH!$D$16</f>
        <v>10.925522302797635</v>
      </c>
    </row>
    <row r="444" spans="6:16" hidden="1" outlineLevel="2" x14ac:dyDescent="0.25">
      <c r="H444" s="174" t="s">
        <v>505</v>
      </c>
      <c r="L444" s="174" t="s">
        <v>524</v>
      </c>
      <c r="M444" s="234" t="s">
        <v>58</v>
      </c>
      <c r="O444" s="258">
        <f>O411/Daten_EZFH!$D$16</f>
        <v>11.445524998210661</v>
      </c>
      <c r="P444" s="259">
        <f>P411/Daten_EZFH!$D$16</f>
        <v>11.445524998210661</v>
      </c>
    </row>
    <row r="445" spans="6:16" hidden="1" outlineLevel="2" x14ac:dyDescent="0.25">
      <c r="H445" s="174" t="s">
        <v>506</v>
      </c>
      <c r="L445" s="174" t="s">
        <v>525</v>
      </c>
      <c r="M445" s="234" t="s">
        <v>58</v>
      </c>
      <c r="O445" s="258">
        <f>O412/Daten_EZFH!$D$16</f>
        <v>2.6718866517074398</v>
      </c>
      <c r="P445" s="259">
        <f>P412/Daten_EZFH!$D$16</f>
        <v>2.6718866517074398</v>
      </c>
    </row>
    <row r="446" spans="6:16" hidden="1" outlineLevel="2" x14ac:dyDescent="0.25">
      <c r="H446" s="174" t="s">
        <v>472</v>
      </c>
      <c r="L446" s="174" t="s">
        <v>526</v>
      </c>
      <c r="M446" s="234" t="s">
        <v>58</v>
      </c>
      <c r="O446" s="258">
        <f>O413/Daten_EZFH!$D$16</f>
        <v>2.0925208357703347</v>
      </c>
      <c r="P446" s="259">
        <f>P413/Daten_EZFH!$D$16</f>
        <v>2.0925208357703347</v>
      </c>
    </row>
    <row r="447" spans="6:16" hidden="1" outlineLevel="2" x14ac:dyDescent="0.25">
      <c r="G447" s="174" t="s">
        <v>509</v>
      </c>
      <c r="I447" s="174"/>
      <c r="L447" s="174" t="s">
        <v>527</v>
      </c>
      <c r="M447" s="234" t="s">
        <v>58</v>
      </c>
      <c r="O447" s="260">
        <f>O414/Daten_EZFH!$D$16</f>
        <v>22.950413116945398</v>
      </c>
      <c r="P447" s="261">
        <f>P414/Daten_EZFH!$D$16</f>
        <v>22.950413116945398</v>
      </c>
    </row>
    <row r="448" spans="6:16" hidden="1" outlineLevel="2" x14ac:dyDescent="0.25">
      <c r="G448" s="174" t="s">
        <v>538</v>
      </c>
      <c r="I448" s="174"/>
      <c r="L448" s="174" t="s">
        <v>541</v>
      </c>
      <c r="M448" s="234" t="s">
        <v>58</v>
      </c>
      <c r="O448" s="260">
        <f>O415/Daten_EZFH!$D$16</f>
        <v>2.9034569305348463</v>
      </c>
      <c r="P448" s="261">
        <f>P415/Daten_EZFH!$D$16</f>
        <v>2.9034569305348463</v>
      </c>
    </row>
    <row r="449" spans="1:19" hidden="1" outlineLevel="2" x14ac:dyDescent="0.25">
      <c r="G449" s="174" t="s">
        <v>500</v>
      </c>
      <c r="L449" s="174" t="s">
        <v>579</v>
      </c>
      <c r="M449" s="234" t="s">
        <v>13</v>
      </c>
      <c r="O449" s="262">
        <f>O416</f>
        <v>0.88769739597194963</v>
      </c>
      <c r="P449" s="263">
        <f>P416</f>
        <v>0.88769739597194963</v>
      </c>
    </row>
    <row r="450" spans="1:19" hidden="1" outlineLevel="2" x14ac:dyDescent="0.25">
      <c r="F450" s="174" t="s">
        <v>294</v>
      </c>
      <c r="I450" s="174"/>
      <c r="L450" s="173" t="s">
        <v>528</v>
      </c>
      <c r="M450" s="234" t="s">
        <v>58</v>
      </c>
      <c r="O450" s="265">
        <f>O417/Daten_EZFH!$D$16</f>
        <v>25.853870047480246</v>
      </c>
      <c r="P450" s="266">
        <f>P417/Daten_EZFH!$D$16</f>
        <v>25.853870047480246</v>
      </c>
    </row>
    <row r="451" spans="1:19" hidden="1" outlineLevel="2" x14ac:dyDescent="0.25">
      <c r="H451" s="174" t="s">
        <v>279</v>
      </c>
      <c r="L451" s="174" t="s">
        <v>529</v>
      </c>
      <c r="M451" s="234" t="s">
        <v>58</v>
      </c>
      <c r="O451" s="267">
        <f>O418/Daten_EZFH!$D$16</f>
        <v>127.00261782636262</v>
      </c>
      <c r="P451" s="268">
        <f>P418/Daten_EZFH!$D$16</f>
        <v>127.00261782636262</v>
      </c>
    </row>
    <row r="452" spans="1:19" hidden="1" outlineLevel="2" x14ac:dyDescent="0.25">
      <c r="G452" s="174" t="s">
        <v>507</v>
      </c>
      <c r="L452" s="174" t="s">
        <v>530</v>
      </c>
      <c r="M452" s="234" t="s">
        <v>58</v>
      </c>
      <c r="O452" s="269">
        <f>O419/Daten_EZFH!$D$16</f>
        <v>143.95563956150113</v>
      </c>
      <c r="P452" s="270">
        <f>P419/Daten_EZFH!$D$16</f>
        <v>143.95563956150113</v>
      </c>
    </row>
    <row r="453" spans="1:19" hidden="1" outlineLevel="2" x14ac:dyDescent="0.25">
      <c r="G453" s="174" t="s">
        <v>569</v>
      </c>
      <c r="L453" s="174" t="s">
        <v>580</v>
      </c>
      <c r="M453" s="234" t="s">
        <v>13</v>
      </c>
      <c r="O453" s="271">
        <f>(O447+O439)/O454</f>
        <v>0.8820733936834072</v>
      </c>
      <c r="P453" s="272">
        <f>(P447+P439)/P454</f>
        <v>0.8820733936834072</v>
      </c>
    </row>
    <row r="454" spans="1:19" hidden="1" outlineLevel="2" x14ac:dyDescent="0.25">
      <c r="F454" s="174" t="s">
        <v>473</v>
      </c>
      <c r="I454" s="174"/>
      <c r="L454" s="173" t="s">
        <v>531</v>
      </c>
      <c r="M454" s="234" t="s">
        <v>58</v>
      </c>
      <c r="N454" s="264" t="s">
        <v>736</v>
      </c>
      <c r="O454" s="273">
        <f>O421/Daten_EZFH!$D$16</f>
        <v>163.20143039386303</v>
      </c>
      <c r="P454" s="274">
        <f>P421/Daten_EZFH!$D$16</f>
        <v>163.20143039386303</v>
      </c>
    </row>
    <row r="455" spans="1:19" hidden="1" outlineLevel="2" x14ac:dyDescent="0.25">
      <c r="G455" s="174" t="s">
        <v>353</v>
      </c>
      <c r="I455" s="174"/>
      <c r="L455" s="173" t="s">
        <v>532</v>
      </c>
      <c r="M455" s="234" t="s">
        <v>58</v>
      </c>
      <c r="O455" s="269">
        <f>O422/Daten_EZFH!$D$16</f>
        <v>24.277643948929878</v>
      </c>
      <c r="P455" s="270">
        <f>P422/Daten_EZFH!$D$16</f>
        <v>24.277643948929878</v>
      </c>
    </row>
    <row r="456" spans="1:19" hidden="1" outlineLevel="2" x14ac:dyDescent="0.25">
      <c r="F456" s="174" t="s">
        <v>474</v>
      </c>
      <c r="L456" s="173" t="s">
        <v>534</v>
      </c>
      <c r="M456" s="234" t="s">
        <v>58</v>
      </c>
      <c r="N456" s="264" t="s">
        <v>736</v>
      </c>
      <c r="O456" s="273">
        <f>O423/Daten_EZFH!$D$16</f>
        <v>24.277643948929878</v>
      </c>
      <c r="P456" s="274">
        <f>P423/Daten_EZFH!$D$16</f>
        <v>24.277643948929878</v>
      </c>
    </row>
    <row r="457" spans="1:19" hidden="1" outlineLevel="2" x14ac:dyDescent="0.25">
      <c r="F457" s="173" t="s">
        <v>709</v>
      </c>
      <c r="L457" s="173" t="s">
        <v>714</v>
      </c>
      <c r="M457" s="234" t="s">
        <v>58</v>
      </c>
      <c r="O457" s="279">
        <f>O424/Daten_EZFH!$D$16</f>
        <v>0.77009804154302675</v>
      </c>
      <c r="P457" s="280">
        <f>P424/Daten_EZFH!$D$16</f>
        <v>0.77009804154302675</v>
      </c>
    </row>
    <row r="458" spans="1:19" hidden="1" outlineLevel="2" x14ac:dyDescent="0.25">
      <c r="F458" s="174" t="s">
        <v>711</v>
      </c>
      <c r="L458" s="173" t="s">
        <v>715</v>
      </c>
      <c r="M458" s="234" t="s">
        <v>58</v>
      </c>
      <c r="O458" s="279">
        <f>O425/Daten_EZFH!$D$16</f>
        <v>6.9308823738872407</v>
      </c>
      <c r="P458" s="280">
        <f>P425/Daten_EZFH!$D$16</f>
        <v>6.9308823738872407</v>
      </c>
    </row>
    <row r="459" spans="1:19" hidden="1" outlineLevel="2" x14ac:dyDescent="0.25">
      <c r="E459" s="173" t="s">
        <v>713</v>
      </c>
      <c r="L459" s="173" t="s">
        <v>533</v>
      </c>
      <c r="M459" s="234" t="s">
        <v>58</v>
      </c>
      <c r="N459" s="264" t="s">
        <v>40</v>
      </c>
      <c r="O459" s="281">
        <f>O426/Daten_EZFH!$D$16</f>
        <v>7.7009804154302666</v>
      </c>
      <c r="P459" s="282">
        <f>P426/Daten_EZFH!$D$16</f>
        <v>7.7009804154302666</v>
      </c>
    </row>
    <row r="460" spans="1:19" hidden="1" outlineLevel="2" x14ac:dyDescent="0.25">
      <c r="E460" s="174" t="s">
        <v>765</v>
      </c>
      <c r="L460" s="173" t="s">
        <v>535</v>
      </c>
      <c r="M460" s="234" t="s">
        <v>58</v>
      </c>
      <c r="O460" s="273">
        <f>O427/Daten_EZFH!$D$16</f>
        <v>179.77809392736262</v>
      </c>
      <c r="P460" s="274">
        <f>P427/Daten_EZFH!$D$16</f>
        <v>179.77809392736262</v>
      </c>
    </row>
    <row r="461" spans="1:19" s="159" customFormat="1" ht="14.25" customHeight="1" collapsed="1" x14ac:dyDescent="0.25">
      <c r="A461" s="156" t="s">
        <v>575</v>
      </c>
      <c r="B461" s="157"/>
      <c r="C461" s="157"/>
      <c r="D461" s="158"/>
      <c r="O461" s="160"/>
      <c r="P461" s="161"/>
      <c r="R461" s="160"/>
      <c r="S461" s="161"/>
    </row>
    <row r="462" spans="1:19" s="162" customFormat="1" hidden="1" outlineLevel="2" x14ac:dyDescent="0.25">
      <c r="B462" s="163" t="s">
        <v>510</v>
      </c>
      <c r="O462" s="164"/>
      <c r="P462" s="165"/>
      <c r="R462" s="164"/>
      <c r="S462" s="165"/>
    </row>
    <row r="463" spans="1:19" s="170" customFormat="1" hidden="1" outlineLevel="2" x14ac:dyDescent="0.25">
      <c r="A463" s="166"/>
      <c r="B463" s="167"/>
      <c r="C463" s="166"/>
      <c r="D463" s="166"/>
      <c r="E463" s="166"/>
      <c r="F463" s="166"/>
      <c r="G463" s="166"/>
      <c r="H463" s="166"/>
      <c r="J463" s="166"/>
      <c r="K463" s="166"/>
      <c r="L463" s="166"/>
      <c r="M463" s="166"/>
      <c r="N463" s="166"/>
      <c r="O463" s="168" t="s">
        <v>319</v>
      </c>
      <c r="P463" s="169" t="s">
        <v>332</v>
      </c>
      <c r="R463" s="171"/>
      <c r="S463" s="172"/>
    </row>
    <row r="464" spans="1:19" hidden="1" outlineLevel="2" x14ac:dyDescent="0.25">
      <c r="G464" s="174" t="s">
        <v>508</v>
      </c>
      <c r="L464" s="174" t="s">
        <v>481</v>
      </c>
      <c r="M464" s="234" t="s">
        <v>348</v>
      </c>
      <c r="O464" s="252">
        <f>O406</f>
        <v>17132.475173991152</v>
      </c>
      <c r="P464" s="253">
        <f>P406</f>
        <v>17132.475173991152</v>
      </c>
    </row>
    <row r="465" spans="1:19" hidden="1" outlineLevel="2" x14ac:dyDescent="0.25">
      <c r="G465" s="174" t="s">
        <v>583</v>
      </c>
      <c r="L465" s="174" t="s">
        <v>581</v>
      </c>
      <c r="M465" s="234" t="s">
        <v>13</v>
      </c>
      <c r="O465" s="285">
        <f>O288</f>
        <v>1.202259117971588</v>
      </c>
      <c r="P465" s="286">
        <f>P288</f>
        <v>1.202259117971588</v>
      </c>
    </row>
    <row r="466" spans="1:19" hidden="1" outlineLevel="2" x14ac:dyDescent="0.25">
      <c r="F466" s="174" t="s">
        <v>586</v>
      </c>
      <c r="L466" s="173" t="s">
        <v>585</v>
      </c>
      <c r="M466" s="234" t="s">
        <v>348</v>
      </c>
      <c r="O466" s="256">
        <f>O464*O465</f>
        <v>20597.674491352733</v>
      </c>
      <c r="P466" s="257">
        <f>P464*P465</f>
        <v>20597.674491352733</v>
      </c>
    </row>
    <row r="467" spans="1:19" hidden="1" outlineLevel="2" x14ac:dyDescent="0.25">
      <c r="G467" s="174" t="s">
        <v>509</v>
      </c>
      <c r="I467" s="174"/>
      <c r="L467" s="174" t="s">
        <v>482</v>
      </c>
      <c r="M467" s="234" t="s">
        <v>348</v>
      </c>
      <c r="O467" s="260">
        <f>O414</f>
        <v>3249.4247935569119</v>
      </c>
      <c r="P467" s="261">
        <f>P414</f>
        <v>3249.4247935569119</v>
      </c>
    </row>
    <row r="468" spans="1:19" hidden="1" outlineLevel="2" x14ac:dyDescent="0.25">
      <c r="G468" s="174" t="s">
        <v>584</v>
      </c>
      <c r="L468" s="174" t="s">
        <v>581</v>
      </c>
      <c r="M468" s="234" t="s">
        <v>13</v>
      </c>
      <c r="O468" s="287">
        <f>O312</f>
        <v>1.2560641532174768</v>
      </c>
      <c r="P468" s="288">
        <f>P312</f>
        <v>1.2560641532174768</v>
      </c>
    </row>
    <row r="469" spans="1:19" hidden="1" outlineLevel="2" x14ac:dyDescent="0.25">
      <c r="F469" s="174" t="s">
        <v>587</v>
      </c>
      <c r="G469" s="174"/>
      <c r="L469" s="173" t="s">
        <v>585</v>
      </c>
      <c r="M469" s="234" t="s">
        <v>348</v>
      </c>
      <c r="O469" s="265">
        <f>O467*O468</f>
        <v>4081.4860017629367</v>
      </c>
      <c r="P469" s="266">
        <f>P467*P468</f>
        <v>4081.4860017629367</v>
      </c>
    </row>
    <row r="470" spans="1:19" hidden="1" outlineLevel="2" x14ac:dyDescent="0.25">
      <c r="F470" s="174" t="s">
        <v>588</v>
      </c>
      <c r="I470" s="174"/>
      <c r="L470" s="173" t="s">
        <v>589</v>
      </c>
      <c r="M470" s="234" t="s">
        <v>348</v>
      </c>
      <c r="N470" s="264" t="s">
        <v>736</v>
      </c>
      <c r="O470" s="289">
        <f>O466+O469</f>
        <v>24679.160493115669</v>
      </c>
      <c r="P470" s="290">
        <f>P466+P469</f>
        <v>24679.160493115669</v>
      </c>
    </row>
    <row r="471" spans="1:19" hidden="1" outlineLevel="2" x14ac:dyDescent="0.25">
      <c r="G471" s="174" t="s">
        <v>590</v>
      </c>
      <c r="I471" s="174"/>
      <c r="L471" s="173" t="s">
        <v>412</v>
      </c>
      <c r="M471" s="234" t="s">
        <v>13</v>
      </c>
      <c r="O471" s="291">
        <f>Daten_ALLG!$D$187</f>
        <v>1.8</v>
      </c>
      <c r="P471" s="292">
        <f>Daten_ALLG!$D$187</f>
        <v>1.8</v>
      </c>
    </row>
    <row r="472" spans="1:19" hidden="1" outlineLevel="2" x14ac:dyDescent="0.25">
      <c r="F472" s="174" t="s">
        <v>716</v>
      </c>
      <c r="L472" s="173" t="s">
        <v>592</v>
      </c>
      <c r="M472" s="234" t="s">
        <v>348</v>
      </c>
      <c r="N472" s="264" t="s">
        <v>736</v>
      </c>
      <c r="O472" s="293">
        <f>O$423*O471</f>
        <v>6187.2124041808493</v>
      </c>
      <c r="P472" s="294">
        <f>P$423*P471</f>
        <v>6187.2124041808493</v>
      </c>
    </row>
    <row r="473" spans="1:19" hidden="1" outlineLevel="2" x14ac:dyDescent="0.25">
      <c r="F473" s="173" t="s">
        <v>717</v>
      </c>
      <c r="L473" s="173" t="s">
        <v>718</v>
      </c>
      <c r="M473" s="234" t="s">
        <v>348</v>
      </c>
      <c r="O473" s="279">
        <f>O424*O471</f>
        <v>196.26122555769737</v>
      </c>
      <c r="P473" s="280">
        <f>P424*P471</f>
        <v>196.26122555769737</v>
      </c>
    </row>
    <row r="474" spans="1:19" hidden="1" outlineLevel="2" x14ac:dyDescent="0.25">
      <c r="F474" s="174" t="s">
        <v>738</v>
      </c>
      <c r="L474" s="173" t="s">
        <v>719</v>
      </c>
      <c r="M474" s="234" t="s">
        <v>348</v>
      </c>
      <c r="O474" s="279">
        <f>O425*Daten_ALLG!$D$189</f>
        <v>0</v>
      </c>
      <c r="P474" s="280">
        <f>P425*Daten_ALLG!$D$189</f>
        <v>0</v>
      </c>
    </row>
    <row r="475" spans="1:19" hidden="1" outlineLevel="2" x14ac:dyDescent="0.25">
      <c r="E475" s="173" t="s">
        <v>737</v>
      </c>
      <c r="L475" s="173" t="s">
        <v>720</v>
      </c>
      <c r="M475" s="234" t="s">
        <v>348</v>
      </c>
      <c r="N475" s="264" t="s">
        <v>40</v>
      </c>
      <c r="O475" s="281">
        <f>O473+O474</f>
        <v>196.26122555769737</v>
      </c>
      <c r="P475" s="282">
        <f>P473+P474</f>
        <v>196.26122555769737</v>
      </c>
    </row>
    <row r="476" spans="1:19" hidden="1" outlineLevel="2" x14ac:dyDescent="0.25">
      <c r="E476" s="174" t="s">
        <v>591</v>
      </c>
      <c r="L476" s="173" t="s">
        <v>593</v>
      </c>
      <c r="M476" s="234" t="s">
        <v>348</v>
      </c>
      <c r="O476" s="273">
        <f>O470+O472-O475</f>
        <v>30670.111671738821</v>
      </c>
      <c r="P476" s="274">
        <f>P470+P472-P475</f>
        <v>30670.111671738821</v>
      </c>
    </row>
    <row r="477" spans="1:19" s="162" customFormat="1" hidden="1" outlineLevel="2" x14ac:dyDescent="0.25">
      <c r="B477" s="163" t="s">
        <v>511</v>
      </c>
      <c r="O477" s="283"/>
      <c r="P477" s="284"/>
      <c r="R477" s="164"/>
      <c r="S477" s="165"/>
    </row>
    <row r="478" spans="1:19" s="170" customFormat="1" hidden="1" outlineLevel="2" x14ac:dyDescent="0.25">
      <c r="A478" s="166"/>
      <c r="B478" s="167"/>
      <c r="C478" s="166"/>
      <c r="D478" s="166"/>
      <c r="E478" s="166"/>
      <c r="F478" s="166"/>
      <c r="G478" s="166"/>
      <c r="H478" s="166"/>
      <c r="J478" s="166"/>
      <c r="K478" s="166"/>
      <c r="L478" s="166"/>
      <c r="M478" s="166"/>
      <c r="N478" s="166"/>
      <c r="O478" s="168" t="s">
        <v>319</v>
      </c>
      <c r="P478" s="169" t="s">
        <v>332</v>
      </c>
      <c r="R478" s="171"/>
      <c r="S478" s="172"/>
    </row>
    <row r="479" spans="1:19" hidden="1" outlineLevel="2" x14ac:dyDescent="0.25">
      <c r="G479" s="174" t="s">
        <v>508</v>
      </c>
      <c r="L479" s="174" t="s">
        <v>521</v>
      </c>
      <c r="M479" s="234" t="s">
        <v>58</v>
      </c>
      <c r="O479" s="252">
        <f>O464/Daten_EZFH!$D$16</f>
        <v>121.00522644455575</v>
      </c>
      <c r="P479" s="253">
        <f>P464/Daten_EZFH!$D$16</f>
        <v>121.00522644455575</v>
      </c>
    </row>
    <row r="480" spans="1:19" hidden="1" outlineLevel="2" x14ac:dyDescent="0.25">
      <c r="G480" s="174" t="s">
        <v>583</v>
      </c>
      <c r="L480" s="174" t="s">
        <v>581</v>
      </c>
      <c r="M480" s="234" t="s">
        <v>13</v>
      </c>
      <c r="O480" s="254">
        <f>O465</f>
        <v>1.202259117971588</v>
      </c>
      <c r="P480" s="255">
        <f>P465</f>
        <v>1.202259117971588</v>
      </c>
    </row>
    <row r="481" spans="1:19" hidden="1" outlineLevel="2" x14ac:dyDescent="0.25">
      <c r="F481" s="174" t="s">
        <v>586</v>
      </c>
      <c r="L481" s="173" t="s">
        <v>582</v>
      </c>
      <c r="M481" s="234" t="s">
        <v>58</v>
      </c>
      <c r="O481" s="256">
        <f>O466/Daten_EZFH!$D$16</f>
        <v>145.47963681518388</v>
      </c>
      <c r="P481" s="257">
        <f>P466/Daten_EZFH!$D$16</f>
        <v>145.47963681518388</v>
      </c>
    </row>
    <row r="482" spans="1:19" hidden="1" outlineLevel="2" x14ac:dyDescent="0.25">
      <c r="G482" s="174" t="s">
        <v>509</v>
      </c>
      <c r="I482" s="174"/>
      <c r="L482" s="174" t="s">
        <v>527</v>
      </c>
      <c r="M482" s="234" t="s">
        <v>58</v>
      </c>
      <c r="O482" s="260">
        <f>O467/Daten_EZFH!$D$16</f>
        <v>22.950413116945398</v>
      </c>
      <c r="P482" s="261">
        <f>P467/Daten_EZFH!$D$16</f>
        <v>22.950413116945398</v>
      </c>
    </row>
    <row r="483" spans="1:19" hidden="1" outlineLevel="2" x14ac:dyDescent="0.25">
      <c r="G483" s="174" t="s">
        <v>584</v>
      </c>
      <c r="L483" s="174" t="s">
        <v>581</v>
      </c>
      <c r="M483" s="234" t="s">
        <v>13</v>
      </c>
      <c r="O483" s="262">
        <f>O468</f>
        <v>1.2560641532174768</v>
      </c>
      <c r="P483" s="263">
        <f>P468</f>
        <v>1.2560641532174768</v>
      </c>
    </row>
    <row r="484" spans="1:19" hidden="1" outlineLevel="2" x14ac:dyDescent="0.25">
      <c r="F484" s="174" t="s">
        <v>587</v>
      </c>
      <c r="G484" s="174"/>
      <c r="L484" s="173" t="s">
        <v>608</v>
      </c>
      <c r="M484" s="234" t="s">
        <v>58</v>
      </c>
      <c r="O484" s="265">
        <f>O469/Daten_EZFH!$D$16</f>
        <v>28.827191217727293</v>
      </c>
      <c r="P484" s="266">
        <f>P469/Daten_EZFH!$D$16</f>
        <v>28.827191217727293</v>
      </c>
    </row>
    <row r="485" spans="1:19" hidden="1" outlineLevel="2" x14ac:dyDescent="0.25">
      <c r="F485" s="174" t="s">
        <v>588</v>
      </c>
      <c r="I485" s="174"/>
      <c r="L485" s="173" t="s">
        <v>594</v>
      </c>
      <c r="M485" s="234" t="s">
        <v>58</v>
      </c>
      <c r="N485" s="264" t="s">
        <v>736</v>
      </c>
      <c r="O485" s="289">
        <f>O470/Daten_EZFH!$D$16</f>
        <v>174.30682803291117</v>
      </c>
      <c r="P485" s="290">
        <f>P470/Daten_EZFH!$D$16</f>
        <v>174.30682803291117</v>
      </c>
    </row>
    <row r="486" spans="1:19" hidden="1" outlineLevel="2" x14ac:dyDescent="0.25">
      <c r="G486" s="174" t="s">
        <v>590</v>
      </c>
      <c r="I486" s="174"/>
      <c r="L486" s="173" t="s">
        <v>412</v>
      </c>
      <c r="M486" s="234" t="s">
        <v>13</v>
      </c>
      <c r="O486" s="291">
        <f>O471</f>
        <v>1.8</v>
      </c>
      <c r="P486" s="292">
        <f>P471</f>
        <v>1.8</v>
      </c>
    </row>
    <row r="487" spans="1:19" hidden="1" outlineLevel="2" x14ac:dyDescent="0.25">
      <c r="F487" s="174" t="s">
        <v>716</v>
      </c>
      <c r="L487" s="173" t="s">
        <v>595</v>
      </c>
      <c r="M487" s="234" t="s">
        <v>58</v>
      </c>
      <c r="N487" s="264" t="s">
        <v>736</v>
      </c>
      <c r="O487" s="293">
        <f>O472/Daten_EZFH!$D$16</f>
        <v>43.699759108073785</v>
      </c>
      <c r="P487" s="294">
        <f>P472/Daten_EZFH!$D$16</f>
        <v>43.699759108073785</v>
      </c>
    </row>
    <row r="488" spans="1:19" hidden="1" outlineLevel="2" x14ac:dyDescent="0.25">
      <c r="F488" s="173" t="s">
        <v>717</v>
      </c>
      <c r="L488" s="173" t="s">
        <v>721</v>
      </c>
      <c r="M488" s="234" t="s">
        <v>58</v>
      </c>
      <c r="O488" s="279">
        <f>O473/Daten_EZFH!$D$16</f>
        <v>1.3861764747774481</v>
      </c>
      <c r="P488" s="280">
        <f>P473/Daten_EZFH!$D$16</f>
        <v>1.3861764747774481</v>
      </c>
    </row>
    <row r="489" spans="1:19" hidden="1" outlineLevel="2" x14ac:dyDescent="0.25">
      <c r="F489" s="174" t="s">
        <v>738</v>
      </c>
      <c r="L489" s="173" t="s">
        <v>722</v>
      </c>
      <c r="M489" s="234" t="s">
        <v>58</v>
      </c>
      <c r="O489" s="279">
        <f>O474/Daten_EZFH!$D$16</f>
        <v>0</v>
      </c>
      <c r="P489" s="280">
        <f>P474/Daten_EZFH!$D$16</f>
        <v>0</v>
      </c>
    </row>
    <row r="490" spans="1:19" hidden="1" outlineLevel="2" x14ac:dyDescent="0.25">
      <c r="E490" s="173" t="s">
        <v>737</v>
      </c>
      <c r="L490" s="173" t="s">
        <v>723</v>
      </c>
      <c r="M490" s="234" t="s">
        <v>58</v>
      </c>
      <c r="N490" s="264" t="s">
        <v>40</v>
      </c>
      <c r="O490" s="281">
        <f>O475/Daten_EZFH!$D$16</f>
        <v>1.3861764747774481</v>
      </c>
      <c r="P490" s="282">
        <f>P475/Daten_EZFH!$D$16</f>
        <v>1.3861764747774481</v>
      </c>
    </row>
    <row r="491" spans="1:19" hidden="1" outlineLevel="2" x14ac:dyDescent="0.25">
      <c r="E491" s="174" t="s">
        <v>591</v>
      </c>
      <c r="L491" s="173" t="s">
        <v>596</v>
      </c>
      <c r="M491" s="234" t="s">
        <v>58</v>
      </c>
      <c r="O491" s="273">
        <f>O476/Daten_EZFH!$D$16</f>
        <v>216.6204106662075</v>
      </c>
      <c r="P491" s="274">
        <f>P476/Daten_EZFH!$D$16</f>
        <v>216.6204106662075</v>
      </c>
    </row>
    <row r="492" spans="1:19" s="159" customFormat="1" ht="14.25" customHeight="1" collapsed="1" x14ac:dyDescent="0.25">
      <c r="A492" s="156" t="s">
        <v>597</v>
      </c>
      <c r="B492" s="157"/>
      <c r="C492" s="157"/>
      <c r="D492" s="158"/>
      <c r="O492" s="160"/>
      <c r="P492" s="161"/>
      <c r="R492" s="160"/>
      <c r="S492" s="161"/>
    </row>
    <row r="493" spans="1:19" s="162" customFormat="1" hidden="1" outlineLevel="2" x14ac:dyDescent="0.25">
      <c r="B493" s="163" t="s">
        <v>510</v>
      </c>
      <c r="O493" s="164"/>
      <c r="P493" s="165"/>
      <c r="R493" s="164"/>
      <c r="S493" s="165"/>
    </row>
    <row r="494" spans="1:19" s="170" customFormat="1" hidden="1" outlineLevel="2" x14ac:dyDescent="0.25">
      <c r="A494" s="166"/>
      <c r="B494" s="167"/>
      <c r="C494" s="166"/>
      <c r="D494" s="166"/>
      <c r="E494" s="166"/>
      <c r="F494" s="166"/>
      <c r="G494" s="166"/>
      <c r="H494" s="166"/>
      <c r="J494" s="166"/>
      <c r="K494" s="166"/>
      <c r="L494" s="166"/>
      <c r="M494" s="166"/>
      <c r="N494" s="166"/>
      <c r="O494" s="168" t="s">
        <v>319</v>
      </c>
      <c r="P494" s="169" t="s">
        <v>332</v>
      </c>
      <c r="R494" s="171"/>
      <c r="S494" s="172"/>
    </row>
    <row r="495" spans="1:19" hidden="1" outlineLevel="2" x14ac:dyDescent="0.25">
      <c r="G495" s="174" t="s">
        <v>508</v>
      </c>
      <c r="L495" s="174" t="s">
        <v>481</v>
      </c>
      <c r="M495" s="234" t="s">
        <v>348</v>
      </c>
      <c r="O495" s="252">
        <f>O464</f>
        <v>17132.475173991152</v>
      </c>
      <c r="P495" s="253">
        <f>P464</f>
        <v>17132.475173991152</v>
      </c>
    </row>
    <row r="496" spans="1:19" hidden="1" outlineLevel="2" x14ac:dyDescent="0.25">
      <c r="G496" s="174" t="s">
        <v>598</v>
      </c>
      <c r="L496" s="174" t="s">
        <v>611</v>
      </c>
      <c r="M496" s="234" t="s">
        <v>620</v>
      </c>
      <c r="O496" s="254">
        <f>O294/1000</f>
        <v>0.26458607850792826</v>
      </c>
      <c r="P496" s="255">
        <f>P294/1000</f>
        <v>0.26458607850792826</v>
      </c>
    </row>
    <row r="497" spans="1:19" hidden="1" outlineLevel="2" x14ac:dyDescent="0.25">
      <c r="F497" s="174" t="s">
        <v>599</v>
      </c>
      <c r="L497" s="173" t="s">
        <v>606</v>
      </c>
      <c r="M497" s="234" t="s">
        <v>621</v>
      </c>
      <c r="O497" s="256">
        <f>O495*O496</f>
        <v>4533.0144214207548</v>
      </c>
      <c r="P497" s="257">
        <f>P495*P496</f>
        <v>4533.0144214207548</v>
      </c>
    </row>
    <row r="498" spans="1:19" hidden="1" outlineLevel="2" x14ac:dyDescent="0.25">
      <c r="G498" s="174" t="s">
        <v>509</v>
      </c>
      <c r="I498" s="174"/>
      <c r="L498" s="174" t="s">
        <v>482</v>
      </c>
      <c r="M498" s="234" t="s">
        <v>348</v>
      </c>
      <c r="O498" s="260">
        <f>O467</f>
        <v>3249.4247935569119</v>
      </c>
      <c r="P498" s="261">
        <f>P467</f>
        <v>3249.4247935569119</v>
      </c>
    </row>
    <row r="499" spans="1:19" hidden="1" outlineLevel="2" x14ac:dyDescent="0.25">
      <c r="G499" s="174" t="s">
        <v>600</v>
      </c>
      <c r="L499" s="174" t="s">
        <v>611</v>
      </c>
      <c r="M499" s="234" t="s">
        <v>620</v>
      </c>
      <c r="O499" s="262">
        <f>O318/1000</f>
        <v>0.28104762029163521</v>
      </c>
      <c r="P499" s="263">
        <f>P318/1000</f>
        <v>0.28104762029163521</v>
      </c>
    </row>
    <row r="500" spans="1:19" hidden="1" outlineLevel="2" x14ac:dyDescent="0.25">
      <c r="F500" s="174" t="s">
        <v>601</v>
      </c>
      <c r="G500" s="174"/>
      <c r="L500" s="173" t="s">
        <v>607</v>
      </c>
      <c r="M500" s="234" t="s">
        <v>621</v>
      </c>
      <c r="O500" s="265">
        <f>O498*O499</f>
        <v>913.24310554580813</v>
      </c>
      <c r="P500" s="266">
        <f>P498*P499</f>
        <v>913.24310554580813</v>
      </c>
    </row>
    <row r="501" spans="1:19" hidden="1" outlineLevel="2" x14ac:dyDescent="0.25">
      <c r="F501" s="174" t="s">
        <v>602</v>
      </c>
      <c r="I501" s="174"/>
      <c r="L501" s="173" t="s">
        <v>617</v>
      </c>
      <c r="M501" s="234" t="s">
        <v>621</v>
      </c>
      <c r="N501" s="264" t="s">
        <v>736</v>
      </c>
      <c r="O501" s="289">
        <f>O497+O500</f>
        <v>5446.2575269665631</v>
      </c>
      <c r="P501" s="290">
        <f>P497+P500</f>
        <v>5446.2575269665631</v>
      </c>
    </row>
    <row r="502" spans="1:19" hidden="1" outlineLevel="2" x14ac:dyDescent="0.25">
      <c r="G502" s="174" t="s">
        <v>603</v>
      </c>
      <c r="I502" s="174"/>
      <c r="L502" s="173" t="s">
        <v>571</v>
      </c>
      <c r="M502" s="234" t="s">
        <v>620</v>
      </c>
      <c r="O502" s="291">
        <f>Daten_ALLG!$D$209/1000</f>
        <v>0.44400000000000001</v>
      </c>
      <c r="P502" s="292">
        <f>Daten_ALLG!$D$209/1000</f>
        <v>0.44400000000000001</v>
      </c>
    </row>
    <row r="503" spans="1:19" hidden="1" outlineLevel="2" x14ac:dyDescent="0.25">
      <c r="F503" s="174" t="s">
        <v>604</v>
      </c>
      <c r="L503" s="173" t="s">
        <v>618</v>
      </c>
      <c r="M503" s="234" t="s">
        <v>621</v>
      </c>
      <c r="N503" s="264" t="s">
        <v>736</v>
      </c>
      <c r="O503" s="293">
        <f>O$423*O502</f>
        <v>1526.1790596979426</v>
      </c>
      <c r="P503" s="294">
        <f>P$423*P502</f>
        <v>1526.1790596979426</v>
      </c>
    </row>
    <row r="504" spans="1:19" hidden="1" outlineLevel="2" x14ac:dyDescent="0.25">
      <c r="F504" s="173" t="s">
        <v>724</v>
      </c>
      <c r="L504" s="173" t="s">
        <v>727</v>
      </c>
      <c r="M504" s="234" t="s">
        <v>621</v>
      </c>
      <c r="O504" s="279">
        <f>O424*O$502</f>
        <v>48.411102304232017</v>
      </c>
      <c r="P504" s="280">
        <f>P424*P$502</f>
        <v>48.411102304232017</v>
      </c>
    </row>
    <row r="505" spans="1:19" hidden="1" outlineLevel="2" x14ac:dyDescent="0.25">
      <c r="F505" s="174" t="s">
        <v>725</v>
      </c>
      <c r="L505" s="173" t="s">
        <v>728</v>
      </c>
      <c r="M505" s="234" t="s">
        <v>621</v>
      </c>
      <c r="O505" s="279">
        <f>O458*Daten_ALLG!$D$211</f>
        <v>0</v>
      </c>
      <c r="P505" s="280">
        <f>P458*Daten_ALLG!$D$211</f>
        <v>0</v>
      </c>
    </row>
    <row r="506" spans="1:19" hidden="1" outlineLevel="2" x14ac:dyDescent="0.25">
      <c r="E506" s="173" t="s">
        <v>726</v>
      </c>
      <c r="L506" s="173" t="s">
        <v>729</v>
      </c>
      <c r="M506" s="234" t="s">
        <v>621</v>
      </c>
      <c r="N506" s="264" t="s">
        <v>40</v>
      </c>
      <c r="O506" s="281">
        <f>O504+O505</f>
        <v>48.411102304232017</v>
      </c>
      <c r="P506" s="282">
        <f>P504+P505</f>
        <v>48.411102304232017</v>
      </c>
    </row>
    <row r="507" spans="1:19" hidden="1" outlineLevel="2" x14ac:dyDescent="0.25">
      <c r="E507" s="174" t="s">
        <v>605</v>
      </c>
      <c r="L507" s="173" t="s">
        <v>619</v>
      </c>
      <c r="M507" s="234" t="s">
        <v>621</v>
      </c>
      <c r="O507" s="273">
        <f>O501+O503-O506</f>
        <v>6924.0254843602734</v>
      </c>
      <c r="P507" s="274">
        <f>P501+P503-P506</f>
        <v>6924.0254843602734</v>
      </c>
    </row>
    <row r="508" spans="1:19" s="162" customFormat="1" hidden="1" outlineLevel="2" x14ac:dyDescent="0.25">
      <c r="B508" s="163" t="s">
        <v>511</v>
      </c>
      <c r="O508" s="283"/>
      <c r="P508" s="284"/>
      <c r="R508" s="164"/>
      <c r="S508" s="165"/>
    </row>
    <row r="509" spans="1:19" s="170" customFormat="1" hidden="1" outlineLevel="2" x14ac:dyDescent="0.25">
      <c r="A509" s="166"/>
      <c r="B509" s="167"/>
      <c r="C509" s="166"/>
      <c r="D509" s="166"/>
      <c r="E509" s="166"/>
      <c r="F509" s="166"/>
      <c r="G509" s="166"/>
      <c r="H509" s="166"/>
      <c r="J509" s="166"/>
      <c r="K509" s="166"/>
      <c r="L509" s="166"/>
      <c r="M509" s="166"/>
      <c r="N509" s="166"/>
      <c r="O509" s="168" t="s">
        <v>319</v>
      </c>
      <c r="P509" s="169" t="s">
        <v>332</v>
      </c>
      <c r="R509" s="171"/>
      <c r="S509" s="172"/>
    </row>
    <row r="510" spans="1:19" hidden="1" outlineLevel="2" x14ac:dyDescent="0.25">
      <c r="G510" s="174" t="s">
        <v>508</v>
      </c>
      <c r="L510" s="174" t="s">
        <v>521</v>
      </c>
      <c r="M510" s="234" t="s">
        <v>348</v>
      </c>
      <c r="O510" s="252">
        <f>O495/Daten_EZFH!$D$16</f>
        <v>121.00522644455575</v>
      </c>
      <c r="P510" s="253">
        <f>P495/Daten_EZFH!$D$16</f>
        <v>121.00522644455575</v>
      </c>
    </row>
    <row r="511" spans="1:19" hidden="1" outlineLevel="2" x14ac:dyDescent="0.25">
      <c r="G511" s="174" t="s">
        <v>598</v>
      </c>
      <c r="L511" s="174" t="s">
        <v>611</v>
      </c>
      <c r="M511" s="234" t="s">
        <v>13</v>
      </c>
      <c r="O511" s="254">
        <f>O496</f>
        <v>0.26458607850792826</v>
      </c>
      <c r="P511" s="255">
        <f>P496</f>
        <v>0.26458607850792826</v>
      </c>
    </row>
    <row r="512" spans="1:19" hidden="1" outlineLevel="2" x14ac:dyDescent="0.25">
      <c r="F512" s="174" t="s">
        <v>599</v>
      </c>
      <c r="L512" s="173" t="s">
        <v>612</v>
      </c>
      <c r="M512" s="234" t="s">
        <v>733</v>
      </c>
      <c r="O512" s="256">
        <f>O497/Daten_EZFH!$D$16</f>
        <v>32.016298343928867</v>
      </c>
      <c r="P512" s="257">
        <f>P497/Daten_EZFH!$D$16</f>
        <v>32.016298343928867</v>
      </c>
    </row>
    <row r="513" spans="1:19" hidden="1" outlineLevel="2" x14ac:dyDescent="0.25">
      <c r="G513" s="174" t="s">
        <v>509</v>
      </c>
      <c r="I513" s="174"/>
      <c r="L513" s="174" t="s">
        <v>527</v>
      </c>
      <c r="M513" s="234" t="s">
        <v>348</v>
      </c>
      <c r="O513" s="260">
        <f>O498/Daten_EZFH!$D$16</f>
        <v>22.950413116945398</v>
      </c>
      <c r="P513" s="261">
        <f>P498/Daten_EZFH!$D$16</f>
        <v>22.950413116945398</v>
      </c>
    </row>
    <row r="514" spans="1:19" hidden="1" outlineLevel="2" x14ac:dyDescent="0.25">
      <c r="G514" s="174" t="s">
        <v>600</v>
      </c>
      <c r="L514" s="174" t="s">
        <v>611</v>
      </c>
      <c r="M514" s="234" t="s">
        <v>13</v>
      </c>
      <c r="O514" s="262">
        <f>O499</f>
        <v>0.28104762029163521</v>
      </c>
      <c r="P514" s="263">
        <f>P499</f>
        <v>0.28104762029163521</v>
      </c>
    </row>
    <row r="515" spans="1:19" hidden="1" outlineLevel="2" x14ac:dyDescent="0.25">
      <c r="F515" s="174" t="s">
        <v>601</v>
      </c>
      <c r="G515" s="174"/>
      <c r="L515" s="173" t="s">
        <v>613</v>
      </c>
      <c r="M515" s="234" t="s">
        <v>733</v>
      </c>
      <c r="O515" s="265">
        <f>O500/Daten_EZFH!$D$16</f>
        <v>6.4501589912274344</v>
      </c>
      <c r="P515" s="266">
        <f>P500/Daten_EZFH!$D$16</f>
        <v>6.4501589912274344</v>
      </c>
    </row>
    <row r="516" spans="1:19" hidden="1" outlineLevel="2" x14ac:dyDescent="0.25">
      <c r="F516" s="174" t="s">
        <v>602</v>
      </c>
      <c r="I516" s="174"/>
      <c r="L516" s="173" t="s">
        <v>614</v>
      </c>
      <c r="M516" s="234" t="s">
        <v>733</v>
      </c>
      <c r="N516" s="264" t="s">
        <v>736</v>
      </c>
      <c r="O516" s="289">
        <f>O501/Daten_EZFH!$D$16</f>
        <v>38.466457335156299</v>
      </c>
      <c r="P516" s="290">
        <f>P501/Daten_EZFH!$D$16</f>
        <v>38.466457335156299</v>
      </c>
    </row>
    <row r="517" spans="1:19" hidden="1" outlineLevel="2" x14ac:dyDescent="0.25">
      <c r="G517" s="174" t="s">
        <v>603</v>
      </c>
      <c r="I517" s="174"/>
      <c r="L517" s="173" t="s">
        <v>571</v>
      </c>
      <c r="M517" s="234" t="s">
        <v>13</v>
      </c>
      <c r="O517" s="291">
        <f>O502</f>
        <v>0.44400000000000001</v>
      </c>
      <c r="P517" s="292">
        <f>P502</f>
        <v>0.44400000000000001</v>
      </c>
    </row>
    <row r="518" spans="1:19" hidden="1" outlineLevel="2" x14ac:dyDescent="0.25">
      <c r="F518" s="174" t="s">
        <v>604</v>
      </c>
      <c r="L518" s="173" t="s">
        <v>616</v>
      </c>
      <c r="M518" s="234" t="s">
        <v>733</v>
      </c>
      <c r="N518" s="264" t="s">
        <v>736</v>
      </c>
      <c r="O518" s="293">
        <f>O503/Daten_EZFH!$D$16</f>
        <v>10.779273913324866</v>
      </c>
      <c r="P518" s="294">
        <f>P503/Daten_EZFH!$D$16</f>
        <v>10.779273913324866</v>
      </c>
    </row>
    <row r="519" spans="1:19" hidden="1" outlineLevel="2" x14ac:dyDescent="0.25">
      <c r="F519" s="173" t="s">
        <v>724</v>
      </c>
      <c r="L519" s="173" t="s">
        <v>730</v>
      </c>
      <c r="M519" s="234" t="s">
        <v>733</v>
      </c>
      <c r="O519" s="279">
        <f>O504/Daten_EZFH!$D$16</f>
        <v>0.34192353044510387</v>
      </c>
      <c r="P519" s="280">
        <f>P504/Daten_EZFH!$D$16</f>
        <v>0.34192353044510387</v>
      </c>
    </row>
    <row r="520" spans="1:19" hidden="1" outlineLevel="2" x14ac:dyDescent="0.25">
      <c r="F520" s="174" t="s">
        <v>725</v>
      </c>
      <c r="L520" s="173" t="s">
        <v>731</v>
      </c>
      <c r="M520" s="234" t="s">
        <v>733</v>
      </c>
      <c r="O520" s="279">
        <f>O505/Daten_EZFH!$D$16</f>
        <v>0</v>
      </c>
      <c r="P520" s="280">
        <f>P505/Daten_EZFH!$D$16</f>
        <v>0</v>
      </c>
    </row>
    <row r="521" spans="1:19" hidden="1" outlineLevel="2" x14ac:dyDescent="0.25">
      <c r="E521" s="173" t="s">
        <v>726</v>
      </c>
      <c r="L521" s="173" t="s">
        <v>732</v>
      </c>
      <c r="M521" s="234" t="s">
        <v>733</v>
      </c>
      <c r="N521" s="264" t="s">
        <v>40</v>
      </c>
      <c r="O521" s="281">
        <f>O506/Daten_EZFH!$D$16</f>
        <v>0.34192353044510387</v>
      </c>
      <c r="P521" s="282">
        <f>P506/Daten_EZFH!$D$16</f>
        <v>0.34192353044510387</v>
      </c>
    </row>
    <row r="522" spans="1:19" hidden="1" outlineLevel="2" x14ac:dyDescent="0.25">
      <c r="E522" s="174" t="s">
        <v>605</v>
      </c>
      <c r="L522" s="173" t="s">
        <v>615</v>
      </c>
      <c r="M522" s="234" t="s">
        <v>733</v>
      </c>
      <c r="O522" s="273">
        <f>O507/Daten_EZFH!$D$16</f>
        <v>48.903807718036056</v>
      </c>
      <c r="P522" s="274">
        <f>P507/Daten_EZFH!$D$16</f>
        <v>48.903807718036056</v>
      </c>
    </row>
    <row r="523" spans="1:19" s="159" customFormat="1" ht="14.25" customHeight="1" collapsed="1" x14ac:dyDescent="0.25">
      <c r="A523" s="156" t="s">
        <v>670</v>
      </c>
      <c r="B523" s="157"/>
      <c r="C523" s="157"/>
      <c r="D523" s="158"/>
      <c r="O523" s="160"/>
      <c r="P523" s="161"/>
      <c r="R523" s="160"/>
      <c r="S523" s="161"/>
    </row>
    <row r="524" spans="1:19" s="162" customFormat="1" hidden="1" outlineLevel="2" x14ac:dyDescent="0.25">
      <c r="B524" s="163" t="s">
        <v>670</v>
      </c>
      <c r="O524" s="164"/>
      <c r="P524" s="165"/>
      <c r="R524" s="164"/>
      <c r="S524" s="165"/>
    </row>
    <row r="525" spans="1:19" s="170" customFormat="1" hidden="1" outlineLevel="2" x14ac:dyDescent="0.25">
      <c r="A525" s="166"/>
      <c r="B525" s="167"/>
      <c r="C525" s="166"/>
      <c r="D525" s="166"/>
      <c r="E525" s="166"/>
      <c r="F525" s="166"/>
      <c r="H525" s="166"/>
      <c r="J525" s="166"/>
      <c r="K525" s="166"/>
      <c r="L525" s="166" t="s">
        <v>319</v>
      </c>
      <c r="M525" s="166" t="s">
        <v>332</v>
      </c>
      <c r="N525" s="166"/>
      <c r="O525" s="168" t="s">
        <v>319</v>
      </c>
      <c r="P525" s="172" t="s">
        <v>332</v>
      </c>
      <c r="R525" s="171"/>
      <c r="S525" s="172"/>
    </row>
    <row r="526" spans="1:19" hidden="1" outlineLevel="2" x14ac:dyDescent="0.25">
      <c r="B526" s="174" t="s">
        <v>766</v>
      </c>
      <c r="E526" s="185" t="s">
        <v>669</v>
      </c>
      <c r="N526" s="264" t="s">
        <v>736</v>
      </c>
      <c r="O526" s="193">
        <f>O406*O300+O324*O414</f>
        <v>2351.2748046572119</v>
      </c>
      <c r="P526" s="194">
        <f>P406*P300+P324*P414</f>
        <v>2351.2748046572119</v>
      </c>
    </row>
    <row r="527" spans="1:19" hidden="1" outlineLevel="2" x14ac:dyDescent="0.25">
      <c r="B527" s="174" t="s">
        <v>735</v>
      </c>
      <c r="E527" s="185" t="s">
        <v>669</v>
      </c>
      <c r="N527" s="264" t="s">
        <v>736</v>
      </c>
      <c r="O527" s="193">
        <f>O423*Daten_ALLG!$D$278</f>
        <v>639.34528176535434</v>
      </c>
      <c r="P527" s="194">
        <f>P423*Daten_ALLG!$D$278</f>
        <v>639.34528176535434</v>
      </c>
    </row>
    <row r="528" spans="1:19" hidden="1" outlineLevel="2" x14ac:dyDescent="0.25">
      <c r="B528" s="174" t="s">
        <v>823</v>
      </c>
      <c r="E528" s="185" t="s">
        <v>669</v>
      </c>
      <c r="F528" s="173" t="s">
        <v>825</v>
      </c>
      <c r="N528" s="264" t="s">
        <v>40</v>
      </c>
      <c r="O528" s="193">
        <f>(O380+O392)*Daten_ALLG!$D$278</f>
        <v>20.280326640962059</v>
      </c>
      <c r="P528" s="194">
        <f>(P380+P392)*Daten_ALLG!$D$278</f>
        <v>20.280326640962059</v>
      </c>
    </row>
    <row r="529" spans="1:19" hidden="1" outlineLevel="2" x14ac:dyDescent="0.25">
      <c r="B529" s="174" t="s">
        <v>824</v>
      </c>
      <c r="E529" s="185" t="s">
        <v>669</v>
      </c>
      <c r="F529" s="173" t="s">
        <v>828</v>
      </c>
      <c r="J529" s="264" t="s">
        <v>826</v>
      </c>
      <c r="K529" s="173" t="s">
        <v>654</v>
      </c>
      <c r="L529" s="223">
        <f>IF(A303="",0,IF(OR(L303="v",M303="v"),1,0))</f>
        <v>0</v>
      </c>
      <c r="M529" s="223">
        <f>IF(A303="",0,IF(OR(L303="n",M303="n"),1,L529))</f>
        <v>0</v>
      </c>
      <c r="N529" s="264" t="s">
        <v>40</v>
      </c>
      <c r="O529" s="193">
        <f>O379*IF(L529=0,Daten_ALLG!$D$278,Daten_ALLG!$D$279)</f>
        <v>0</v>
      </c>
      <c r="P529" s="194">
        <f>P379*IF(M529=0,Daten_ALLG!$D$278,Daten_ALLG!$D$279)</f>
        <v>0</v>
      </c>
    </row>
    <row r="530" spans="1:19" hidden="1" outlineLevel="2" x14ac:dyDescent="0.25">
      <c r="B530" s="174" t="s">
        <v>829</v>
      </c>
      <c r="E530" s="185" t="s">
        <v>669</v>
      </c>
      <c r="F530" s="173" t="s">
        <v>828</v>
      </c>
      <c r="J530" s="264" t="s">
        <v>826</v>
      </c>
      <c r="K530" s="173" t="s">
        <v>654</v>
      </c>
      <c r="L530" s="223">
        <f>IF(A276="",0,IF(OR(L276="v",M276="v"),1,0))</f>
        <v>0</v>
      </c>
      <c r="M530" s="223">
        <f>IF(A276="",0,IF(OR(L276="n",M276="n"),1,L530))</f>
        <v>0</v>
      </c>
      <c r="N530" s="264" t="s">
        <v>40</v>
      </c>
      <c r="O530" s="193">
        <f>O388*IF(L530=0,Daten_ALLG!$D$278,Daten_ALLG!$D$279)</f>
        <v>0</v>
      </c>
      <c r="P530" s="194">
        <f>P388*IF(M530=0,Daten_ALLG!$D$278,Daten_ALLG!$D$279)</f>
        <v>0</v>
      </c>
    </row>
    <row r="531" spans="1:19" hidden="1" outlineLevel="2" x14ac:dyDescent="0.25">
      <c r="B531" s="174" t="s">
        <v>767</v>
      </c>
      <c r="E531" s="185" t="s">
        <v>669</v>
      </c>
      <c r="F531" s="173" t="s">
        <v>827</v>
      </c>
      <c r="N531" s="264" t="s">
        <v>40</v>
      </c>
      <c r="O531" s="193">
        <f>(O389+O393)*Daten_ALLG!$D$284</f>
        <v>64.766204434040134</v>
      </c>
      <c r="P531" s="194">
        <f>(P389+P393)*Daten_ALLG!$D$284</f>
        <v>64.766204434040134</v>
      </c>
    </row>
    <row r="532" spans="1:19" hidden="1" outlineLevel="2" x14ac:dyDescent="0.25">
      <c r="B532" s="174" t="s">
        <v>44</v>
      </c>
      <c r="E532" s="185" t="s">
        <v>669</v>
      </c>
      <c r="O532" s="180">
        <f>O526+O527-O529-O528-O530-O531</f>
        <v>2905.5735553475643</v>
      </c>
      <c r="P532" s="181">
        <f>P526+P527-P529-P528-P530-P531</f>
        <v>2905.5735553475643</v>
      </c>
    </row>
    <row r="533" spans="1:19" s="159" customFormat="1" ht="14.25" customHeight="1" collapsed="1" x14ac:dyDescent="0.25">
      <c r="A533" s="156" t="s">
        <v>36</v>
      </c>
      <c r="B533" s="157"/>
      <c r="C533" s="157"/>
      <c r="D533" s="158"/>
      <c r="O533" s="160"/>
      <c r="P533" s="161"/>
      <c r="R533" s="160"/>
      <c r="S533" s="161"/>
    </row>
    <row r="534" spans="1:19" s="162" customFormat="1" hidden="1" outlineLevel="2" x14ac:dyDescent="0.25">
      <c r="B534" s="163" t="s">
        <v>16</v>
      </c>
      <c r="O534" s="164"/>
      <c r="P534" s="165"/>
      <c r="R534" s="164"/>
      <c r="S534" s="165"/>
    </row>
    <row r="535" spans="1:19" s="170" customFormat="1" hidden="1" outlineLevel="2" x14ac:dyDescent="0.25">
      <c r="A535" s="166"/>
      <c r="B535" s="167"/>
      <c r="C535" s="166"/>
      <c r="D535" s="166"/>
      <c r="E535" s="166"/>
      <c r="F535" s="166"/>
      <c r="G535" s="166"/>
      <c r="H535" s="166"/>
      <c r="J535" s="166"/>
      <c r="K535" s="166"/>
      <c r="L535" s="166"/>
      <c r="M535" s="166"/>
      <c r="N535" s="166"/>
      <c r="O535" s="171"/>
      <c r="P535" s="172"/>
      <c r="R535" s="168" t="s">
        <v>644</v>
      </c>
      <c r="S535" s="169" t="s">
        <v>32</v>
      </c>
    </row>
    <row r="536" spans="1:19" hidden="1" outlineLevel="2" x14ac:dyDescent="0.25">
      <c r="B536" s="174" t="s">
        <v>653</v>
      </c>
      <c r="E536" s="185" t="s">
        <v>654</v>
      </c>
      <c r="F536" s="223">
        <f>IF($R$41&gt;0,1,0)</f>
        <v>0</v>
      </c>
      <c r="R536" s="295"/>
      <c r="S536" s="296"/>
    </row>
    <row r="537" spans="1:19" hidden="1" outlineLevel="2" x14ac:dyDescent="0.25">
      <c r="B537" s="174" t="s">
        <v>638</v>
      </c>
      <c r="E537" s="185" t="s">
        <v>637</v>
      </c>
      <c r="R537" s="297">
        <f>Daten_ALLG!$H$216</f>
        <v>60</v>
      </c>
      <c r="S537" s="298">
        <f>Daten_ALLG!$D$216+Daten_ALLG!$F$216*R41</f>
        <v>90</v>
      </c>
    </row>
    <row r="538" spans="1:19" hidden="1" outlineLevel="2" x14ac:dyDescent="0.25">
      <c r="B538" s="174" t="s">
        <v>639</v>
      </c>
      <c r="E538" s="185" t="s">
        <v>77</v>
      </c>
      <c r="R538" s="299">
        <f>R537*S42*F536</f>
        <v>0</v>
      </c>
      <c r="S538" s="300">
        <f>S537*R42*F536</f>
        <v>0</v>
      </c>
    </row>
    <row r="539" spans="1:19" hidden="1" outlineLevel="2" x14ac:dyDescent="0.25">
      <c r="B539" s="174" t="s">
        <v>640</v>
      </c>
      <c r="E539" s="185" t="s">
        <v>77</v>
      </c>
      <c r="R539" s="301">
        <f>R538*Daten_ALLG!$D$246</f>
        <v>0</v>
      </c>
      <c r="S539" s="302">
        <f>S538*Daten_ALLG!$D$246</f>
        <v>0</v>
      </c>
    </row>
    <row r="540" spans="1:19" hidden="1" outlineLevel="2" x14ac:dyDescent="0.25">
      <c r="B540" s="174" t="s">
        <v>641</v>
      </c>
      <c r="E540" s="185" t="s">
        <v>77</v>
      </c>
      <c r="R540" s="301">
        <f>R539*Daten_ALLG!$D$250</f>
        <v>0</v>
      </c>
      <c r="S540" s="302">
        <f>S539*Daten_ALLG!$D$250</f>
        <v>0</v>
      </c>
    </row>
    <row r="541" spans="1:19" s="162" customFormat="1" hidden="1" outlineLevel="2" x14ac:dyDescent="0.25">
      <c r="B541" s="163" t="s">
        <v>12</v>
      </c>
      <c r="O541" s="164"/>
      <c r="P541" s="165"/>
      <c r="R541" s="164"/>
      <c r="S541" s="165"/>
    </row>
    <row r="542" spans="1:19" s="170" customFormat="1" hidden="1" outlineLevel="2" x14ac:dyDescent="0.25">
      <c r="A542" s="166"/>
      <c r="B542" s="167"/>
      <c r="C542" s="166"/>
      <c r="D542" s="166"/>
      <c r="E542" s="166"/>
      <c r="F542" s="166"/>
      <c r="G542" s="166"/>
      <c r="H542" s="166"/>
      <c r="J542" s="166"/>
      <c r="K542" s="166"/>
      <c r="L542" s="166"/>
      <c r="M542" s="166"/>
      <c r="N542" s="166"/>
      <c r="O542" s="171"/>
      <c r="P542" s="172"/>
      <c r="R542" s="168" t="s">
        <v>644</v>
      </c>
      <c r="S542" s="169" t="s">
        <v>32</v>
      </c>
    </row>
    <row r="543" spans="1:19" hidden="1" outlineLevel="2" x14ac:dyDescent="0.25">
      <c r="B543" s="174" t="s">
        <v>653</v>
      </c>
      <c r="E543" s="185" t="s">
        <v>654</v>
      </c>
      <c r="F543" s="223">
        <f>IF($O$58-$P$58&lt;&gt;0,1,0)</f>
        <v>0</v>
      </c>
      <c r="R543" s="295"/>
      <c r="S543" s="296"/>
    </row>
    <row r="544" spans="1:19" hidden="1" outlineLevel="2" x14ac:dyDescent="0.25">
      <c r="B544" s="174" t="s">
        <v>638</v>
      </c>
      <c r="E544" s="185" t="s">
        <v>637</v>
      </c>
      <c r="R544" s="297">
        <f>Daten_ALLG!$H$219</f>
        <v>389</v>
      </c>
      <c r="S544" s="298">
        <f>Daten_ALLG!$D$219</f>
        <v>537</v>
      </c>
    </row>
    <row r="545" spans="1:19" hidden="1" outlineLevel="2" x14ac:dyDescent="0.25">
      <c r="B545" s="174" t="s">
        <v>639</v>
      </c>
      <c r="E545" s="185" t="s">
        <v>77</v>
      </c>
      <c r="R545" s="299">
        <f>R544*S59*F543</f>
        <v>0</v>
      </c>
      <c r="S545" s="300">
        <f>S544*R59*F543</f>
        <v>0</v>
      </c>
    </row>
    <row r="546" spans="1:19" hidden="1" outlineLevel="2" x14ac:dyDescent="0.25">
      <c r="B546" s="174" t="s">
        <v>640</v>
      </c>
      <c r="E546" s="185" t="s">
        <v>77</v>
      </c>
      <c r="R546" s="301">
        <f>R545*Daten_ALLG!$D$246</f>
        <v>0</v>
      </c>
      <c r="S546" s="302">
        <f>S545*Daten_ALLG!$D$246</f>
        <v>0</v>
      </c>
    </row>
    <row r="547" spans="1:19" hidden="1" outlineLevel="2" x14ac:dyDescent="0.25">
      <c r="B547" s="174" t="s">
        <v>641</v>
      </c>
      <c r="E547" s="185" t="s">
        <v>77</v>
      </c>
      <c r="R547" s="301">
        <f>R546*Daten_ALLG!$D$257</f>
        <v>0</v>
      </c>
      <c r="S547" s="302">
        <f>S546*Daten_ALLG!$D$257</f>
        <v>0</v>
      </c>
    </row>
    <row r="548" spans="1:19" s="162" customFormat="1" hidden="1" outlineLevel="2" x14ac:dyDescent="0.25">
      <c r="B548" s="163" t="s">
        <v>642</v>
      </c>
      <c r="O548" s="164"/>
      <c r="P548" s="165"/>
      <c r="R548" s="164"/>
      <c r="S548" s="165"/>
    </row>
    <row r="549" spans="1:19" s="170" customFormat="1" hidden="1" outlineLevel="2" x14ac:dyDescent="0.25">
      <c r="A549" s="166"/>
      <c r="B549" s="167"/>
      <c r="C549" s="166"/>
      <c r="D549" s="166"/>
      <c r="E549" s="166"/>
      <c r="F549" s="166" t="s">
        <v>17</v>
      </c>
      <c r="H549" s="166" t="s">
        <v>29</v>
      </c>
      <c r="J549" s="166"/>
      <c r="K549" s="166"/>
      <c r="L549" s="166"/>
      <c r="M549" s="166"/>
      <c r="N549" s="166"/>
      <c r="O549" s="171"/>
      <c r="P549" s="172"/>
      <c r="R549" s="168" t="s">
        <v>644</v>
      </c>
      <c r="S549" s="169" t="s">
        <v>32</v>
      </c>
    </row>
    <row r="550" spans="1:19" hidden="1" outlineLevel="2" x14ac:dyDescent="0.25">
      <c r="B550" s="174" t="s">
        <v>653</v>
      </c>
      <c r="E550" s="185" t="s">
        <v>654</v>
      </c>
      <c r="F550" s="223">
        <f>IF($R$46&gt;0,1,0)</f>
        <v>0</v>
      </c>
      <c r="R550" s="295"/>
      <c r="S550" s="296"/>
    </row>
    <row r="551" spans="1:19" hidden="1" outlineLevel="2" x14ac:dyDescent="0.25">
      <c r="B551" s="174" t="s">
        <v>157</v>
      </c>
      <c r="E551" s="185" t="s">
        <v>13</v>
      </c>
      <c r="F551" s="191">
        <f>Daten_EZFH!$D$58</f>
        <v>0.53012048192771088</v>
      </c>
      <c r="H551" s="191">
        <f>Daten_EZFH!$D$59</f>
        <v>0.46987951807228917</v>
      </c>
    </row>
    <row r="552" spans="1:19" hidden="1" outlineLevel="2" x14ac:dyDescent="0.25">
      <c r="B552" s="174" t="s">
        <v>638</v>
      </c>
      <c r="E552" s="185" t="s">
        <v>637</v>
      </c>
      <c r="F552" s="223">
        <f>Daten_ALLG!$H$218</f>
        <v>125</v>
      </c>
      <c r="G552" s="214">
        <f>Daten_ALLG!$D$218+Daten_ALLG!$F$218*R46</f>
        <v>155</v>
      </c>
      <c r="H552" s="223">
        <v>0</v>
      </c>
      <c r="I552" s="223">
        <f>Daten_ALLG!$D$221+Daten_ALLG!$F$221*Bil_EZFH_mQS!R46</f>
        <v>30</v>
      </c>
      <c r="R552" s="297">
        <f t="shared" ref="R552:S552" si="29">$F$551*F552+$H$551*H552</f>
        <v>66.265060240963862</v>
      </c>
      <c r="S552" s="298">
        <f t="shared" si="29"/>
        <v>96.265060240963862</v>
      </c>
    </row>
    <row r="553" spans="1:19" hidden="1" outlineLevel="2" x14ac:dyDescent="0.25">
      <c r="B553" s="174" t="s">
        <v>639</v>
      </c>
      <c r="E553" s="185" t="s">
        <v>77</v>
      </c>
      <c r="F553" s="214">
        <f>F552*S47</f>
        <v>0</v>
      </c>
      <c r="G553" s="214">
        <f>G552*R47</f>
        <v>0</v>
      </c>
      <c r="H553" s="214">
        <f>H552*S47</f>
        <v>0</v>
      </c>
      <c r="I553" s="214">
        <f>I552*R47</f>
        <v>0</v>
      </c>
      <c r="R553" s="299">
        <f>($F$551*F553+$H$551*H553)*F550</f>
        <v>0</v>
      </c>
      <c r="S553" s="300">
        <f>($F$551*G553+$H$551*I553)*F550</f>
        <v>0</v>
      </c>
    </row>
    <row r="554" spans="1:19" hidden="1" outlineLevel="2" x14ac:dyDescent="0.25">
      <c r="B554" s="174" t="s">
        <v>640</v>
      </c>
      <c r="E554" s="185" t="s">
        <v>77</v>
      </c>
      <c r="F554" s="214">
        <f>F553*Daten_ALLG!$D$246</f>
        <v>0</v>
      </c>
      <c r="G554" s="214">
        <f>G553*Daten_ALLG!$D$246</f>
        <v>0</v>
      </c>
      <c r="H554" s="214">
        <f>H553*Daten_ALLG!$D$246</f>
        <v>0</v>
      </c>
      <c r="I554" s="214">
        <f>I553*Daten_ALLG!$D$246</f>
        <v>0</v>
      </c>
      <c r="R554" s="301">
        <f>($F$551*F554+$H$551*H554)*F550</f>
        <v>0</v>
      </c>
      <c r="S554" s="302">
        <f>($F$551*G554+$H$551*I554)*F550</f>
        <v>0</v>
      </c>
    </row>
    <row r="555" spans="1:19" hidden="1" outlineLevel="2" x14ac:dyDescent="0.25">
      <c r="B555" s="174" t="s">
        <v>641</v>
      </c>
      <c r="E555" s="185" t="s">
        <v>77</v>
      </c>
      <c r="F555" s="214">
        <f>F554*Daten_ALLG!$D$254</f>
        <v>0</v>
      </c>
      <c r="G555" s="214">
        <f>G554*Daten_ALLG!$D$254</f>
        <v>0</v>
      </c>
      <c r="H555" s="214">
        <f>H554*Daten_ALLG!$D$263</f>
        <v>0</v>
      </c>
      <c r="I555" s="214">
        <f>I554*Daten_ALLG!$D$263</f>
        <v>0</v>
      </c>
      <c r="R555" s="301">
        <f>($F$551*F555+$H$551*H555)*F550</f>
        <v>0</v>
      </c>
      <c r="S555" s="302">
        <f>($F$551*G555+$H$551*I555)*F550</f>
        <v>0</v>
      </c>
    </row>
    <row r="556" spans="1:19" s="162" customFormat="1" hidden="1" outlineLevel="2" x14ac:dyDescent="0.25">
      <c r="B556" s="163" t="s">
        <v>645</v>
      </c>
      <c r="O556" s="164"/>
      <c r="P556" s="165"/>
      <c r="R556" s="164"/>
      <c r="S556" s="165"/>
    </row>
    <row r="557" spans="1:19" s="170" customFormat="1" hidden="1" outlineLevel="2" x14ac:dyDescent="0.25">
      <c r="A557" s="166"/>
      <c r="B557" s="167"/>
      <c r="C557" s="166"/>
      <c r="D557" s="166"/>
      <c r="E557" s="166"/>
      <c r="F557" s="166" t="s">
        <v>18</v>
      </c>
      <c r="H557" s="166" t="s">
        <v>19</v>
      </c>
      <c r="J557" s="166"/>
      <c r="K557" s="166"/>
      <c r="L557" s="166"/>
      <c r="M557" s="166"/>
      <c r="N557" s="166"/>
      <c r="O557" s="171"/>
      <c r="P557" s="172"/>
      <c r="R557" s="168" t="s">
        <v>644</v>
      </c>
      <c r="S557" s="169" t="s">
        <v>32</v>
      </c>
    </row>
    <row r="558" spans="1:19" hidden="1" outlineLevel="2" x14ac:dyDescent="0.25">
      <c r="B558" s="174" t="s">
        <v>653</v>
      </c>
      <c r="E558" s="185" t="s">
        <v>654</v>
      </c>
      <c r="F558" s="223">
        <f>IF($R$52&gt;0,1,0)</f>
        <v>0</v>
      </c>
      <c r="R558" s="295"/>
      <c r="S558" s="296"/>
    </row>
    <row r="559" spans="1:19" hidden="1" outlineLevel="2" x14ac:dyDescent="0.25">
      <c r="B559" s="174" t="s">
        <v>157</v>
      </c>
      <c r="E559" s="185" t="s">
        <v>13</v>
      </c>
      <c r="F559" s="191">
        <f>Daten_EZFH!$D$61</f>
        <v>0.515625</v>
      </c>
      <c r="H559" s="191">
        <f>Daten_EZFH!$D$60</f>
        <v>0.484375</v>
      </c>
    </row>
    <row r="560" spans="1:19" hidden="1" outlineLevel="2" x14ac:dyDescent="0.25">
      <c r="B560" s="174" t="s">
        <v>638</v>
      </c>
      <c r="E560" s="185" t="s">
        <v>637</v>
      </c>
      <c r="F560" s="223">
        <v>0</v>
      </c>
      <c r="G560" s="214">
        <f>Daten_ALLG!$D$220+Daten_ALLG!$F$220*R52</f>
        <v>45</v>
      </c>
      <c r="H560" s="223">
        <v>0</v>
      </c>
      <c r="I560" s="223">
        <f>Daten_ALLG!$D$217+Daten_ALLG!$F$217*R52</f>
        <v>100</v>
      </c>
      <c r="R560" s="297">
        <f>($F$559*F560+$H$559*H560)*F558</f>
        <v>0</v>
      </c>
      <c r="S560" s="298">
        <f>($F$559*G560+$H$559*I560)*F558</f>
        <v>0</v>
      </c>
    </row>
    <row r="561" spans="1:19" hidden="1" outlineLevel="2" x14ac:dyDescent="0.25">
      <c r="B561" s="174" t="s">
        <v>639</v>
      </c>
      <c r="E561" s="185" t="s">
        <v>77</v>
      </c>
      <c r="F561" s="214">
        <f>F560*S53</f>
        <v>0</v>
      </c>
      <c r="G561" s="214">
        <f>G560*R53</f>
        <v>0</v>
      </c>
      <c r="H561" s="214">
        <f>H560*S53</f>
        <v>0</v>
      </c>
      <c r="I561" s="214">
        <f>I560*R53</f>
        <v>0</v>
      </c>
      <c r="R561" s="299">
        <f>($F$559*F561+$H$559*H561)*F558</f>
        <v>0</v>
      </c>
      <c r="S561" s="300">
        <f>($F$559*G561+$H$559*I561)*F558</f>
        <v>0</v>
      </c>
    </row>
    <row r="562" spans="1:19" hidden="1" outlineLevel="2" x14ac:dyDescent="0.25">
      <c r="B562" s="174" t="s">
        <v>640</v>
      </c>
      <c r="E562" s="185" t="s">
        <v>77</v>
      </c>
      <c r="F562" s="214">
        <f>F561*Daten_ALLG!$D$246</f>
        <v>0</v>
      </c>
      <c r="G562" s="214">
        <f>G561*Daten_ALLG!$D$246</f>
        <v>0</v>
      </c>
      <c r="H562" s="214">
        <f>H561*Daten_ALLG!$D$246</f>
        <v>0</v>
      </c>
      <c r="I562" s="214">
        <f>I561*Daten_ALLG!$D$246</f>
        <v>0</v>
      </c>
      <c r="R562" s="301">
        <f>($F$559*F562+$H$559*H562)*F558</f>
        <v>0</v>
      </c>
      <c r="S562" s="302">
        <f>($F$559*G562+$H$559*I562)*F558</f>
        <v>0</v>
      </c>
    </row>
    <row r="563" spans="1:19" hidden="1" outlineLevel="2" x14ac:dyDescent="0.25">
      <c r="B563" s="174" t="s">
        <v>641</v>
      </c>
      <c r="E563" s="185" t="s">
        <v>77</v>
      </c>
      <c r="F563" s="214">
        <f>F562*Daten_ALLG!$D$260</f>
        <v>0</v>
      </c>
      <c r="G563" s="214">
        <f>G562*Daten_ALLG!$D$260</f>
        <v>0</v>
      </c>
      <c r="H563" s="214">
        <f>H562*Daten_ALLG!$D$263</f>
        <v>0</v>
      </c>
      <c r="I563" s="214">
        <f>I562*Daten_ALLG!$D$263</f>
        <v>0</v>
      </c>
      <c r="R563" s="301">
        <f>($F$559*F563+$H$559*H563)*F558</f>
        <v>0</v>
      </c>
      <c r="S563" s="302">
        <f>($F$559*G563+$H$559*I563)*F558</f>
        <v>0</v>
      </c>
    </row>
    <row r="564" spans="1:19" s="162" customFormat="1" hidden="1" outlineLevel="2" x14ac:dyDescent="0.25">
      <c r="B564" s="163" t="s">
        <v>643</v>
      </c>
      <c r="O564" s="164"/>
      <c r="P564" s="165"/>
      <c r="R564" s="164"/>
      <c r="S564" s="165"/>
    </row>
    <row r="565" spans="1:19" s="170" customFormat="1" hidden="1" outlineLevel="2" x14ac:dyDescent="0.25">
      <c r="A565" s="166"/>
      <c r="B565" s="167"/>
      <c r="C565" s="166"/>
      <c r="D565" s="166"/>
      <c r="E565" s="166"/>
      <c r="F565" s="166"/>
      <c r="G565" s="166"/>
      <c r="H565" s="166"/>
      <c r="J565" s="166"/>
      <c r="K565" s="166"/>
      <c r="L565" s="166"/>
      <c r="M565" s="166"/>
      <c r="N565" s="166"/>
      <c r="O565" s="171"/>
      <c r="P565" s="172"/>
      <c r="R565" s="168" t="s">
        <v>644</v>
      </c>
      <c r="S565" s="169" t="s">
        <v>32</v>
      </c>
    </row>
    <row r="566" spans="1:19" hidden="1" outlineLevel="2" x14ac:dyDescent="0.25">
      <c r="B566" s="174" t="s">
        <v>638</v>
      </c>
      <c r="E566" s="185" t="s">
        <v>637</v>
      </c>
      <c r="R566" s="297">
        <v>0</v>
      </c>
      <c r="S566" s="298">
        <f>Daten_ALLG!$D$235</f>
        <v>75</v>
      </c>
    </row>
    <row r="567" spans="1:19" hidden="1" outlineLevel="2" x14ac:dyDescent="0.25">
      <c r="B567" s="174" t="s">
        <v>639</v>
      </c>
      <c r="E567" s="185" t="s">
        <v>77</v>
      </c>
      <c r="R567" s="299">
        <v>0</v>
      </c>
      <c r="S567" s="300">
        <f>S566*R88</f>
        <v>0</v>
      </c>
    </row>
    <row r="568" spans="1:19" hidden="1" outlineLevel="2" x14ac:dyDescent="0.25">
      <c r="B568" s="174" t="s">
        <v>640</v>
      </c>
      <c r="E568" s="185" t="s">
        <v>77</v>
      </c>
      <c r="R568" s="301">
        <v>0</v>
      </c>
      <c r="S568" s="302">
        <f>S567*Daten_ALLG!$D$246</f>
        <v>0</v>
      </c>
    </row>
    <row r="569" spans="1:19" hidden="1" outlineLevel="2" x14ac:dyDescent="0.25">
      <c r="B569" s="174" t="s">
        <v>641</v>
      </c>
      <c r="E569" s="185" t="s">
        <v>77</v>
      </c>
      <c r="R569" s="301">
        <v>0</v>
      </c>
      <c r="S569" s="302">
        <f>S568*Daten_ALLG!$D$268</f>
        <v>0</v>
      </c>
    </row>
    <row r="570" spans="1:19" s="162" customFormat="1" hidden="1" outlineLevel="2" x14ac:dyDescent="0.25">
      <c r="B570" s="163" t="s">
        <v>9</v>
      </c>
      <c r="O570" s="164"/>
      <c r="P570" s="165"/>
      <c r="R570" s="164"/>
      <c r="S570" s="165"/>
    </row>
    <row r="571" spans="1:19" s="170" customFormat="1" hidden="1" outlineLevel="2" x14ac:dyDescent="0.25">
      <c r="A571" s="166"/>
      <c r="B571" s="167"/>
      <c r="C571" s="166"/>
      <c r="D571" s="166"/>
      <c r="E571" s="166"/>
      <c r="F571" s="166"/>
      <c r="G571" s="166"/>
      <c r="H571" s="166"/>
      <c r="J571" s="166"/>
      <c r="K571" s="166"/>
      <c r="L571" s="166"/>
      <c r="M571" s="166"/>
      <c r="N571" s="166"/>
      <c r="O571" s="171"/>
      <c r="P571" s="172"/>
      <c r="R571" s="168" t="s">
        <v>644</v>
      </c>
      <c r="S571" s="169" t="s">
        <v>32</v>
      </c>
    </row>
    <row r="572" spans="1:19" hidden="1" outlineLevel="2" x14ac:dyDescent="0.25">
      <c r="B572" s="174" t="s">
        <v>638</v>
      </c>
      <c r="E572" s="185" t="s">
        <v>646</v>
      </c>
      <c r="R572" s="297">
        <v>0</v>
      </c>
      <c r="S572" s="298">
        <f>Daten_ALLG!$D$236</f>
        <v>1200</v>
      </c>
    </row>
    <row r="573" spans="1:19" hidden="1" outlineLevel="2" x14ac:dyDescent="0.25">
      <c r="B573" s="174" t="s">
        <v>639</v>
      </c>
      <c r="E573" s="185" t="s">
        <v>77</v>
      </c>
      <c r="R573" s="299">
        <v>0</v>
      </c>
      <c r="S573" s="300">
        <f>S572*R357</f>
        <v>0</v>
      </c>
    </row>
    <row r="574" spans="1:19" hidden="1" outlineLevel="2" x14ac:dyDescent="0.25">
      <c r="B574" s="174" t="s">
        <v>640</v>
      </c>
      <c r="E574" s="185" t="s">
        <v>77</v>
      </c>
      <c r="R574" s="301">
        <v>0</v>
      </c>
      <c r="S574" s="302">
        <f>S573*Daten_ALLG!$D$246</f>
        <v>0</v>
      </c>
    </row>
    <row r="575" spans="1:19" hidden="1" outlineLevel="2" x14ac:dyDescent="0.25">
      <c r="B575" s="174" t="s">
        <v>641</v>
      </c>
      <c r="E575" s="185" t="s">
        <v>77</v>
      </c>
      <c r="R575" s="301">
        <v>0</v>
      </c>
      <c r="S575" s="302">
        <f>S574*Daten_ALLG!$D$265</f>
        <v>0</v>
      </c>
    </row>
    <row r="576" spans="1:19" s="162" customFormat="1" hidden="1" outlineLevel="2" x14ac:dyDescent="0.25">
      <c r="B576" s="163" t="s">
        <v>649</v>
      </c>
      <c r="O576" s="164"/>
      <c r="P576" s="165"/>
      <c r="R576" s="164"/>
      <c r="S576" s="165"/>
    </row>
    <row r="577" spans="1:19" s="170" customFormat="1" hidden="1" outlineLevel="2" x14ac:dyDescent="0.25">
      <c r="A577" s="166"/>
      <c r="B577" s="167"/>
      <c r="C577" s="166"/>
      <c r="D577" s="166"/>
      <c r="E577" s="166"/>
      <c r="F577" s="166"/>
      <c r="G577" s="166"/>
      <c r="H577" s="166"/>
      <c r="J577" s="166"/>
      <c r="K577" s="166"/>
      <c r="L577" s="166"/>
      <c r="M577" s="166"/>
      <c r="N577" s="166"/>
      <c r="O577" s="171"/>
      <c r="P577" s="172"/>
      <c r="R577" s="168" t="s">
        <v>644</v>
      </c>
      <c r="S577" s="169" t="s">
        <v>32</v>
      </c>
    </row>
    <row r="578" spans="1:19" hidden="1" outlineLevel="2" x14ac:dyDescent="0.25">
      <c r="B578" s="174" t="s">
        <v>638</v>
      </c>
      <c r="E578" s="185" t="s">
        <v>637</v>
      </c>
      <c r="R578" s="297">
        <v>0</v>
      </c>
      <c r="S578" s="298">
        <f>Daten_ALLG!$D$237</f>
        <v>900</v>
      </c>
    </row>
    <row r="579" spans="1:19" hidden="1" outlineLevel="2" x14ac:dyDescent="0.25">
      <c r="B579" s="174" t="s">
        <v>639</v>
      </c>
      <c r="E579" s="185" t="s">
        <v>77</v>
      </c>
      <c r="R579" s="299">
        <v>0</v>
      </c>
      <c r="S579" s="300">
        <f>S578*R352</f>
        <v>0</v>
      </c>
    </row>
    <row r="580" spans="1:19" hidden="1" outlineLevel="2" x14ac:dyDescent="0.25">
      <c r="B580" s="174" t="s">
        <v>640</v>
      </c>
      <c r="E580" s="185" t="s">
        <v>77</v>
      </c>
      <c r="R580" s="301">
        <v>0</v>
      </c>
      <c r="S580" s="302">
        <f>S579*Daten_ALLG!$D$246</f>
        <v>0</v>
      </c>
    </row>
    <row r="581" spans="1:19" hidden="1" outlineLevel="2" x14ac:dyDescent="0.25">
      <c r="B581" s="174" t="s">
        <v>641</v>
      </c>
      <c r="E581" s="185" t="s">
        <v>77</v>
      </c>
      <c r="R581" s="301">
        <v>0</v>
      </c>
      <c r="S581" s="302">
        <f>S580*Daten_ALLG!$D$266</f>
        <v>0</v>
      </c>
    </row>
    <row r="582" spans="1:19" s="162" customFormat="1" hidden="1" outlineLevel="2" x14ac:dyDescent="0.25">
      <c r="B582" s="163" t="s">
        <v>647</v>
      </c>
      <c r="O582" s="164"/>
      <c r="P582" s="165"/>
      <c r="R582" s="164"/>
      <c r="S582" s="165"/>
    </row>
    <row r="583" spans="1:19" s="170" customFormat="1" hidden="1" outlineLevel="2" x14ac:dyDescent="0.25">
      <c r="A583" s="166"/>
      <c r="B583" s="167"/>
      <c r="C583" s="166"/>
      <c r="D583" s="166"/>
      <c r="E583" s="166"/>
      <c r="F583" s="166"/>
      <c r="G583" s="166"/>
      <c r="H583" s="166"/>
      <c r="J583" s="166"/>
      <c r="K583" s="166"/>
      <c r="L583" s="166"/>
      <c r="M583" s="166"/>
      <c r="N583" s="166"/>
      <c r="O583" s="171"/>
      <c r="P583" s="172"/>
      <c r="R583" s="168" t="s">
        <v>644</v>
      </c>
      <c r="S583" s="169" t="s">
        <v>32</v>
      </c>
    </row>
    <row r="584" spans="1:19" hidden="1" outlineLevel="2" x14ac:dyDescent="0.25">
      <c r="B584" s="174" t="s">
        <v>444</v>
      </c>
      <c r="E584" s="185" t="s">
        <v>427</v>
      </c>
      <c r="R584" s="297">
        <v>0</v>
      </c>
      <c r="S584" s="298">
        <f>R331</f>
        <v>0</v>
      </c>
    </row>
    <row r="585" spans="1:19" hidden="1" outlineLevel="2" x14ac:dyDescent="0.25">
      <c r="B585" s="174" t="s">
        <v>639</v>
      </c>
      <c r="E585" s="185" t="s">
        <v>77</v>
      </c>
      <c r="R585" s="299">
        <v>0</v>
      </c>
      <c r="S585" s="300">
        <f>IF(S584=0,0,S584*Daten_ALLG!$D$239+Daten_ALLG!$F$239)</f>
        <v>0</v>
      </c>
    </row>
    <row r="586" spans="1:19" hidden="1" outlineLevel="2" x14ac:dyDescent="0.25">
      <c r="B586" s="174" t="s">
        <v>640</v>
      </c>
      <c r="E586" s="185" t="s">
        <v>77</v>
      </c>
      <c r="R586" s="301">
        <v>0</v>
      </c>
      <c r="S586" s="302">
        <f>S585*Daten_ALLG!$D$246</f>
        <v>0</v>
      </c>
    </row>
    <row r="587" spans="1:19" hidden="1" outlineLevel="2" x14ac:dyDescent="0.25">
      <c r="B587" s="174" t="s">
        <v>641</v>
      </c>
      <c r="E587" s="185" t="s">
        <v>77</v>
      </c>
      <c r="R587" s="301">
        <v>0</v>
      </c>
      <c r="S587" s="302">
        <f>S586*Daten_ALLG!$D$267</f>
        <v>0</v>
      </c>
    </row>
    <row r="588" spans="1:19" s="162" customFormat="1" hidden="1" outlineLevel="2" x14ac:dyDescent="0.25">
      <c r="B588" s="163" t="s">
        <v>648</v>
      </c>
      <c r="O588" s="164"/>
      <c r="P588" s="165"/>
      <c r="R588" s="164"/>
      <c r="S588" s="165"/>
    </row>
    <row r="589" spans="1:19" s="170" customFormat="1" hidden="1" outlineLevel="2" x14ac:dyDescent="0.25">
      <c r="A589" s="166"/>
      <c r="B589" s="167"/>
      <c r="C589" s="166"/>
      <c r="D589" s="166"/>
      <c r="E589" s="166"/>
      <c r="F589" s="166"/>
      <c r="G589" s="166"/>
      <c r="H589" s="166"/>
      <c r="J589" s="166"/>
      <c r="K589" s="166"/>
      <c r="L589" s="166"/>
      <c r="M589" s="166"/>
      <c r="N589" s="166"/>
      <c r="O589" s="171"/>
      <c r="P589" s="172"/>
      <c r="R589" s="168" t="s">
        <v>644</v>
      </c>
      <c r="S589" s="169" t="s">
        <v>32</v>
      </c>
    </row>
    <row r="590" spans="1:19" hidden="1" outlineLevel="2" x14ac:dyDescent="0.25">
      <c r="B590" s="174" t="s">
        <v>444</v>
      </c>
      <c r="E590" s="185" t="s">
        <v>427</v>
      </c>
      <c r="R590" s="297">
        <f>S339</f>
        <v>0</v>
      </c>
      <c r="S590" s="298">
        <f>R339</f>
        <v>0</v>
      </c>
    </row>
    <row r="591" spans="1:19" hidden="1" outlineLevel="2" x14ac:dyDescent="0.25">
      <c r="B591" s="174" t="s">
        <v>639</v>
      </c>
      <c r="E591" s="185" t="s">
        <v>77</v>
      </c>
      <c r="R591" s="299">
        <f>IF(R590=0,0,R590*Daten_ALLG!$D$239+Daten_ALLG!$F$239)</f>
        <v>0</v>
      </c>
      <c r="S591" s="300">
        <f>IF(S590=0,0,S590*Daten_ALLG!$D$239+Daten_ALLG!$F$239)</f>
        <v>0</v>
      </c>
    </row>
    <row r="592" spans="1:19" hidden="1" outlineLevel="2" x14ac:dyDescent="0.25">
      <c r="B592" s="174" t="s">
        <v>640</v>
      </c>
      <c r="E592" s="185" t="s">
        <v>77</v>
      </c>
      <c r="R592" s="301">
        <f>R591*Daten_ALLG!$D$246</f>
        <v>0</v>
      </c>
      <c r="S592" s="302">
        <f>S591*Daten_ALLG!$D$246</f>
        <v>0</v>
      </c>
    </row>
    <row r="593" spans="1:19" hidden="1" outlineLevel="2" x14ac:dyDescent="0.25">
      <c r="B593" s="174" t="s">
        <v>641</v>
      </c>
      <c r="E593" s="185" t="s">
        <v>77</v>
      </c>
      <c r="R593" s="301">
        <f>R592*Daten_ALLG!$D$267</f>
        <v>0</v>
      </c>
      <c r="S593" s="302">
        <f>S592*Daten_ALLG!$D$267</f>
        <v>0</v>
      </c>
    </row>
    <row r="594" spans="1:19" s="162" customFormat="1" hidden="1" outlineLevel="2" x14ac:dyDescent="0.25">
      <c r="B594" s="163" t="s">
        <v>650</v>
      </c>
      <c r="O594" s="164"/>
      <c r="P594" s="165"/>
      <c r="R594" s="164"/>
      <c r="S594" s="165"/>
    </row>
    <row r="595" spans="1:19" s="170" customFormat="1" hidden="1" outlineLevel="2" x14ac:dyDescent="0.25">
      <c r="A595" s="166"/>
      <c r="B595" s="167"/>
      <c r="C595" s="166"/>
      <c r="D595" s="166"/>
      <c r="E595" s="166"/>
      <c r="F595" s="166"/>
      <c r="G595" s="166"/>
      <c r="H595" s="166"/>
      <c r="J595" s="166"/>
      <c r="K595" s="166"/>
      <c r="L595" s="166"/>
      <c r="M595" s="166"/>
      <c r="N595" s="166"/>
      <c r="O595" s="171"/>
      <c r="P595" s="172"/>
      <c r="R595" s="168" t="s">
        <v>644</v>
      </c>
      <c r="S595" s="169" t="s">
        <v>32</v>
      </c>
    </row>
    <row r="596" spans="1:19" hidden="1" outlineLevel="2" x14ac:dyDescent="0.25">
      <c r="B596" s="174" t="s">
        <v>651</v>
      </c>
      <c r="E596" s="185" t="s">
        <v>48</v>
      </c>
      <c r="R596" s="297">
        <v>0</v>
      </c>
      <c r="S596" s="298">
        <f>R306</f>
        <v>0</v>
      </c>
    </row>
    <row r="597" spans="1:19" hidden="1" outlineLevel="2" x14ac:dyDescent="0.25">
      <c r="B597" s="174" t="s">
        <v>639</v>
      </c>
      <c r="E597" s="185" t="s">
        <v>77</v>
      </c>
      <c r="R597" s="299">
        <v>0</v>
      </c>
      <c r="S597" s="300">
        <f>S596*Daten_ALLG!$D$238</f>
        <v>0</v>
      </c>
    </row>
    <row r="598" spans="1:19" hidden="1" outlineLevel="2" x14ac:dyDescent="0.25">
      <c r="B598" s="174" t="s">
        <v>640</v>
      </c>
      <c r="E598" s="185" t="s">
        <v>77</v>
      </c>
      <c r="R598" s="301">
        <f>R597*Daten_ALLG!$D$246</f>
        <v>0</v>
      </c>
      <c r="S598" s="302">
        <f>S597*Daten_ALLG!$D$246</f>
        <v>0</v>
      </c>
    </row>
    <row r="599" spans="1:19" hidden="1" outlineLevel="2" x14ac:dyDescent="0.25">
      <c r="B599" s="174" t="s">
        <v>641</v>
      </c>
      <c r="E599" s="185" t="s">
        <v>77</v>
      </c>
      <c r="R599" s="301">
        <f>R598*Daten_ALLG!$D$267</f>
        <v>0</v>
      </c>
      <c r="S599" s="302">
        <f>S598*Daten_ALLG!$D$255</f>
        <v>0</v>
      </c>
    </row>
    <row r="600" spans="1:19" s="162" customFormat="1" hidden="1" outlineLevel="2" x14ac:dyDescent="0.25">
      <c r="B600" s="163" t="s">
        <v>652</v>
      </c>
      <c r="O600" s="164"/>
      <c r="P600" s="165"/>
      <c r="R600" s="164"/>
      <c r="S600" s="165"/>
    </row>
    <row r="601" spans="1:19" s="170" customFormat="1" hidden="1" outlineLevel="2" x14ac:dyDescent="0.25">
      <c r="A601" s="166"/>
      <c r="B601" s="167"/>
      <c r="C601" s="166"/>
      <c r="D601" s="166"/>
      <c r="E601" s="166"/>
      <c r="F601" s="166"/>
      <c r="G601" s="166"/>
      <c r="H601" s="166"/>
      <c r="J601" s="166"/>
      <c r="K601" s="166"/>
      <c r="L601" s="166"/>
      <c r="M601" s="166"/>
      <c r="N601" s="166"/>
      <c r="O601" s="171"/>
      <c r="P601" s="172"/>
      <c r="R601" s="168" t="s">
        <v>644</v>
      </c>
      <c r="S601" s="169" t="s">
        <v>32</v>
      </c>
    </row>
    <row r="602" spans="1:19" hidden="1" outlineLevel="2" x14ac:dyDescent="0.25">
      <c r="B602" s="174" t="s">
        <v>653</v>
      </c>
      <c r="E602" s="185" t="s">
        <v>654</v>
      </c>
      <c r="F602" s="223">
        <f>IF($L$276="N",1,0)</f>
        <v>0</v>
      </c>
      <c r="R602" s="295"/>
      <c r="S602" s="296"/>
    </row>
    <row r="603" spans="1:19" hidden="1" outlineLevel="2" x14ac:dyDescent="0.25">
      <c r="B603" s="174" t="s">
        <v>51</v>
      </c>
      <c r="E603" s="185" t="s">
        <v>368</v>
      </c>
      <c r="R603" s="297">
        <f>$S$282</f>
        <v>10</v>
      </c>
      <c r="S603" s="303">
        <f>$R$282</f>
        <v>9.729261372231468</v>
      </c>
    </row>
    <row r="604" spans="1:19" hidden="1" outlineLevel="2" x14ac:dyDescent="0.25">
      <c r="B604" s="174" t="s">
        <v>639</v>
      </c>
      <c r="E604" s="185" t="s">
        <v>77</v>
      </c>
      <c r="R604" s="299">
        <f>Daten_ALLG!$H$224*R603^Daten_ALLG!$J$224*F602</f>
        <v>0</v>
      </c>
      <c r="S604" s="300">
        <f>Daten_ALLG!$D$224*S603^Daten_ALLG!$F$224*F602</f>
        <v>0</v>
      </c>
    </row>
    <row r="605" spans="1:19" hidden="1" outlineLevel="2" x14ac:dyDescent="0.25">
      <c r="B605" s="174" t="s">
        <v>640</v>
      </c>
      <c r="E605" s="185" t="s">
        <v>77</v>
      </c>
      <c r="R605" s="301">
        <f>R604*Daten_ALLG!$D$246</f>
        <v>0</v>
      </c>
      <c r="S605" s="302">
        <f>S604*Daten_ALLG!$D$246</f>
        <v>0</v>
      </c>
    </row>
    <row r="606" spans="1:19" hidden="1" outlineLevel="2" x14ac:dyDescent="0.25">
      <c r="B606" s="174" t="s">
        <v>641</v>
      </c>
      <c r="E606" s="185" t="s">
        <v>77</v>
      </c>
      <c r="R606" s="301">
        <f>R605*Daten_ALLG!$D$258</f>
        <v>0</v>
      </c>
      <c r="S606" s="302">
        <f>S605*Daten_ALLG!$D$251</f>
        <v>0</v>
      </c>
    </row>
    <row r="607" spans="1:19" s="162" customFormat="1" hidden="1" outlineLevel="2" x14ac:dyDescent="0.25">
      <c r="B607" s="163" t="s">
        <v>655</v>
      </c>
      <c r="O607" s="164"/>
      <c r="P607" s="165"/>
      <c r="R607" s="164"/>
      <c r="S607" s="165"/>
    </row>
    <row r="608" spans="1:19" s="170" customFormat="1" hidden="1" outlineLevel="2" x14ac:dyDescent="0.25">
      <c r="A608" s="166"/>
      <c r="B608" s="167"/>
      <c r="C608" s="166"/>
      <c r="D608" s="166"/>
      <c r="E608" s="166"/>
      <c r="F608" s="166"/>
      <c r="G608" s="166"/>
      <c r="H608" s="166"/>
      <c r="J608" s="166"/>
      <c r="K608" s="166"/>
      <c r="L608" s="166"/>
      <c r="M608" s="166"/>
      <c r="N608" s="166"/>
      <c r="O608" s="171"/>
      <c r="P608" s="172"/>
      <c r="R608" s="168" t="s">
        <v>644</v>
      </c>
      <c r="S608" s="169" t="s">
        <v>32</v>
      </c>
    </row>
    <row r="609" spans="1:19" hidden="1" outlineLevel="2" x14ac:dyDescent="0.25">
      <c r="B609" s="174" t="s">
        <v>653</v>
      </c>
      <c r="E609" s="185" t="s">
        <v>654</v>
      </c>
      <c r="F609" s="223">
        <f>IF($M$276="N",1,0)</f>
        <v>0</v>
      </c>
      <c r="R609" s="295"/>
      <c r="S609" s="296"/>
    </row>
    <row r="610" spans="1:19" hidden="1" outlineLevel="2" x14ac:dyDescent="0.25">
      <c r="B610" s="174" t="s">
        <v>51</v>
      </c>
      <c r="E610" s="185" t="s">
        <v>368</v>
      </c>
      <c r="R610" s="297">
        <f>$S$282</f>
        <v>10</v>
      </c>
      <c r="S610" s="303">
        <f>$R$282</f>
        <v>9.729261372231468</v>
      </c>
    </row>
    <row r="611" spans="1:19" hidden="1" outlineLevel="2" x14ac:dyDescent="0.25">
      <c r="B611" s="174" t="s">
        <v>639</v>
      </c>
      <c r="E611" s="185" t="s">
        <v>77</v>
      </c>
      <c r="R611" s="299">
        <f>Daten_ALLG!$H$225*R610^Daten_ALLG!$J$225*F609</f>
        <v>0</v>
      </c>
      <c r="S611" s="300">
        <f>Daten_ALLG!$D$225*S610^Daten_ALLG!$F$225*F609</f>
        <v>0</v>
      </c>
    </row>
    <row r="612" spans="1:19" hidden="1" outlineLevel="2" x14ac:dyDescent="0.25">
      <c r="B612" s="174" t="s">
        <v>640</v>
      </c>
      <c r="E612" s="185" t="s">
        <v>77</v>
      </c>
      <c r="R612" s="301">
        <f>R611*Daten_ALLG!$D$246</f>
        <v>0</v>
      </c>
      <c r="S612" s="302">
        <f>S611*Daten_ALLG!$D$246</f>
        <v>0</v>
      </c>
    </row>
    <row r="613" spans="1:19" hidden="1" outlineLevel="2" x14ac:dyDescent="0.25">
      <c r="B613" s="174" t="s">
        <v>641</v>
      </c>
      <c r="E613" s="185" t="s">
        <v>77</v>
      </c>
      <c r="R613" s="301">
        <f>R612*Daten_ALLG!$D$258</f>
        <v>0</v>
      </c>
      <c r="S613" s="302">
        <f>S612*Daten_ALLG!$D$256</f>
        <v>0</v>
      </c>
    </row>
    <row r="614" spans="1:19" s="162" customFormat="1" hidden="1" outlineLevel="2" x14ac:dyDescent="0.25">
      <c r="B614" s="163" t="s">
        <v>656</v>
      </c>
      <c r="O614" s="164"/>
      <c r="P614" s="165"/>
      <c r="R614" s="164"/>
      <c r="S614" s="165"/>
    </row>
    <row r="615" spans="1:19" s="170" customFormat="1" hidden="1" outlineLevel="2" x14ac:dyDescent="0.25">
      <c r="A615" s="166"/>
      <c r="B615" s="167"/>
      <c r="C615" s="166"/>
      <c r="D615" s="166"/>
      <c r="E615" s="166"/>
      <c r="F615" s="166"/>
      <c r="G615" s="166"/>
      <c r="H615" s="166"/>
      <c r="J615" s="166"/>
      <c r="K615" s="166"/>
      <c r="L615" s="166"/>
      <c r="M615" s="166"/>
      <c r="N615" s="166"/>
      <c r="O615" s="171"/>
      <c r="P615" s="172"/>
      <c r="R615" s="168" t="s">
        <v>644</v>
      </c>
      <c r="S615" s="169" t="s">
        <v>32</v>
      </c>
    </row>
    <row r="616" spans="1:19" hidden="1" outlineLevel="2" x14ac:dyDescent="0.25">
      <c r="B616" s="174" t="s">
        <v>653</v>
      </c>
      <c r="E616" s="185" t="s">
        <v>654</v>
      </c>
      <c r="F616" s="223">
        <f>IF($J$276="N",1,0)</f>
        <v>0</v>
      </c>
      <c r="R616" s="295"/>
      <c r="S616" s="296"/>
    </row>
    <row r="617" spans="1:19" hidden="1" outlineLevel="2" x14ac:dyDescent="0.25">
      <c r="B617" s="174" t="s">
        <v>51</v>
      </c>
      <c r="E617" s="185" t="s">
        <v>368</v>
      </c>
      <c r="R617" s="297">
        <f>$S$282</f>
        <v>10</v>
      </c>
      <c r="S617" s="303">
        <f>$R$282</f>
        <v>9.729261372231468</v>
      </c>
    </row>
    <row r="618" spans="1:19" hidden="1" outlineLevel="2" x14ac:dyDescent="0.25">
      <c r="B618" s="174" t="s">
        <v>639</v>
      </c>
      <c r="E618" s="185" t="s">
        <v>77</v>
      </c>
      <c r="R618" s="299">
        <f>Daten_ALLG!$H$229*R617^Daten_ALLG!$J$229*F616</f>
        <v>0</v>
      </c>
      <c r="S618" s="300">
        <f>Daten_ALLG!$D$229*S617^Daten_ALLG!$F$229*F616</f>
        <v>0</v>
      </c>
    </row>
    <row r="619" spans="1:19" hidden="1" outlineLevel="2" x14ac:dyDescent="0.25">
      <c r="B619" s="174" t="s">
        <v>640</v>
      </c>
      <c r="E619" s="185" t="s">
        <v>77</v>
      </c>
      <c r="R619" s="301">
        <f>R618*Daten_ALLG!$D$246</f>
        <v>0</v>
      </c>
      <c r="S619" s="302">
        <f>S618*Daten_ALLG!$D$246</f>
        <v>0</v>
      </c>
    </row>
    <row r="620" spans="1:19" hidden="1" outlineLevel="2" x14ac:dyDescent="0.25">
      <c r="B620" s="174" t="s">
        <v>641</v>
      </c>
      <c r="E620" s="185" t="s">
        <v>77</v>
      </c>
      <c r="R620" s="301">
        <f>R619*Daten_ALLG!$D$258</f>
        <v>0</v>
      </c>
      <c r="S620" s="302">
        <f>S619*Daten_ALLG!$D$262</f>
        <v>0</v>
      </c>
    </row>
    <row r="621" spans="1:19" s="162" customFormat="1" hidden="1" outlineLevel="2" x14ac:dyDescent="0.25">
      <c r="B621" s="163" t="s">
        <v>21</v>
      </c>
      <c r="O621" s="164"/>
      <c r="P621" s="165"/>
      <c r="R621" s="164"/>
      <c r="S621" s="165"/>
    </row>
    <row r="622" spans="1:19" s="170" customFormat="1" hidden="1" outlineLevel="2" x14ac:dyDescent="0.25">
      <c r="A622" s="166"/>
      <c r="B622" s="167"/>
      <c r="C622" s="166"/>
      <c r="D622" s="166"/>
      <c r="E622" s="166"/>
      <c r="F622" s="166"/>
      <c r="G622" s="166"/>
      <c r="H622" s="166"/>
      <c r="J622" s="166"/>
      <c r="K622" s="166"/>
      <c r="L622" s="166"/>
      <c r="M622" s="166"/>
      <c r="N622" s="166"/>
      <c r="O622" s="171"/>
      <c r="P622" s="172"/>
      <c r="R622" s="168" t="s">
        <v>644</v>
      </c>
      <c r="S622" s="169" t="s">
        <v>32</v>
      </c>
    </row>
    <row r="623" spans="1:19" hidden="1" outlineLevel="2" x14ac:dyDescent="0.25">
      <c r="B623" s="174" t="s">
        <v>653</v>
      </c>
      <c r="E623" s="185" t="s">
        <v>654</v>
      </c>
      <c r="F623" s="223">
        <f>IF($E$276="N",1,0)</f>
        <v>0</v>
      </c>
      <c r="R623" s="295"/>
      <c r="S623" s="296"/>
    </row>
    <row r="624" spans="1:19" hidden="1" outlineLevel="2" x14ac:dyDescent="0.25">
      <c r="B624" s="174" t="s">
        <v>51</v>
      </c>
      <c r="E624" s="185" t="s">
        <v>368</v>
      </c>
      <c r="R624" s="297">
        <f>$S$282</f>
        <v>10</v>
      </c>
      <c r="S624" s="303">
        <f>$R$282</f>
        <v>9.729261372231468</v>
      </c>
    </row>
    <row r="625" spans="1:19" hidden="1" outlineLevel="2" x14ac:dyDescent="0.25">
      <c r="B625" s="174" t="s">
        <v>639</v>
      </c>
      <c r="E625" s="185" t="s">
        <v>77</v>
      </c>
      <c r="R625" s="299">
        <f>Daten_ALLG!$H$227*R624^Daten_ALLG!$J$227*F623</f>
        <v>0</v>
      </c>
      <c r="S625" s="300">
        <f>Daten_ALLG!$D$227*S624^Daten_ALLG!$F$227*F623</f>
        <v>0</v>
      </c>
    </row>
    <row r="626" spans="1:19" hidden="1" outlineLevel="2" x14ac:dyDescent="0.25">
      <c r="B626" s="174" t="s">
        <v>640</v>
      </c>
      <c r="E626" s="185" t="s">
        <v>77</v>
      </c>
      <c r="R626" s="301">
        <f>R625*Daten_ALLG!$D$246</f>
        <v>0</v>
      </c>
      <c r="S626" s="302">
        <f>S625*Daten_ALLG!$D$246</f>
        <v>0</v>
      </c>
    </row>
    <row r="627" spans="1:19" hidden="1" outlineLevel="2" x14ac:dyDescent="0.25">
      <c r="B627" s="174" t="s">
        <v>641</v>
      </c>
      <c r="E627" s="185" t="s">
        <v>77</v>
      </c>
      <c r="R627" s="301">
        <f>R626*Daten_ALLG!$D$258</f>
        <v>0</v>
      </c>
      <c r="S627" s="302">
        <f>S626*Daten_ALLG!$D$259</f>
        <v>0</v>
      </c>
    </row>
    <row r="628" spans="1:19" s="162" customFormat="1" hidden="1" outlineLevel="2" x14ac:dyDescent="0.25">
      <c r="B628" s="163" t="s">
        <v>657</v>
      </c>
      <c r="O628" s="164"/>
      <c r="P628" s="165"/>
      <c r="R628" s="164"/>
      <c r="S628" s="165"/>
    </row>
    <row r="629" spans="1:19" s="170" customFormat="1" hidden="1" outlineLevel="2" x14ac:dyDescent="0.25">
      <c r="A629" s="166"/>
      <c r="B629" s="167"/>
      <c r="C629" s="166"/>
      <c r="D629" s="166"/>
      <c r="E629" s="166"/>
      <c r="F629" s="166"/>
      <c r="G629" s="166"/>
      <c r="H629" s="166"/>
      <c r="J629" s="166"/>
      <c r="K629" s="166"/>
      <c r="L629" s="166"/>
      <c r="M629" s="166"/>
      <c r="N629" s="166"/>
      <c r="O629" s="171"/>
      <c r="P629" s="172"/>
      <c r="R629" s="168" t="s">
        <v>644</v>
      </c>
      <c r="S629" s="169" t="s">
        <v>32</v>
      </c>
    </row>
    <row r="630" spans="1:19" hidden="1" outlineLevel="2" x14ac:dyDescent="0.25">
      <c r="B630" s="174" t="s">
        <v>653</v>
      </c>
      <c r="E630" s="185" t="s">
        <v>654</v>
      </c>
      <c r="F630" s="223">
        <f>IF($H$276="N",1,0)</f>
        <v>0</v>
      </c>
      <c r="R630" s="295"/>
      <c r="S630" s="296"/>
    </row>
    <row r="631" spans="1:19" hidden="1" outlineLevel="2" x14ac:dyDescent="0.25">
      <c r="B631" s="174" t="s">
        <v>51</v>
      </c>
      <c r="E631" s="185" t="s">
        <v>368</v>
      </c>
      <c r="R631" s="297">
        <f>$S$282</f>
        <v>10</v>
      </c>
      <c r="S631" s="303">
        <f>$R$282</f>
        <v>9.729261372231468</v>
      </c>
    </row>
    <row r="632" spans="1:19" hidden="1" outlineLevel="2" x14ac:dyDescent="0.25">
      <c r="B632" s="174" t="s">
        <v>639</v>
      </c>
      <c r="E632" s="185" t="s">
        <v>77</v>
      </c>
      <c r="R632" s="299">
        <f>Daten_ALLG!$H$226*R631^Daten_ALLG!$J$226*F630</f>
        <v>0</v>
      </c>
      <c r="S632" s="300">
        <f>Daten_ALLG!$D$226*S631^Daten_ALLG!$F$226*F630</f>
        <v>0</v>
      </c>
    </row>
    <row r="633" spans="1:19" hidden="1" outlineLevel="2" x14ac:dyDescent="0.25">
      <c r="B633" s="174" t="s">
        <v>640</v>
      </c>
      <c r="E633" s="185" t="s">
        <v>77</v>
      </c>
      <c r="R633" s="301">
        <f>R632*Daten_ALLG!$D$246</f>
        <v>0</v>
      </c>
      <c r="S633" s="302">
        <f>S632*Daten_ALLG!$D$246</f>
        <v>0</v>
      </c>
    </row>
    <row r="634" spans="1:19" hidden="1" outlineLevel="2" x14ac:dyDescent="0.25">
      <c r="B634" s="174" t="s">
        <v>641</v>
      </c>
      <c r="E634" s="185" t="s">
        <v>77</v>
      </c>
      <c r="R634" s="301">
        <f>R633*Daten_ALLG!$D$258</f>
        <v>0</v>
      </c>
      <c r="S634" s="302">
        <f>S633*Daten_ALLG!$D$258</f>
        <v>0</v>
      </c>
    </row>
    <row r="635" spans="1:19" s="162" customFormat="1" hidden="1" outlineLevel="2" x14ac:dyDescent="0.25">
      <c r="B635" s="163" t="s">
        <v>658</v>
      </c>
      <c r="O635" s="164"/>
      <c r="P635" s="165"/>
      <c r="R635" s="164"/>
      <c r="S635" s="165"/>
    </row>
    <row r="636" spans="1:19" s="170" customFormat="1" hidden="1" outlineLevel="2" x14ac:dyDescent="0.25">
      <c r="A636" s="166"/>
      <c r="B636" s="167"/>
      <c r="C636" s="166"/>
      <c r="D636" s="166"/>
      <c r="E636" s="166"/>
      <c r="F636" s="166"/>
      <c r="G636" s="166"/>
      <c r="H636" s="166"/>
      <c r="J636" s="166"/>
      <c r="K636" s="166"/>
      <c r="L636" s="166"/>
      <c r="M636" s="166"/>
      <c r="N636" s="166"/>
      <c r="O636" s="171"/>
      <c r="P636" s="172"/>
      <c r="R636" s="168" t="s">
        <v>644</v>
      </c>
      <c r="S636" s="169" t="s">
        <v>32</v>
      </c>
    </row>
    <row r="637" spans="1:19" hidden="1" outlineLevel="2" x14ac:dyDescent="0.25">
      <c r="B637" s="174" t="s">
        <v>653</v>
      </c>
      <c r="E637" s="185" t="s">
        <v>654</v>
      </c>
      <c r="F637" s="223">
        <f>IF($I$276="N",1,0)</f>
        <v>0</v>
      </c>
      <c r="R637" s="295"/>
      <c r="S637" s="296"/>
    </row>
    <row r="638" spans="1:19" hidden="1" outlineLevel="2" x14ac:dyDescent="0.25">
      <c r="B638" s="174" t="s">
        <v>51</v>
      </c>
      <c r="E638" s="185" t="s">
        <v>368</v>
      </c>
      <c r="R638" s="297">
        <f>$S$282</f>
        <v>10</v>
      </c>
      <c r="S638" s="303">
        <f>$R$282</f>
        <v>9.729261372231468</v>
      </c>
    </row>
    <row r="639" spans="1:19" hidden="1" outlineLevel="2" x14ac:dyDescent="0.25">
      <c r="B639" s="174" t="s">
        <v>639</v>
      </c>
      <c r="E639" s="185" t="s">
        <v>77</v>
      </c>
      <c r="R639" s="299">
        <f>Daten_ALLG!$H$228*R638^Daten_ALLG!$J$228*F637</f>
        <v>0</v>
      </c>
      <c r="S639" s="300">
        <f>Daten_ALLG!$D$228*S638^Daten_ALLG!$F$228*F637</f>
        <v>0</v>
      </c>
    </row>
    <row r="640" spans="1:19" hidden="1" outlineLevel="2" x14ac:dyDescent="0.25">
      <c r="B640" s="174" t="s">
        <v>640</v>
      </c>
      <c r="E640" s="185" t="s">
        <v>77</v>
      </c>
      <c r="R640" s="301">
        <f>R639*Daten_ALLG!$D$246</f>
        <v>0</v>
      </c>
      <c r="S640" s="302">
        <f>S639*Daten_ALLG!$D$246</f>
        <v>0</v>
      </c>
    </row>
    <row r="641" spans="1:19" hidden="1" outlineLevel="2" x14ac:dyDescent="0.25">
      <c r="B641" s="174" t="s">
        <v>641</v>
      </c>
      <c r="E641" s="185" t="s">
        <v>77</v>
      </c>
      <c r="R641" s="301">
        <f>R640*Daten_ALLG!$D$258</f>
        <v>0</v>
      </c>
      <c r="S641" s="302">
        <f>S640*Daten_ALLG!$D$264</f>
        <v>0</v>
      </c>
    </row>
    <row r="642" spans="1:19" s="159" customFormat="1" ht="14.25" customHeight="1" collapsed="1" x14ac:dyDescent="0.25">
      <c r="A642" s="156" t="s">
        <v>659</v>
      </c>
      <c r="B642" s="157"/>
      <c r="C642" s="157"/>
      <c r="D642" s="158"/>
      <c r="O642" s="160"/>
      <c r="P642" s="161"/>
      <c r="R642" s="160"/>
      <c r="S642" s="161"/>
    </row>
    <row r="643" spans="1:19" s="162" customFormat="1" hidden="1" outlineLevel="2" x14ac:dyDescent="0.25">
      <c r="B643" s="163" t="s">
        <v>661</v>
      </c>
      <c r="O643" s="164"/>
      <c r="P643" s="165"/>
      <c r="R643" s="164"/>
      <c r="S643" s="165"/>
    </row>
    <row r="644" spans="1:19" s="170" customFormat="1" hidden="1" outlineLevel="2" x14ac:dyDescent="0.25">
      <c r="A644" s="166"/>
      <c r="B644" s="167"/>
      <c r="C644" s="166"/>
      <c r="D644" s="166"/>
      <c r="E644" s="166"/>
      <c r="F644" s="166"/>
      <c r="G644" s="166"/>
      <c r="H644" s="166"/>
      <c r="J644" s="166"/>
      <c r="K644" s="166"/>
      <c r="L644" s="166"/>
      <c r="M644" s="166"/>
      <c r="N644" s="166"/>
      <c r="O644" s="171"/>
      <c r="P644" s="172"/>
      <c r="R644" s="168"/>
      <c r="S644" s="172"/>
    </row>
    <row r="645" spans="1:19" hidden="1" outlineLevel="2" x14ac:dyDescent="0.25">
      <c r="B645" s="174" t="s">
        <v>662</v>
      </c>
      <c r="E645" s="185" t="s">
        <v>38</v>
      </c>
      <c r="F645" s="304">
        <f>Daten_ALLG!$D$272/(1-((1+Daten_ALLG!$D$272)^(-Daten_ALLG!$D$273)))</f>
        <v>4.4649922293402963E-2</v>
      </c>
      <c r="R645" s="305"/>
      <c r="S645" s="306"/>
    </row>
    <row r="646" spans="1:19" s="162" customFormat="1" hidden="1" outlineLevel="2" x14ac:dyDescent="0.25">
      <c r="B646" s="163" t="s">
        <v>666</v>
      </c>
      <c r="O646" s="164"/>
      <c r="P646" s="165"/>
      <c r="R646" s="164"/>
      <c r="S646" s="165"/>
    </row>
    <row r="647" spans="1:19" s="170" customFormat="1" hidden="1" outlineLevel="2" x14ac:dyDescent="0.25">
      <c r="A647" s="166"/>
      <c r="B647" s="167"/>
      <c r="C647" s="166"/>
      <c r="D647" s="166"/>
      <c r="E647" s="166" t="s">
        <v>565</v>
      </c>
      <c r="F647" s="166" t="s">
        <v>665</v>
      </c>
      <c r="H647" s="166"/>
      <c r="J647" s="166"/>
      <c r="K647" s="166"/>
      <c r="L647" s="166"/>
      <c r="M647" s="166"/>
      <c r="N647" s="166"/>
      <c r="O647" s="171"/>
      <c r="P647" s="172"/>
      <c r="R647" s="168" t="s">
        <v>644</v>
      </c>
      <c r="S647" s="172" t="s">
        <v>32</v>
      </c>
    </row>
    <row r="648" spans="1:19" hidden="1" outlineLevel="2" x14ac:dyDescent="0.25">
      <c r="E648" s="185" t="s">
        <v>34</v>
      </c>
      <c r="F648" s="185" t="s">
        <v>13</v>
      </c>
      <c r="R648" s="295" t="s">
        <v>77</v>
      </c>
      <c r="S648" s="307" t="s">
        <v>77</v>
      </c>
    </row>
    <row r="649" spans="1:19" hidden="1" outlineLevel="2" x14ac:dyDescent="0.25">
      <c r="B649" s="174" t="str">
        <f>B534</f>
        <v>Außenwand</v>
      </c>
      <c r="E649" s="223">
        <f>Daten_ALLG!$D$310</f>
        <v>45</v>
      </c>
      <c r="F649" s="191">
        <f>Daten_ALLG!$D$273/E649</f>
        <v>0.66666666666666663</v>
      </c>
      <c r="R649" s="308">
        <f>R540</f>
        <v>0</v>
      </c>
      <c r="S649" s="309">
        <f>S540</f>
        <v>0</v>
      </c>
    </row>
    <row r="650" spans="1:19" hidden="1" outlineLevel="2" x14ac:dyDescent="0.25">
      <c r="B650" s="174" t="str">
        <f>B541</f>
        <v>Fenster</v>
      </c>
      <c r="E650" s="223">
        <f>Daten_ALLG!$D$317</f>
        <v>35</v>
      </c>
      <c r="F650" s="191">
        <f>Daten_ALLG!$D$273/E650</f>
        <v>0.8571428571428571</v>
      </c>
      <c r="R650" s="308">
        <f>R547</f>
        <v>0</v>
      </c>
      <c r="S650" s="309">
        <f>S547</f>
        <v>0</v>
      </c>
    </row>
    <row r="651" spans="1:19" hidden="1" outlineLevel="2" x14ac:dyDescent="0.25">
      <c r="B651" s="174" t="str">
        <f>B548</f>
        <v>oberer Gebäudeabschluss</v>
      </c>
      <c r="E651" s="219">
        <f>F551*Daten_ALLG!$D$314+Daten_ALLG!$D$323*H551</f>
        <v>52.048192771084345</v>
      </c>
      <c r="F651" s="191">
        <f>Daten_ALLG!$D$273/E651</f>
        <v>0.57638888888888884</v>
      </c>
      <c r="R651" s="308">
        <f>R555</f>
        <v>0</v>
      </c>
      <c r="S651" s="309">
        <f>S555</f>
        <v>0</v>
      </c>
    </row>
    <row r="652" spans="1:19" hidden="1" outlineLevel="2" x14ac:dyDescent="0.25">
      <c r="B652" s="174" t="str">
        <f>B556</f>
        <v>unterer Gebäudeabschluss</v>
      </c>
      <c r="E652" s="219">
        <f>Daten_ALLG!$D$313*H559+F559*Daten_ALLG!$D$320</f>
        <v>67.265625</v>
      </c>
      <c r="F652" s="191">
        <f>Daten_ALLG!$D$273/E652</f>
        <v>0.44599303135888502</v>
      </c>
      <c r="R652" s="308">
        <f>R563</f>
        <v>0</v>
      </c>
      <c r="S652" s="309">
        <f>S563</f>
        <v>0</v>
      </c>
    </row>
    <row r="653" spans="1:19" hidden="1" outlineLevel="2" x14ac:dyDescent="0.25">
      <c r="B653" s="174" t="str">
        <f>B564</f>
        <v>Lüftungsanlage</v>
      </c>
      <c r="E653" s="223">
        <f>Daten_ALLG!$D$328</f>
        <v>25</v>
      </c>
      <c r="F653" s="191">
        <f>Daten_ALLG!$D$273/E653</f>
        <v>1.2</v>
      </c>
      <c r="R653" s="308">
        <f>R569</f>
        <v>0</v>
      </c>
      <c r="S653" s="309">
        <f>S569</f>
        <v>0</v>
      </c>
    </row>
    <row r="654" spans="1:19" hidden="1" outlineLevel="2" x14ac:dyDescent="0.25">
      <c r="B654" s="174" t="str">
        <f>B570</f>
        <v>Photovoltaik</v>
      </c>
      <c r="E654" s="223">
        <f>Daten_ALLG!$D$325</f>
        <v>25</v>
      </c>
      <c r="F654" s="191">
        <f>Daten_ALLG!$D$273/E654</f>
        <v>1.2</v>
      </c>
      <c r="R654" s="308">
        <f>R575</f>
        <v>0</v>
      </c>
      <c r="S654" s="309">
        <f>S575</f>
        <v>0</v>
      </c>
    </row>
    <row r="655" spans="1:19" hidden="1" outlineLevel="2" x14ac:dyDescent="0.25">
      <c r="B655" s="174" t="str">
        <f>B576</f>
        <v>Solarthermiekollektoren</v>
      </c>
      <c r="E655" s="223">
        <f>Daten_ALLG!$D$326</f>
        <v>25</v>
      </c>
      <c r="F655" s="191">
        <f>Daten_ALLG!$D$273/E655</f>
        <v>1.2</v>
      </c>
      <c r="R655" s="308">
        <f>R581</f>
        <v>0</v>
      </c>
      <c r="S655" s="309">
        <f>S581</f>
        <v>0</v>
      </c>
    </row>
    <row r="656" spans="1:19" hidden="1" outlineLevel="2" x14ac:dyDescent="0.25">
      <c r="B656" s="174" t="str">
        <f>B582</f>
        <v>Heizungspufferspeicher</v>
      </c>
      <c r="E656" s="223">
        <f>Daten_ALLG!$D$327</f>
        <v>30</v>
      </c>
      <c r="F656" s="191">
        <f>Daten_ALLG!$D$273/E656</f>
        <v>1</v>
      </c>
      <c r="R656" s="308">
        <f>R587</f>
        <v>0</v>
      </c>
      <c r="S656" s="309">
        <f>S587</f>
        <v>0</v>
      </c>
    </row>
    <row r="657" spans="1:19" hidden="1" outlineLevel="2" x14ac:dyDescent="0.25">
      <c r="B657" s="174" t="str">
        <f>B588</f>
        <v>Trinkwasserspeicher</v>
      </c>
      <c r="E657" s="223">
        <f>Daten_ALLG!$D$327</f>
        <v>30</v>
      </c>
      <c r="F657" s="191">
        <f>Daten_ALLG!$D$273/E657</f>
        <v>1</v>
      </c>
      <c r="R657" s="308">
        <f>R593</f>
        <v>0</v>
      </c>
      <c r="S657" s="309">
        <f>S593</f>
        <v>0</v>
      </c>
    </row>
    <row r="658" spans="1:19" hidden="1" outlineLevel="2" x14ac:dyDescent="0.25">
      <c r="B658" s="174" t="str">
        <f>B594</f>
        <v>Durchlauferhitzer</v>
      </c>
      <c r="E658" s="223">
        <f>Daten_ALLG!$D$315</f>
        <v>15</v>
      </c>
      <c r="F658" s="191">
        <f>Daten_ALLG!$D$273/E658</f>
        <v>2</v>
      </c>
      <c r="R658" s="308">
        <f>R599</f>
        <v>0</v>
      </c>
      <c r="S658" s="309">
        <f>S599</f>
        <v>0</v>
      </c>
    </row>
    <row r="659" spans="1:19" hidden="1" outlineLevel="2" x14ac:dyDescent="0.25">
      <c r="B659" s="174" t="str">
        <f>B600</f>
        <v>Außenluftwärmepumpe</v>
      </c>
      <c r="E659" s="223">
        <f>Daten_ALLG!$D$311</f>
        <v>25</v>
      </c>
      <c r="F659" s="191">
        <f>Daten_ALLG!$D$273/E659</f>
        <v>1.2</v>
      </c>
      <c r="R659" s="308">
        <f>R606</f>
        <v>0</v>
      </c>
      <c r="S659" s="309">
        <f>S606</f>
        <v>0</v>
      </c>
    </row>
    <row r="660" spans="1:19" hidden="1" outlineLevel="2" x14ac:dyDescent="0.25">
      <c r="B660" s="174" t="str">
        <f>B607</f>
        <v>Erdreichwärmepumpe</v>
      </c>
      <c r="E660" s="223">
        <f>Daten_ALLG!$D$316</f>
        <v>25</v>
      </c>
      <c r="F660" s="191">
        <f>Daten_ALLG!$D$273/E660</f>
        <v>1.2</v>
      </c>
      <c r="R660" s="308">
        <f>R613</f>
        <v>0</v>
      </c>
      <c r="S660" s="309">
        <f>S613</f>
        <v>0</v>
      </c>
    </row>
    <row r="661" spans="1:19" hidden="1" outlineLevel="2" x14ac:dyDescent="0.25">
      <c r="B661" s="174" t="str">
        <f>B614</f>
        <v>Fernwärmeanschluss</v>
      </c>
      <c r="E661" s="223">
        <f>Daten_ALLG!$D$322</f>
        <v>40</v>
      </c>
      <c r="F661" s="191">
        <f>Daten_ALLG!$D$273/E661</f>
        <v>0.75</v>
      </c>
      <c r="R661" s="308">
        <f>R620</f>
        <v>0</v>
      </c>
      <c r="S661" s="309">
        <f>S620</f>
        <v>0</v>
      </c>
    </row>
    <row r="662" spans="1:19" hidden="1" outlineLevel="2" x14ac:dyDescent="0.25">
      <c r="B662" s="174" t="str">
        <f>B621</f>
        <v>Holzkessel</v>
      </c>
      <c r="E662" s="223">
        <f>Daten_ALLG!$D$319</f>
        <v>25</v>
      </c>
      <c r="F662" s="191">
        <f>Daten_ALLG!$D$273/E662</f>
        <v>1.2</v>
      </c>
      <c r="R662" s="308">
        <f>R627</f>
        <v>0</v>
      </c>
      <c r="S662" s="309">
        <f>S627</f>
        <v>0</v>
      </c>
    </row>
    <row r="663" spans="1:19" hidden="1" outlineLevel="2" x14ac:dyDescent="0.25">
      <c r="B663" s="174" t="str">
        <f>B628</f>
        <v>Gasbrennwert</v>
      </c>
      <c r="E663" s="223">
        <f>Daten_ALLG!$D$318</f>
        <v>25</v>
      </c>
      <c r="F663" s="191">
        <f>Daten_ALLG!$D$273/E663</f>
        <v>1.2</v>
      </c>
      <c r="R663" s="308">
        <f>R634</f>
        <v>0</v>
      </c>
      <c r="S663" s="309">
        <f>S634</f>
        <v>0</v>
      </c>
    </row>
    <row r="664" spans="1:19" hidden="1" outlineLevel="2" x14ac:dyDescent="0.25">
      <c r="B664" s="174" t="str">
        <f>B635</f>
        <v>Ölbrennwert</v>
      </c>
      <c r="E664" s="223">
        <f>Daten_ALLG!$D$324</f>
        <v>25</v>
      </c>
      <c r="F664" s="191">
        <f>Daten_ALLG!$D$273/E664</f>
        <v>1.2</v>
      </c>
      <c r="R664" s="308">
        <f>R641</f>
        <v>0</v>
      </c>
      <c r="S664" s="309">
        <f>S641</f>
        <v>0</v>
      </c>
    </row>
    <row r="665" spans="1:19" hidden="1" outlineLevel="2" x14ac:dyDescent="0.25">
      <c r="B665" s="174" t="s">
        <v>44</v>
      </c>
      <c r="E665" s="185"/>
      <c r="F665" s="310"/>
      <c r="R665" s="301">
        <f>SUM(R649:R664)</f>
        <v>0</v>
      </c>
      <c r="S665" s="302">
        <f>SUM(S649:S664)</f>
        <v>0</v>
      </c>
    </row>
    <row r="666" spans="1:19" s="162" customFormat="1" hidden="1" outlineLevel="2" x14ac:dyDescent="0.25">
      <c r="B666" s="163" t="s">
        <v>660</v>
      </c>
      <c r="O666" s="164"/>
      <c r="P666" s="165"/>
      <c r="R666" s="164"/>
      <c r="S666" s="165"/>
    </row>
    <row r="667" spans="1:19" s="170" customFormat="1" hidden="1" outlineLevel="2" x14ac:dyDescent="0.25">
      <c r="A667" s="166"/>
      <c r="B667" s="167"/>
      <c r="C667" s="166"/>
      <c r="D667" s="166"/>
      <c r="E667" s="166" t="s">
        <v>742</v>
      </c>
      <c r="F667" s="166" t="s">
        <v>742</v>
      </c>
      <c r="G667" s="166"/>
      <c r="H667" s="166"/>
      <c r="J667" s="166"/>
      <c r="K667" s="166"/>
      <c r="L667" s="166"/>
      <c r="M667" s="166"/>
      <c r="N667" s="166"/>
      <c r="O667" s="171"/>
      <c r="P667" s="172"/>
      <c r="R667" s="168" t="s">
        <v>644</v>
      </c>
      <c r="S667" s="172" t="s">
        <v>32</v>
      </c>
    </row>
    <row r="668" spans="1:19" hidden="1" outlineLevel="2" x14ac:dyDescent="0.25">
      <c r="E668" s="185" t="s">
        <v>77</v>
      </c>
      <c r="F668" s="185" t="s">
        <v>77</v>
      </c>
      <c r="R668" s="295" t="s">
        <v>669</v>
      </c>
      <c r="S668" s="307" t="s">
        <v>669</v>
      </c>
    </row>
    <row r="669" spans="1:19" hidden="1" outlineLevel="2" x14ac:dyDescent="0.25">
      <c r="B669" s="174" t="str">
        <f t="shared" ref="B669:B684" si="30">B649</f>
        <v>Außenwand</v>
      </c>
      <c r="E669" s="214">
        <f t="shared" ref="E669:E684" si="31">R649*F649</f>
        <v>0</v>
      </c>
      <c r="F669" s="214">
        <f t="shared" ref="F669:F684" si="32">S649*F649</f>
        <v>0</v>
      </c>
      <c r="R669" s="311">
        <f t="shared" ref="R669:R684" si="33">R649*F649*$F$645</f>
        <v>0</v>
      </c>
      <c r="S669" s="312">
        <f t="shared" ref="S669:S684" si="34">S649*F649*$F$645</f>
        <v>0</v>
      </c>
    </row>
    <row r="670" spans="1:19" hidden="1" outlineLevel="2" x14ac:dyDescent="0.25">
      <c r="B670" s="174" t="str">
        <f t="shared" si="30"/>
        <v>Fenster</v>
      </c>
      <c r="E670" s="214">
        <f t="shared" si="31"/>
        <v>0</v>
      </c>
      <c r="F670" s="214">
        <f t="shared" si="32"/>
        <v>0</v>
      </c>
      <c r="R670" s="311">
        <f t="shared" si="33"/>
        <v>0</v>
      </c>
      <c r="S670" s="312">
        <f t="shared" si="34"/>
        <v>0</v>
      </c>
    </row>
    <row r="671" spans="1:19" hidden="1" outlineLevel="2" x14ac:dyDescent="0.25">
      <c r="B671" s="174" t="str">
        <f t="shared" si="30"/>
        <v>oberer Gebäudeabschluss</v>
      </c>
      <c r="E671" s="214">
        <f t="shared" si="31"/>
        <v>0</v>
      </c>
      <c r="F671" s="214">
        <f t="shared" si="32"/>
        <v>0</v>
      </c>
      <c r="R671" s="311">
        <f t="shared" si="33"/>
        <v>0</v>
      </c>
      <c r="S671" s="312">
        <f t="shared" si="34"/>
        <v>0</v>
      </c>
    </row>
    <row r="672" spans="1:19" hidden="1" outlineLevel="2" x14ac:dyDescent="0.25">
      <c r="B672" s="174" t="str">
        <f t="shared" si="30"/>
        <v>unterer Gebäudeabschluss</v>
      </c>
      <c r="E672" s="214">
        <f t="shared" si="31"/>
        <v>0</v>
      </c>
      <c r="F672" s="214">
        <f t="shared" si="32"/>
        <v>0</v>
      </c>
      <c r="R672" s="311">
        <f t="shared" si="33"/>
        <v>0</v>
      </c>
      <c r="S672" s="312">
        <f t="shared" si="34"/>
        <v>0</v>
      </c>
    </row>
    <row r="673" spans="1:19" hidden="1" outlineLevel="2" x14ac:dyDescent="0.25">
      <c r="B673" s="174" t="str">
        <f t="shared" si="30"/>
        <v>Lüftungsanlage</v>
      </c>
      <c r="E673" s="214">
        <f t="shared" si="31"/>
        <v>0</v>
      </c>
      <c r="F673" s="214">
        <f t="shared" si="32"/>
        <v>0</v>
      </c>
      <c r="R673" s="311">
        <f t="shared" si="33"/>
        <v>0</v>
      </c>
      <c r="S673" s="312">
        <f t="shared" si="34"/>
        <v>0</v>
      </c>
    </row>
    <row r="674" spans="1:19" hidden="1" outlineLevel="2" x14ac:dyDescent="0.25">
      <c r="B674" s="174" t="str">
        <f t="shared" si="30"/>
        <v>Photovoltaik</v>
      </c>
      <c r="E674" s="214">
        <f t="shared" si="31"/>
        <v>0</v>
      </c>
      <c r="F674" s="214">
        <f t="shared" si="32"/>
        <v>0</v>
      </c>
      <c r="R674" s="311">
        <f t="shared" si="33"/>
        <v>0</v>
      </c>
      <c r="S674" s="312">
        <f t="shared" si="34"/>
        <v>0</v>
      </c>
    </row>
    <row r="675" spans="1:19" hidden="1" outlineLevel="2" x14ac:dyDescent="0.25">
      <c r="B675" s="174" t="str">
        <f t="shared" si="30"/>
        <v>Solarthermiekollektoren</v>
      </c>
      <c r="E675" s="214">
        <f t="shared" si="31"/>
        <v>0</v>
      </c>
      <c r="F675" s="214">
        <f t="shared" si="32"/>
        <v>0</v>
      </c>
      <c r="R675" s="311">
        <f t="shared" si="33"/>
        <v>0</v>
      </c>
      <c r="S675" s="312">
        <f t="shared" si="34"/>
        <v>0</v>
      </c>
    </row>
    <row r="676" spans="1:19" hidden="1" outlineLevel="2" x14ac:dyDescent="0.25">
      <c r="B676" s="174" t="str">
        <f t="shared" si="30"/>
        <v>Heizungspufferspeicher</v>
      </c>
      <c r="E676" s="214">
        <f t="shared" si="31"/>
        <v>0</v>
      </c>
      <c r="F676" s="214">
        <f t="shared" si="32"/>
        <v>0</v>
      </c>
      <c r="R676" s="311">
        <f t="shared" si="33"/>
        <v>0</v>
      </c>
      <c r="S676" s="312">
        <f t="shared" si="34"/>
        <v>0</v>
      </c>
    </row>
    <row r="677" spans="1:19" hidden="1" outlineLevel="2" x14ac:dyDescent="0.25">
      <c r="B677" s="174" t="str">
        <f t="shared" si="30"/>
        <v>Trinkwasserspeicher</v>
      </c>
      <c r="E677" s="214">
        <f t="shared" si="31"/>
        <v>0</v>
      </c>
      <c r="F677" s="214">
        <f t="shared" si="32"/>
        <v>0</v>
      </c>
      <c r="R677" s="311">
        <f t="shared" si="33"/>
        <v>0</v>
      </c>
      <c r="S677" s="312">
        <f t="shared" si="34"/>
        <v>0</v>
      </c>
    </row>
    <row r="678" spans="1:19" hidden="1" outlineLevel="2" x14ac:dyDescent="0.25">
      <c r="B678" s="174" t="str">
        <f t="shared" si="30"/>
        <v>Durchlauferhitzer</v>
      </c>
      <c r="E678" s="214">
        <f t="shared" si="31"/>
        <v>0</v>
      </c>
      <c r="F678" s="214">
        <f t="shared" si="32"/>
        <v>0</v>
      </c>
      <c r="R678" s="311">
        <f t="shared" si="33"/>
        <v>0</v>
      </c>
      <c r="S678" s="312">
        <f t="shared" si="34"/>
        <v>0</v>
      </c>
    </row>
    <row r="679" spans="1:19" hidden="1" outlineLevel="2" x14ac:dyDescent="0.25">
      <c r="B679" s="174" t="str">
        <f t="shared" si="30"/>
        <v>Außenluftwärmepumpe</v>
      </c>
      <c r="E679" s="214">
        <f t="shared" si="31"/>
        <v>0</v>
      </c>
      <c r="F679" s="214">
        <f t="shared" si="32"/>
        <v>0</v>
      </c>
      <c r="R679" s="311">
        <f t="shared" si="33"/>
        <v>0</v>
      </c>
      <c r="S679" s="312">
        <f t="shared" si="34"/>
        <v>0</v>
      </c>
    </row>
    <row r="680" spans="1:19" hidden="1" outlineLevel="2" x14ac:dyDescent="0.25">
      <c r="B680" s="174" t="str">
        <f t="shared" si="30"/>
        <v>Erdreichwärmepumpe</v>
      </c>
      <c r="E680" s="214">
        <f t="shared" si="31"/>
        <v>0</v>
      </c>
      <c r="F680" s="214">
        <f t="shared" si="32"/>
        <v>0</v>
      </c>
      <c r="R680" s="311">
        <f t="shared" si="33"/>
        <v>0</v>
      </c>
      <c r="S680" s="312">
        <f t="shared" si="34"/>
        <v>0</v>
      </c>
    </row>
    <row r="681" spans="1:19" hidden="1" outlineLevel="2" x14ac:dyDescent="0.25">
      <c r="B681" s="174" t="str">
        <f t="shared" si="30"/>
        <v>Fernwärmeanschluss</v>
      </c>
      <c r="E681" s="214">
        <f t="shared" si="31"/>
        <v>0</v>
      </c>
      <c r="F681" s="214">
        <f t="shared" si="32"/>
        <v>0</v>
      </c>
      <c r="R681" s="311">
        <f t="shared" si="33"/>
        <v>0</v>
      </c>
      <c r="S681" s="312">
        <f t="shared" si="34"/>
        <v>0</v>
      </c>
    </row>
    <row r="682" spans="1:19" hidden="1" outlineLevel="2" x14ac:dyDescent="0.25">
      <c r="B682" s="174" t="str">
        <f t="shared" si="30"/>
        <v>Holzkessel</v>
      </c>
      <c r="E682" s="214">
        <f t="shared" si="31"/>
        <v>0</v>
      </c>
      <c r="F682" s="214">
        <f t="shared" si="32"/>
        <v>0</v>
      </c>
      <c r="R682" s="311">
        <f t="shared" si="33"/>
        <v>0</v>
      </c>
      <c r="S682" s="312">
        <f t="shared" si="34"/>
        <v>0</v>
      </c>
    </row>
    <row r="683" spans="1:19" hidden="1" outlineLevel="2" x14ac:dyDescent="0.25">
      <c r="B683" s="174" t="str">
        <f t="shared" si="30"/>
        <v>Gasbrennwert</v>
      </c>
      <c r="E683" s="214">
        <f t="shared" si="31"/>
        <v>0</v>
      </c>
      <c r="F683" s="214">
        <f t="shared" si="32"/>
        <v>0</v>
      </c>
      <c r="R683" s="311">
        <f t="shared" si="33"/>
        <v>0</v>
      </c>
      <c r="S683" s="312">
        <f t="shared" si="34"/>
        <v>0</v>
      </c>
    </row>
    <row r="684" spans="1:19" hidden="1" outlineLevel="2" x14ac:dyDescent="0.25">
      <c r="B684" s="174" t="str">
        <f t="shared" si="30"/>
        <v>Ölbrennwert</v>
      </c>
      <c r="E684" s="214">
        <f t="shared" si="31"/>
        <v>0</v>
      </c>
      <c r="F684" s="214">
        <f t="shared" si="32"/>
        <v>0</v>
      </c>
      <c r="R684" s="311">
        <f t="shared" si="33"/>
        <v>0</v>
      </c>
      <c r="S684" s="312">
        <f t="shared" si="34"/>
        <v>0</v>
      </c>
    </row>
    <row r="685" spans="1:19" hidden="1" outlineLevel="2" x14ac:dyDescent="0.25">
      <c r="B685" s="174" t="s">
        <v>44</v>
      </c>
      <c r="E685" s="214">
        <f>SUM(E669:E684)</f>
        <v>0</v>
      </c>
      <c r="F685" s="214">
        <f>SUM(F669:F684)</f>
        <v>0</v>
      </c>
      <c r="R685" s="301">
        <f>SUM(R669:R684)</f>
        <v>0</v>
      </c>
      <c r="S685" s="302">
        <f>SUM(S669:S684)</f>
        <v>0</v>
      </c>
    </row>
    <row r="686" spans="1:19" s="162" customFormat="1" hidden="1" outlineLevel="2" x14ac:dyDescent="0.25">
      <c r="B686" s="163" t="s">
        <v>667</v>
      </c>
      <c r="O686" s="164"/>
      <c r="P686" s="165"/>
      <c r="R686" s="164"/>
      <c r="S686" s="165"/>
    </row>
    <row r="687" spans="1:19" s="170" customFormat="1" hidden="1" outlineLevel="2" x14ac:dyDescent="0.25">
      <c r="A687" s="166"/>
      <c r="B687" s="167"/>
      <c r="C687" s="166"/>
      <c r="D687" s="166"/>
      <c r="E687" s="166" t="s">
        <v>668</v>
      </c>
      <c r="F687" s="166"/>
      <c r="H687" s="166"/>
      <c r="J687" s="166"/>
      <c r="K687" s="166"/>
      <c r="L687" s="166"/>
      <c r="M687" s="166"/>
      <c r="N687" s="166"/>
      <c r="O687" s="171"/>
      <c r="P687" s="172"/>
      <c r="R687" s="168" t="s">
        <v>644</v>
      </c>
      <c r="S687" s="172" t="s">
        <v>32</v>
      </c>
    </row>
    <row r="688" spans="1:19" hidden="1" outlineLevel="2" x14ac:dyDescent="0.25">
      <c r="E688" s="185" t="s">
        <v>38</v>
      </c>
      <c r="R688" s="295" t="s">
        <v>669</v>
      </c>
      <c r="S688" s="307" t="s">
        <v>669</v>
      </c>
    </row>
    <row r="689" spans="2:19" hidden="1" outlineLevel="2" x14ac:dyDescent="0.25">
      <c r="B689" s="174" t="str">
        <f t="shared" ref="B689:B704" si="35">B669</f>
        <v>Außenwand</v>
      </c>
      <c r="E689" s="237">
        <f>Daten_ALLG!$D$288</f>
        <v>0.01</v>
      </c>
      <c r="R689" s="193">
        <f>E689*R649/Daten_ALLG!$D$246</f>
        <v>0</v>
      </c>
      <c r="S689" s="194">
        <f>E689*S649/Daten_ALLG!$D$246</f>
        <v>0</v>
      </c>
    </row>
    <row r="690" spans="2:19" hidden="1" outlineLevel="2" x14ac:dyDescent="0.25">
      <c r="B690" s="174" t="str">
        <f t="shared" si="35"/>
        <v>Fenster</v>
      </c>
      <c r="E690" s="237">
        <f>Daten_ALLG!$D$295</f>
        <v>0.01</v>
      </c>
      <c r="R690" s="193">
        <f>E690*R650/Daten_ALLG!$D$246</f>
        <v>0</v>
      </c>
      <c r="S690" s="194">
        <f>E690*S650/Daten_ALLG!$D$246</f>
        <v>0</v>
      </c>
    </row>
    <row r="691" spans="2:19" hidden="1" outlineLevel="2" x14ac:dyDescent="0.25">
      <c r="B691" s="174" t="str">
        <f t="shared" si="35"/>
        <v>oberer Gebäudeabschluss</v>
      </c>
      <c r="E691" s="237">
        <f>F551*Daten_ALLG!$D$292+Daten_ALLG!$D$301*H551</f>
        <v>5.3012048192771092E-3</v>
      </c>
      <c r="R691" s="193">
        <f>E691*R651/Daten_ALLG!$D$246</f>
        <v>0</v>
      </c>
      <c r="S691" s="194">
        <f>E691*S651/Daten_ALLG!$D$246</f>
        <v>0</v>
      </c>
    </row>
    <row r="692" spans="2:19" hidden="1" outlineLevel="2" x14ac:dyDescent="0.25">
      <c r="B692" s="174" t="str">
        <f t="shared" si="35"/>
        <v>unterer Gebäudeabschluss</v>
      </c>
      <c r="E692" s="237">
        <f>Daten_ALLG!$D$291*H559+F559*Daten_ALLG!$D$298</f>
        <v>0</v>
      </c>
      <c r="R692" s="193">
        <f>E692*R652/Daten_ALLG!$D$246</f>
        <v>0</v>
      </c>
      <c r="S692" s="194">
        <f>E692*S652/Daten_ALLG!$D$246</f>
        <v>0</v>
      </c>
    </row>
    <row r="693" spans="2:19" hidden="1" outlineLevel="2" x14ac:dyDescent="0.25">
      <c r="B693" s="174" t="str">
        <f t="shared" si="35"/>
        <v>Lüftungsanlage</v>
      </c>
      <c r="E693" s="237">
        <f>Daten_ALLG!$D$306</f>
        <v>0.05</v>
      </c>
      <c r="R693" s="193">
        <f>E693*R653/Daten_ALLG!$D$246</f>
        <v>0</v>
      </c>
      <c r="S693" s="194">
        <f>E693*S653/Daten_ALLG!$D$246</f>
        <v>0</v>
      </c>
    </row>
    <row r="694" spans="2:19" hidden="1" outlineLevel="2" x14ac:dyDescent="0.25">
      <c r="B694" s="174" t="str">
        <f t="shared" si="35"/>
        <v>Photovoltaik</v>
      </c>
      <c r="E694" s="237">
        <f>Daten_ALLG!$D$303</f>
        <v>0.02</v>
      </c>
      <c r="R694" s="193">
        <f>E694*R654/Daten_ALLG!$D$246</f>
        <v>0</v>
      </c>
      <c r="S694" s="194">
        <f>E694*S654/Daten_ALLG!$D$246</f>
        <v>0</v>
      </c>
    </row>
    <row r="695" spans="2:19" hidden="1" outlineLevel="2" x14ac:dyDescent="0.25">
      <c r="B695" s="174" t="str">
        <f t="shared" si="35"/>
        <v>Solarthermiekollektoren</v>
      </c>
      <c r="E695" s="237">
        <f>Daten_ALLG!$D$304</f>
        <v>1.4999999999999999E-2</v>
      </c>
      <c r="R695" s="193">
        <f>E695*R655/Daten_ALLG!$D$246</f>
        <v>0</v>
      </c>
      <c r="S695" s="194">
        <f>E695*S655/Daten_ALLG!$D$246</f>
        <v>0</v>
      </c>
    </row>
    <row r="696" spans="2:19" hidden="1" outlineLevel="2" x14ac:dyDescent="0.25">
      <c r="B696" s="174" t="str">
        <f t="shared" si="35"/>
        <v>Heizungspufferspeicher</v>
      </c>
      <c r="E696" s="237">
        <f>Daten_ALLG!$D$305</f>
        <v>0</v>
      </c>
      <c r="R696" s="193">
        <f>E696*R656/Daten_ALLG!$D$246</f>
        <v>0</v>
      </c>
      <c r="S696" s="194">
        <f>E696*S656/Daten_ALLG!$D$246</f>
        <v>0</v>
      </c>
    </row>
    <row r="697" spans="2:19" hidden="1" outlineLevel="2" x14ac:dyDescent="0.25">
      <c r="B697" s="174" t="str">
        <f t="shared" si="35"/>
        <v>Trinkwasserspeicher</v>
      </c>
      <c r="E697" s="237">
        <f>Daten_ALLG!$D$305</f>
        <v>0</v>
      </c>
      <c r="R697" s="193">
        <f>E697*R657/Daten_ALLG!$D$246</f>
        <v>0</v>
      </c>
      <c r="S697" s="194">
        <f>E697*S657/Daten_ALLG!$D$246</f>
        <v>0</v>
      </c>
    </row>
    <row r="698" spans="2:19" hidden="1" outlineLevel="2" x14ac:dyDescent="0.25">
      <c r="B698" s="174" t="str">
        <f t="shared" si="35"/>
        <v>Durchlauferhitzer</v>
      </c>
      <c r="E698" s="237">
        <f>Daten_ALLG!$D$293</f>
        <v>0</v>
      </c>
      <c r="R698" s="193">
        <f>E698*R658/Daten_ALLG!$D$246</f>
        <v>0</v>
      </c>
      <c r="S698" s="194">
        <f>E698*S658/Daten_ALLG!$D$246</f>
        <v>0</v>
      </c>
    </row>
    <row r="699" spans="2:19" hidden="1" outlineLevel="2" x14ac:dyDescent="0.25">
      <c r="B699" s="174" t="str">
        <f t="shared" si="35"/>
        <v>Außenluftwärmepumpe</v>
      </c>
      <c r="E699" s="237">
        <f>Daten_ALLG!$D$289</f>
        <v>0.02</v>
      </c>
      <c r="R699" s="193">
        <f>E699*R659/Daten_ALLG!$D$246</f>
        <v>0</v>
      </c>
      <c r="S699" s="194">
        <f>E699*S659/Daten_ALLG!$D$246</f>
        <v>0</v>
      </c>
    </row>
    <row r="700" spans="2:19" hidden="1" outlineLevel="2" x14ac:dyDescent="0.25">
      <c r="B700" s="174" t="str">
        <f t="shared" si="35"/>
        <v>Erdreichwärmepumpe</v>
      </c>
      <c r="E700" s="237">
        <f>Daten_ALLG!$D$294</f>
        <v>0.02</v>
      </c>
      <c r="R700" s="193">
        <f>E700*R660/Daten_ALLG!$D$246</f>
        <v>0</v>
      </c>
      <c r="S700" s="194">
        <f>E700*S660/Daten_ALLG!$D$246</f>
        <v>0</v>
      </c>
    </row>
    <row r="701" spans="2:19" hidden="1" outlineLevel="2" x14ac:dyDescent="0.25">
      <c r="B701" s="174" t="str">
        <f t="shared" si="35"/>
        <v>Fernwärmeanschluss</v>
      </c>
      <c r="E701" s="237">
        <f>Daten_ALLG!$D$300</f>
        <v>1.4999999999999999E-2</v>
      </c>
      <c r="R701" s="193">
        <f>E701*R661/Daten_ALLG!$D$246</f>
        <v>0</v>
      </c>
      <c r="S701" s="194">
        <f>E701*S661/Daten_ALLG!$D$246</f>
        <v>0</v>
      </c>
    </row>
    <row r="702" spans="2:19" hidden="1" outlineLevel="2" x14ac:dyDescent="0.25">
      <c r="B702" s="174" t="str">
        <f t="shared" si="35"/>
        <v>Holzkessel</v>
      </c>
      <c r="E702" s="237">
        <f>Daten_ALLG!$D$297</f>
        <v>0.05</v>
      </c>
      <c r="R702" s="193">
        <f>E702*R662/Daten_ALLG!$D$246</f>
        <v>0</v>
      </c>
      <c r="S702" s="194">
        <f>E702*S662/Daten_ALLG!$D$246</f>
        <v>0</v>
      </c>
    </row>
    <row r="703" spans="2:19" hidden="1" outlineLevel="2" x14ac:dyDescent="0.25">
      <c r="B703" s="174" t="str">
        <f t="shared" si="35"/>
        <v>Gasbrennwert</v>
      </c>
      <c r="E703" s="237">
        <f>Daten_ALLG!$D$296</f>
        <v>0.02</v>
      </c>
      <c r="R703" s="193">
        <f>E703*R663/Daten_ALLG!$D$246</f>
        <v>0</v>
      </c>
      <c r="S703" s="194">
        <f>E703*S663/Daten_ALLG!$D$246</f>
        <v>0</v>
      </c>
    </row>
    <row r="704" spans="2:19" hidden="1" outlineLevel="2" x14ac:dyDescent="0.25">
      <c r="B704" s="174" t="str">
        <f t="shared" si="35"/>
        <v>Ölbrennwert</v>
      </c>
      <c r="E704" s="237">
        <f>Daten_ALLG!$D$302</f>
        <v>0.02</v>
      </c>
      <c r="R704" s="193">
        <f>E704*R664/Daten_ALLG!$D$246</f>
        <v>0</v>
      </c>
      <c r="S704" s="194">
        <f>E704*S664/Daten_ALLG!$D$246</f>
        <v>0</v>
      </c>
    </row>
    <row r="705" spans="1:19" hidden="1" outlineLevel="2" x14ac:dyDescent="0.25">
      <c r="B705" s="174" t="s">
        <v>44</v>
      </c>
      <c r="E705" s="185"/>
      <c r="F705" s="310"/>
      <c r="R705" s="301">
        <f>SUM(R689:R704)</f>
        <v>0</v>
      </c>
      <c r="S705" s="302">
        <f>SUM(S689:S704)</f>
        <v>0</v>
      </c>
    </row>
    <row r="706" spans="1:19" s="159" customFormat="1" ht="14.25" customHeight="1" collapsed="1" x14ac:dyDescent="0.25">
      <c r="A706" s="156" t="s">
        <v>75</v>
      </c>
      <c r="B706" s="157"/>
      <c r="C706" s="157"/>
      <c r="D706" s="158"/>
      <c r="O706" s="160"/>
      <c r="P706" s="161"/>
      <c r="R706" s="160"/>
      <c r="S706" s="161"/>
    </row>
    <row r="707" spans="1:19" s="162" customFormat="1" hidden="1" outlineLevel="2" x14ac:dyDescent="0.25">
      <c r="B707" s="163" t="s">
        <v>779</v>
      </c>
      <c r="O707" s="164"/>
      <c r="P707" s="165"/>
      <c r="R707" s="164"/>
      <c r="S707" s="165"/>
    </row>
    <row r="708" spans="1:19" s="170" customFormat="1" hidden="1" outlineLevel="2" x14ac:dyDescent="0.25">
      <c r="A708" s="166"/>
      <c r="B708" s="167"/>
      <c r="C708" s="166"/>
      <c r="D708" s="166"/>
      <c r="E708" s="166"/>
      <c r="F708" s="166"/>
      <c r="H708" s="166"/>
      <c r="J708" s="166"/>
      <c r="K708" s="166"/>
      <c r="L708" s="166"/>
      <c r="M708" s="166"/>
      <c r="N708" s="166"/>
      <c r="O708" s="168" t="s">
        <v>319</v>
      </c>
      <c r="P708" s="172" t="s">
        <v>332</v>
      </c>
      <c r="R708" s="168" t="s">
        <v>644</v>
      </c>
      <c r="S708" s="172" t="s">
        <v>32</v>
      </c>
    </row>
    <row r="709" spans="1:19" hidden="1" outlineLevel="2" x14ac:dyDescent="0.25">
      <c r="B709" s="174" t="s">
        <v>776</v>
      </c>
      <c r="E709" s="185" t="s">
        <v>669</v>
      </c>
      <c r="O709" s="313">
        <f>O532</f>
        <v>2905.5735553475643</v>
      </c>
      <c r="P709" s="314">
        <f>P532</f>
        <v>2905.5735553475643</v>
      </c>
      <c r="Q709" s="315"/>
    </row>
    <row r="710" spans="1:19" hidden="1" outlineLevel="2" x14ac:dyDescent="0.25">
      <c r="B710" s="174" t="s">
        <v>777</v>
      </c>
      <c r="E710" s="185" t="s">
        <v>669</v>
      </c>
      <c r="P710" s="314">
        <f>S710</f>
        <v>0</v>
      </c>
      <c r="Q710" s="315"/>
      <c r="S710" s="302">
        <f>S705</f>
        <v>0</v>
      </c>
    </row>
    <row r="711" spans="1:19" hidden="1" outlineLevel="2" x14ac:dyDescent="0.25">
      <c r="B711" s="174" t="s">
        <v>780</v>
      </c>
      <c r="E711" s="185" t="s">
        <v>669</v>
      </c>
      <c r="P711" s="314">
        <f>S711</f>
        <v>0</v>
      </c>
      <c r="Q711" s="315"/>
      <c r="S711" s="302">
        <f>S685</f>
        <v>0</v>
      </c>
    </row>
    <row r="712" spans="1:19" hidden="1" outlineLevel="2" x14ac:dyDescent="0.25">
      <c r="B712" s="174" t="s">
        <v>44</v>
      </c>
      <c r="E712" s="185" t="s">
        <v>669</v>
      </c>
      <c r="O712" s="313">
        <f>O709+O710+O711</f>
        <v>2905.5735553475643</v>
      </c>
      <c r="P712" s="314">
        <f>P709+P710+P711</f>
        <v>2905.5735553475643</v>
      </c>
      <c r="Q712" s="315"/>
    </row>
    <row r="713" spans="1:19" hidden="1" outlineLevel="2" x14ac:dyDescent="0.25">
      <c r="B713" s="174" t="s">
        <v>781</v>
      </c>
      <c r="E713" s="185" t="s">
        <v>669</v>
      </c>
      <c r="F713" s="316">
        <f>P712-O712</f>
        <v>0</v>
      </c>
      <c r="Q713" s="315"/>
    </row>
    <row r="714" spans="1:19" s="162" customFormat="1" hidden="1" outlineLevel="2" x14ac:dyDescent="0.25">
      <c r="B714" s="163" t="s">
        <v>813</v>
      </c>
      <c r="O714" s="164"/>
      <c r="P714" s="165"/>
      <c r="R714" s="164"/>
      <c r="S714" s="165"/>
    </row>
    <row r="715" spans="1:19" s="170" customFormat="1" hidden="1" outlineLevel="2" x14ac:dyDescent="0.25">
      <c r="A715" s="166"/>
      <c r="B715" s="167"/>
      <c r="C715" s="166"/>
      <c r="D715" s="166"/>
      <c r="E715" s="166"/>
      <c r="F715" s="166"/>
      <c r="H715" s="166"/>
      <c r="J715" s="166"/>
      <c r="K715" s="166"/>
      <c r="L715" s="166"/>
      <c r="M715" s="166"/>
      <c r="N715" s="166"/>
      <c r="O715" s="168" t="s">
        <v>319</v>
      </c>
      <c r="P715" s="172" t="s">
        <v>332</v>
      </c>
      <c r="R715" s="168" t="s">
        <v>644</v>
      </c>
      <c r="S715" s="172" t="s">
        <v>32</v>
      </c>
    </row>
    <row r="716" spans="1:19" hidden="1" outlineLevel="2" x14ac:dyDescent="0.25">
      <c r="B716" s="174" t="s">
        <v>776</v>
      </c>
      <c r="E716" s="185" t="s">
        <v>669</v>
      </c>
      <c r="O716" s="313">
        <f>O532</f>
        <v>2905.5735553475643</v>
      </c>
      <c r="P716" s="314">
        <f>P532</f>
        <v>2905.5735553475643</v>
      </c>
      <c r="Q716" s="315"/>
    </row>
    <row r="717" spans="1:19" hidden="1" outlineLevel="2" x14ac:dyDescent="0.25">
      <c r="B717" s="174" t="s">
        <v>780</v>
      </c>
      <c r="E717" s="185" t="s">
        <v>669</v>
      </c>
      <c r="P717" s="314">
        <f>S717</f>
        <v>0</v>
      </c>
      <c r="Q717" s="315"/>
      <c r="S717" s="302">
        <f>S685</f>
        <v>0</v>
      </c>
    </row>
    <row r="718" spans="1:19" hidden="1" outlineLevel="2" x14ac:dyDescent="0.25">
      <c r="B718" s="174" t="s">
        <v>44</v>
      </c>
      <c r="E718" s="185" t="s">
        <v>669</v>
      </c>
      <c r="O718" s="313">
        <f>O716+O717</f>
        <v>2905.5735553475643</v>
      </c>
      <c r="P718" s="314">
        <f>P716+P717</f>
        <v>2905.5735553475643</v>
      </c>
      <c r="Q718" s="315"/>
    </row>
    <row r="719" spans="1:19" hidden="1" outlineLevel="2" x14ac:dyDescent="0.25">
      <c r="B719" s="174" t="s">
        <v>781</v>
      </c>
      <c r="E719" s="185" t="s">
        <v>669</v>
      </c>
      <c r="F719" s="316">
        <f>P718-O718</f>
        <v>0</v>
      </c>
      <c r="Q719" s="315"/>
    </row>
    <row r="720" spans="1:19" s="162" customFormat="1" hidden="1" outlineLevel="2" x14ac:dyDescent="0.25">
      <c r="B720" s="163" t="s">
        <v>778</v>
      </c>
      <c r="O720" s="164"/>
      <c r="P720" s="165"/>
      <c r="R720" s="164"/>
      <c r="S720" s="165"/>
    </row>
    <row r="721" spans="1:19" s="170" customFormat="1" hidden="1" outlineLevel="2" x14ac:dyDescent="0.25">
      <c r="A721" s="166"/>
      <c r="B721" s="167"/>
      <c r="C721" s="166"/>
      <c r="D721" s="166"/>
      <c r="E721" s="166"/>
      <c r="F721" s="166"/>
      <c r="H721" s="166"/>
      <c r="J721" s="166"/>
      <c r="K721" s="166"/>
      <c r="L721" s="166"/>
      <c r="M721" s="166"/>
      <c r="N721" s="166"/>
      <c r="O721" s="168" t="s">
        <v>319</v>
      </c>
      <c r="P721" s="172" t="s">
        <v>332</v>
      </c>
      <c r="R721" s="168" t="s">
        <v>644</v>
      </c>
      <c r="S721" s="172" t="s">
        <v>32</v>
      </c>
    </row>
    <row r="722" spans="1:19" hidden="1" outlineLevel="2" x14ac:dyDescent="0.25">
      <c r="B722" s="174" t="s">
        <v>776</v>
      </c>
      <c r="E722" s="185" t="s">
        <v>669</v>
      </c>
      <c r="O722" s="313">
        <f>O532</f>
        <v>2905.5735553475643</v>
      </c>
      <c r="P722" s="314">
        <f>P532</f>
        <v>2905.5735553475643</v>
      </c>
      <c r="Q722" s="315"/>
    </row>
    <row r="723" spans="1:19" hidden="1" outlineLevel="2" x14ac:dyDescent="0.25">
      <c r="B723" s="174" t="s">
        <v>777</v>
      </c>
      <c r="E723" s="185" t="s">
        <v>669</v>
      </c>
      <c r="P723" s="314">
        <f>S723-R723</f>
        <v>0</v>
      </c>
      <c r="Q723" s="315"/>
      <c r="R723" s="301">
        <f>R705</f>
        <v>0</v>
      </c>
      <c r="S723" s="302">
        <f>S705</f>
        <v>0</v>
      </c>
    </row>
    <row r="724" spans="1:19" hidden="1" outlineLevel="2" x14ac:dyDescent="0.25">
      <c r="B724" s="174" t="s">
        <v>780</v>
      </c>
      <c r="E724" s="185" t="s">
        <v>669</v>
      </c>
      <c r="P724" s="314">
        <f>S724-R724</f>
        <v>0</v>
      </c>
      <c r="Q724" s="315"/>
      <c r="R724" s="301">
        <f>R685</f>
        <v>0</v>
      </c>
      <c r="S724" s="302">
        <f>S685</f>
        <v>0</v>
      </c>
    </row>
    <row r="725" spans="1:19" hidden="1" outlineLevel="2" x14ac:dyDescent="0.25">
      <c r="B725" s="174" t="s">
        <v>44</v>
      </c>
      <c r="E725" s="185" t="s">
        <v>669</v>
      </c>
      <c r="O725" s="313">
        <f>O722+O723+O724</f>
        <v>2905.5735553475643</v>
      </c>
      <c r="P725" s="314">
        <f>P722+P723+P724</f>
        <v>2905.5735553475643</v>
      </c>
      <c r="Q725" s="315"/>
    </row>
    <row r="726" spans="1:19" hidden="1" outlineLevel="2" x14ac:dyDescent="0.25">
      <c r="B726" s="174" t="s">
        <v>781</v>
      </c>
      <c r="E726" s="185" t="s">
        <v>669</v>
      </c>
      <c r="F726" s="316">
        <f>P725-O725</f>
        <v>0</v>
      </c>
      <c r="Q726" s="315"/>
    </row>
    <row r="727" spans="1:19" s="159" customFormat="1" ht="14.25" customHeight="1" collapsed="1" x14ac:dyDescent="0.25">
      <c r="A727" s="156" t="s">
        <v>744</v>
      </c>
      <c r="B727" s="157"/>
      <c r="C727" s="157"/>
      <c r="D727" s="158"/>
      <c r="O727" s="160"/>
      <c r="P727" s="161"/>
      <c r="R727" s="160"/>
      <c r="S727" s="161"/>
    </row>
    <row r="728" spans="1:19" s="162" customFormat="1" hidden="1" outlineLevel="2" x14ac:dyDescent="0.25">
      <c r="B728" s="163" t="s">
        <v>809</v>
      </c>
      <c r="O728" s="164"/>
      <c r="P728" s="165"/>
      <c r="R728" s="164"/>
      <c r="S728" s="165"/>
    </row>
    <row r="729" spans="1:19" s="170" customFormat="1" hidden="1" outlineLevel="2" x14ac:dyDescent="0.25">
      <c r="A729" s="166"/>
      <c r="B729" s="167"/>
      <c r="C729" s="166"/>
      <c r="D729" s="166"/>
      <c r="E729" s="166"/>
      <c r="F729" s="166"/>
      <c r="H729" s="166"/>
      <c r="J729" s="166"/>
      <c r="K729" s="166"/>
      <c r="L729" s="166"/>
      <c r="M729" s="166"/>
      <c r="N729" s="166"/>
      <c r="O729" s="168"/>
      <c r="P729" s="172"/>
      <c r="R729" s="171"/>
      <c r="S729" s="172"/>
    </row>
    <row r="730" spans="1:19" hidden="1" outlineLevel="2" x14ac:dyDescent="0.25">
      <c r="B730" s="174" t="s">
        <v>808</v>
      </c>
      <c r="E730" s="185" t="s">
        <v>669</v>
      </c>
      <c r="F730" s="317">
        <f>P717</f>
        <v>0</v>
      </c>
      <c r="N730" s="264"/>
    </row>
    <row r="731" spans="1:19" hidden="1" outlineLevel="2" x14ac:dyDescent="0.25">
      <c r="B731" s="174" t="s">
        <v>746</v>
      </c>
      <c r="E731" s="185" t="s">
        <v>621</v>
      </c>
      <c r="F731" s="214">
        <f>O507-P507</f>
        <v>0</v>
      </c>
      <c r="N731" s="264"/>
    </row>
    <row r="732" spans="1:19" hidden="1" outlineLevel="2" x14ac:dyDescent="0.25">
      <c r="B732" s="174" t="s">
        <v>747</v>
      </c>
      <c r="E732" s="185" t="s">
        <v>748</v>
      </c>
      <c r="F732" s="191" t="str">
        <f>IF(F731=0,"k.A.",(F730)/F731)</f>
        <v>k.A.</v>
      </c>
      <c r="N732" s="264"/>
    </row>
    <row r="733" spans="1:19" hidden="1" outlineLevel="2" x14ac:dyDescent="0.25">
      <c r="E733" s="185" t="s">
        <v>749</v>
      </c>
      <c r="F733" s="318" t="str">
        <f>IF(F731=0,"k.A.",F732*1000)</f>
        <v>k.A.</v>
      </c>
      <c r="N733" s="264"/>
    </row>
    <row r="734" spans="1:19" s="162" customFormat="1" hidden="1" outlineLevel="2" x14ac:dyDescent="0.25">
      <c r="B734" s="163" t="s">
        <v>810</v>
      </c>
      <c r="O734" s="164"/>
      <c r="P734" s="165"/>
      <c r="R734" s="164"/>
      <c r="S734" s="165"/>
    </row>
    <row r="735" spans="1:19" s="170" customFormat="1" hidden="1" outlineLevel="2" x14ac:dyDescent="0.25">
      <c r="A735" s="166"/>
      <c r="B735" s="167"/>
      <c r="C735" s="166"/>
      <c r="D735" s="166"/>
      <c r="E735" s="166"/>
      <c r="F735" s="166"/>
      <c r="H735" s="166"/>
      <c r="J735" s="166"/>
      <c r="K735" s="166"/>
      <c r="L735" s="166"/>
      <c r="M735" s="166"/>
      <c r="N735" s="166"/>
      <c r="O735" s="168"/>
      <c r="P735" s="172"/>
      <c r="R735" s="171"/>
      <c r="S735" s="172"/>
    </row>
    <row r="736" spans="1:19" hidden="1" outlineLevel="2" x14ac:dyDescent="0.25">
      <c r="B736" s="174" t="s">
        <v>768</v>
      </c>
      <c r="E736" s="185" t="s">
        <v>669</v>
      </c>
      <c r="F736" s="317">
        <f>P724</f>
        <v>0</v>
      </c>
      <c r="N736" s="264"/>
    </row>
    <row r="737" spans="1:19" hidden="1" outlineLevel="2" x14ac:dyDescent="0.25">
      <c r="B737" s="174" t="s">
        <v>745</v>
      </c>
      <c r="E737" s="185" t="s">
        <v>669</v>
      </c>
      <c r="F737" s="317">
        <f>P723</f>
        <v>0</v>
      </c>
      <c r="N737" s="264"/>
    </row>
    <row r="738" spans="1:19" hidden="1" outlineLevel="2" x14ac:dyDescent="0.25">
      <c r="B738" s="174" t="s">
        <v>746</v>
      </c>
      <c r="E738" s="185" t="s">
        <v>621</v>
      </c>
      <c r="F738" s="214">
        <f>O507-P507</f>
        <v>0</v>
      </c>
      <c r="N738" s="264"/>
    </row>
    <row r="739" spans="1:19" hidden="1" outlineLevel="2" x14ac:dyDescent="0.25">
      <c r="B739" s="174" t="s">
        <v>747</v>
      </c>
      <c r="E739" s="185" t="s">
        <v>748</v>
      </c>
      <c r="F739" s="191" t="str">
        <f>IF(F738=0,"k.A.",(F736+F737)/F738)</f>
        <v>k.A.</v>
      </c>
      <c r="N739" s="264"/>
    </row>
    <row r="740" spans="1:19" hidden="1" outlineLevel="2" x14ac:dyDescent="0.25">
      <c r="E740" s="185" t="s">
        <v>749</v>
      </c>
      <c r="F740" s="318" t="str">
        <f>IF(F738=0,"k.A.",F739*1000)</f>
        <v>k.A.</v>
      </c>
      <c r="N740" s="264"/>
    </row>
    <row r="741" spans="1:19" s="159" customFormat="1" ht="14.25" customHeight="1" collapsed="1" x14ac:dyDescent="0.25">
      <c r="A741" s="156" t="s">
        <v>739</v>
      </c>
      <c r="B741" s="157"/>
      <c r="C741" s="157"/>
      <c r="D741" s="158"/>
      <c r="O741" s="160"/>
      <c r="P741" s="161"/>
      <c r="R741" s="160"/>
      <c r="S741" s="161"/>
    </row>
    <row r="742" spans="1:19" s="162" customFormat="1" hidden="1" outlineLevel="2" x14ac:dyDescent="0.25">
      <c r="B742" s="163" t="s">
        <v>769</v>
      </c>
      <c r="O742" s="164"/>
      <c r="P742" s="165"/>
      <c r="R742" s="164"/>
      <c r="S742" s="165"/>
    </row>
    <row r="743" spans="1:19" s="170" customFormat="1" hidden="1" outlineLevel="2" x14ac:dyDescent="0.25">
      <c r="A743" s="166"/>
      <c r="B743" s="167"/>
      <c r="C743" s="166"/>
      <c r="D743" s="166"/>
      <c r="E743" s="166"/>
      <c r="F743" s="166" t="s">
        <v>811</v>
      </c>
      <c r="G743" s="170" t="s">
        <v>812</v>
      </c>
      <c r="H743" s="166"/>
      <c r="J743" s="166"/>
      <c r="K743" s="166"/>
      <c r="L743" s="166"/>
      <c r="M743" s="166"/>
      <c r="N743" s="166"/>
      <c r="O743" s="168"/>
      <c r="P743" s="172"/>
      <c r="R743" s="171"/>
      <c r="S743" s="172"/>
    </row>
    <row r="744" spans="1:19" hidden="1" outlineLevel="2" x14ac:dyDescent="0.25">
      <c r="B744" s="174" t="s">
        <v>740</v>
      </c>
      <c r="E744" s="185" t="s">
        <v>669</v>
      </c>
      <c r="F744" s="316">
        <f>F719</f>
        <v>0</v>
      </c>
      <c r="G744" s="316">
        <f>F726</f>
        <v>0</v>
      </c>
    </row>
    <row r="745" spans="1:19" hidden="1" outlineLevel="2" x14ac:dyDescent="0.25">
      <c r="B745" s="174" t="s">
        <v>662</v>
      </c>
      <c r="E745" s="185" t="s">
        <v>38</v>
      </c>
      <c r="F745" s="237">
        <f>F645</f>
        <v>4.4649922293402963E-2</v>
      </c>
      <c r="G745" s="237">
        <f>F645</f>
        <v>4.4649922293402963E-2</v>
      </c>
    </row>
    <row r="746" spans="1:19" hidden="1" outlineLevel="2" x14ac:dyDescent="0.25">
      <c r="B746" s="174" t="s">
        <v>750</v>
      </c>
      <c r="E746" s="185" t="s">
        <v>77</v>
      </c>
      <c r="F746" s="214">
        <f>IF(F745=0,"k.A.",IF(F719&lt;0,0,F744/F745))</f>
        <v>0</v>
      </c>
      <c r="G746" s="214">
        <f>IF(G745=0,"k.A.",IF(F726&lt;0,0,G744/G745))</f>
        <v>0</v>
      </c>
    </row>
    <row r="747" spans="1:19" hidden="1" outlineLevel="2" x14ac:dyDescent="0.25">
      <c r="B747" s="174" t="s">
        <v>743</v>
      </c>
      <c r="E747" s="185" t="s">
        <v>13</v>
      </c>
      <c r="F747" s="319">
        <f>IF(F746=0,0,F744/S685)</f>
        <v>0</v>
      </c>
      <c r="G747" s="319">
        <f>IF(G746=0,0,G744/S685)</f>
        <v>0</v>
      </c>
    </row>
    <row r="748" spans="1:19" s="162" customFormat="1" hidden="1" outlineLevel="2" x14ac:dyDescent="0.25">
      <c r="B748" s="163" t="s">
        <v>751</v>
      </c>
      <c r="O748" s="164"/>
      <c r="P748" s="165"/>
      <c r="R748" s="164"/>
      <c r="S748" s="165"/>
    </row>
    <row r="749" spans="1:19" s="170" customFormat="1" hidden="1" outlineLevel="2" x14ac:dyDescent="0.25">
      <c r="A749" s="166"/>
      <c r="B749" s="167"/>
      <c r="C749" s="166"/>
      <c r="D749" s="166"/>
      <c r="E749" s="166"/>
      <c r="F749" s="166" t="s">
        <v>811</v>
      </c>
      <c r="G749" s="170" t="s">
        <v>812</v>
      </c>
      <c r="H749" s="166"/>
      <c r="J749" s="166"/>
      <c r="K749" s="166"/>
      <c r="L749" s="166"/>
      <c r="M749" s="166"/>
      <c r="N749" s="166"/>
      <c r="O749" s="168"/>
      <c r="P749" s="172"/>
      <c r="R749" s="171"/>
      <c r="S749" s="172"/>
    </row>
    <row r="750" spans="1:19" hidden="1" outlineLevel="2" x14ac:dyDescent="0.25">
      <c r="B750" s="174" t="s">
        <v>740</v>
      </c>
      <c r="E750" s="185" t="s">
        <v>669</v>
      </c>
      <c r="F750" s="316">
        <f>IF(F719&lt;0,0,F719)</f>
        <v>0</v>
      </c>
      <c r="G750" s="316">
        <f>IF(F726&lt;0,0,F726)</f>
        <v>0</v>
      </c>
    </row>
    <row r="751" spans="1:19" hidden="1" outlineLevel="2" x14ac:dyDescent="0.25">
      <c r="B751" s="174" t="s">
        <v>752</v>
      </c>
      <c r="E751" s="185" t="s">
        <v>621</v>
      </c>
      <c r="F751" s="320">
        <f>IF(P507&gt;O507,0,O507-P507)</f>
        <v>0</v>
      </c>
      <c r="G751" s="320">
        <f>IF(P507&gt;O507,0,O507-P507)</f>
        <v>0</v>
      </c>
    </row>
    <row r="752" spans="1:19" hidden="1" outlineLevel="2" x14ac:dyDescent="0.25">
      <c r="B752" s="174" t="s">
        <v>753</v>
      </c>
      <c r="E752" s="185" t="s">
        <v>748</v>
      </c>
      <c r="F752" s="237" t="str">
        <f>IF(F751=0,"k.A.",F750/F751)</f>
        <v>k.A.</v>
      </c>
      <c r="G752" s="237" t="str">
        <f>IF(G751=0,"k.A.",G750/G751)</f>
        <v>k.A.</v>
      </c>
    </row>
    <row r="753" spans="1:19" hidden="1" outlineLevel="2" x14ac:dyDescent="0.25">
      <c r="E753" s="185" t="s">
        <v>749</v>
      </c>
      <c r="F753" s="318" t="str">
        <f>IF(F751=0,"k.A.",F752*1000)</f>
        <v>k.A.</v>
      </c>
      <c r="G753" s="318" t="str">
        <f>IF(G751=0,"k.A.",G752*1000)</f>
        <v>k.A.</v>
      </c>
    </row>
    <row r="754" spans="1:19" s="162" customFormat="1" hidden="1" outlineLevel="2" x14ac:dyDescent="0.25">
      <c r="B754" s="163" t="s">
        <v>831</v>
      </c>
      <c r="O754" s="164"/>
      <c r="P754" s="165"/>
      <c r="R754" s="164"/>
      <c r="S754" s="165"/>
    </row>
    <row r="755" spans="1:19" s="170" customFormat="1" hidden="1" outlineLevel="2" x14ac:dyDescent="0.25">
      <c r="A755" s="166"/>
      <c r="B755" s="167"/>
      <c r="C755" s="166"/>
      <c r="D755" s="166"/>
      <c r="E755" s="166"/>
      <c r="F755" s="166"/>
      <c r="H755" s="166"/>
      <c r="J755" s="166"/>
      <c r="K755" s="166"/>
      <c r="L755" s="166"/>
      <c r="M755" s="166"/>
      <c r="N755" s="166"/>
      <c r="O755" s="168" t="s">
        <v>319</v>
      </c>
      <c r="P755" s="169" t="s">
        <v>332</v>
      </c>
      <c r="R755" s="171"/>
      <c r="S755" s="172"/>
    </row>
    <row r="756" spans="1:19" hidden="1" outlineLevel="2" x14ac:dyDescent="0.25">
      <c r="B756" s="174" t="s">
        <v>740</v>
      </c>
      <c r="E756" s="185" t="s">
        <v>669</v>
      </c>
      <c r="F756" s="316">
        <f>IF(F726&lt;0,0,F726)</f>
        <v>0</v>
      </c>
    </row>
    <row r="757" spans="1:19" hidden="1" outlineLevel="2" x14ac:dyDescent="0.25">
      <c r="B757" s="174" t="s">
        <v>832</v>
      </c>
      <c r="E757" s="185" t="s">
        <v>348</v>
      </c>
      <c r="N757" s="264" t="s">
        <v>736</v>
      </c>
      <c r="O757" s="221">
        <f>IF($A$276="",0,IF($D276="V",0,IF($E276="V",0,IF($F276="V",0,IF($G276="V",0,IF($H276="V",0,IF($I276="V",0,IF($J276="V",0,IF($K276="V",0,IF($L276="V",O409,IF($M276="V",O409,0)))))))))))</f>
        <v>0</v>
      </c>
      <c r="P757" s="222">
        <f>IF($A$276="",0,IF($D276="N",0,IF($E276="N",0,IF($F276="N",0,IF($G276="N",0,IF($H276="N",0,IF($I276="N",0,IF($J276="N",0,IF($K276="N",0,IF($L276="N",P409,IF($M276="N",P409,0)))))))))))</f>
        <v>0</v>
      </c>
    </row>
    <row r="758" spans="1:19" hidden="1" outlineLevel="2" x14ac:dyDescent="0.25">
      <c r="B758" s="174" t="s">
        <v>834</v>
      </c>
      <c r="E758" s="185" t="s">
        <v>348</v>
      </c>
      <c r="N758" s="264" t="s">
        <v>40</v>
      </c>
      <c r="O758" s="321">
        <f>L529*O379</f>
        <v>0</v>
      </c>
      <c r="P758" s="222">
        <f>M529*P379</f>
        <v>0</v>
      </c>
    </row>
    <row r="759" spans="1:19" hidden="1" outlineLevel="2" x14ac:dyDescent="0.25">
      <c r="B759" s="174" t="s">
        <v>833</v>
      </c>
      <c r="E759" s="185" t="s">
        <v>348</v>
      </c>
      <c r="N759" s="264" t="s">
        <v>736</v>
      </c>
      <c r="O759" s="321">
        <f>IF($A$303="",0,IF($D303="V",0,IF($E303="V",0,IF($F303="V",0,IF($G303="V",0,IF($H303="V",0,IF($I303="V",0,IF($J303="V",0,IF($K303="V",0,IF($L303="V",O417,IF($M303="V",O417,0)))))))))))</f>
        <v>0</v>
      </c>
      <c r="P759" s="222">
        <f>IF($A$303="",0,IF($D303="N",0,IF($E303="N",0,IF($F303="N",0,IF($G303="N",0,IF($H303="N",0,IF($I303="N",0,IF($J303="N",0,IF($K303="N",0,IF($L303="N",P417,IF($M303="N",P417,0)))))))))))</f>
        <v>0</v>
      </c>
    </row>
    <row r="760" spans="1:19" hidden="1" outlineLevel="2" x14ac:dyDescent="0.25">
      <c r="B760" s="174" t="s">
        <v>835</v>
      </c>
      <c r="E760" s="185" t="s">
        <v>348</v>
      </c>
      <c r="N760" s="264" t="s">
        <v>40</v>
      </c>
      <c r="O760" s="221">
        <f>L530*O388</f>
        <v>0</v>
      </c>
      <c r="P760" s="222">
        <f>M530*P388</f>
        <v>0</v>
      </c>
    </row>
    <row r="761" spans="1:19" hidden="1" outlineLevel="2" x14ac:dyDescent="0.25">
      <c r="B761" s="174" t="s">
        <v>836</v>
      </c>
      <c r="E761" s="185" t="s">
        <v>348</v>
      </c>
      <c r="N761" s="264"/>
      <c r="O761" s="221">
        <f>O757+O759-O758-O760</f>
        <v>0</v>
      </c>
      <c r="P761" s="222">
        <f>P757+P759-P758-P760</f>
        <v>0</v>
      </c>
    </row>
    <row r="762" spans="1:19" hidden="1" outlineLevel="2" x14ac:dyDescent="0.25">
      <c r="B762" s="174" t="s">
        <v>755</v>
      </c>
      <c r="E762" s="185" t="s">
        <v>348</v>
      </c>
      <c r="F762" s="316">
        <f>O761-P761</f>
        <v>0</v>
      </c>
    </row>
    <row r="763" spans="1:19" hidden="1" outlineLevel="2" x14ac:dyDescent="0.25">
      <c r="B763" s="174" t="s">
        <v>754</v>
      </c>
      <c r="E763" s="185" t="s">
        <v>31</v>
      </c>
      <c r="F763" s="191">
        <f>IF(F762=0,0,F756/F762)</f>
        <v>0</v>
      </c>
    </row>
    <row r="764" spans="1:19" hidden="1" outlineLevel="2" x14ac:dyDescent="0.25">
      <c r="B764" s="174" t="s">
        <v>837</v>
      </c>
      <c r="E764" s="185" t="s">
        <v>31</v>
      </c>
      <c r="F764" s="322">
        <f>IF(AND(F762=0,F756&lt;&gt;0),"n.m.",Daten_ALLG!$D$279+F763)</f>
        <v>0.186</v>
      </c>
    </row>
    <row r="765" spans="1:19" hidden="1" outlineLevel="2" x14ac:dyDescent="0.25">
      <c r="E765" s="185"/>
    </row>
  </sheetData>
  <sheetProtection sheet="1" selectLockedCells="1"/>
  <pageMargins left="0.7" right="0.7" top="0.78740157499999996" bottom="0.78740157499999996" header="0.3" footer="0.3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721373-E697-49E3-A5DF-C2AA6AF4A18A}">
  <sheetPr codeName="Tabelle6">
    <tabColor theme="6"/>
    <outlinePr summaryBelow="0" summaryRight="0"/>
  </sheetPr>
  <dimension ref="A1:U765"/>
  <sheetViews>
    <sheetView showGridLines="0" zoomScale="85" zoomScaleNormal="85" workbookViewId="0">
      <pane ySplit="12" topLeftCell="A13" activePane="bottomLeft" state="frozen"/>
      <selection pane="bottomLeft" activeCell="A2" sqref="A2"/>
    </sheetView>
  </sheetViews>
  <sheetFormatPr baseColWidth="10" defaultRowHeight="15" outlineLevelRow="2" x14ac:dyDescent="0.25"/>
  <cols>
    <col min="1" max="1" width="4.140625" style="173" customWidth="1"/>
    <col min="2" max="2" width="14.28515625" style="174" customWidth="1"/>
    <col min="3" max="3" width="12.85546875" style="173" customWidth="1"/>
    <col min="4" max="14" width="9.42578125" style="173" customWidth="1"/>
    <col min="15" max="15" width="9.42578125" style="178" customWidth="1"/>
    <col min="16" max="16" width="9.42578125" style="179" customWidth="1"/>
    <col min="17" max="17" width="9.42578125" style="173" customWidth="1"/>
    <col min="18" max="18" width="9.42578125" style="178" customWidth="1"/>
    <col min="19" max="19" width="9.42578125" style="179" customWidth="1"/>
    <col min="20" max="16384" width="11.42578125" style="173"/>
  </cols>
  <sheetData>
    <row r="1" spans="1:21" s="109" customFormat="1" ht="14.25" customHeight="1" x14ac:dyDescent="0.25">
      <c r="A1" s="106" t="s">
        <v>893</v>
      </c>
      <c r="B1" s="107"/>
      <c r="C1" s="107"/>
      <c r="D1" s="108"/>
    </row>
    <row r="2" spans="1:21" s="110" customFormat="1" ht="15.75" customHeight="1" outlineLevel="1" x14ac:dyDescent="0.2">
      <c r="B2" s="110" t="s">
        <v>339</v>
      </c>
      <c r="C2" s="111" t="s">
        <v>517</v>
      </c>
      <c r="D2" s="110" t="s">
        <v>623</v>
      </c>
      <c r="E2" s="110" t="s">
        <v>609</v>
      </c>
      <c r="F2" s="110" t="s">
        <v>522</v>
      </c>
      <c r="G2" s="110" t="s">
        <v>582</v>
      </c>
      <c r="I2" s="110" t="s">
        <v>529</v>
      </c>
      <c r="J2" s="110" t="s">
        <v>531</v>
      </c>
      <c r="K2" s="110" t="s">
        <v>614</v>
      </c>
      <c r="L2" s="110" t="s">
        <v>615</v>
      </c>
      <c r="M2" s="110" t="s">
        <v>683</v>
      </c>
      <c r="O2" s="110" t="s">
        <v>816</v>
      </c>
      <c r="P2" s="110" t="s">
        <v>894</v>
      </c>
      <c r="Q2" s="110" t="s">
        <v>896</v>
      </c>
      <c r="R2" s="110" t="s">
        <v>2</v>
      </c>
      <c r="S2" s="110" t="s">
        <v>7</v>
      </c>
    </row>
    <row r="3" spans="1:21" s="110" customFormat="1" ht="15.75" customHeight="1" outlineLevel="1" x14ac:dyDescent="0.2">
      <c r="B3" s="110" t="s">
        <v>886</v>
      </c>
      <c r="C3" s="111" t="s">
        <v>626</v>
      </c>
      <c r="D3" s="111" t="s">
        <v>626</v>
      </c>
      <c r="E3" s="337" t="s">
        <v>887</v>
      </c>
      <c r="F3" s="111" t="s">
        <v>626</v>
      </c>
      <c r="G3" s="111" t="s">
        <v>626</v>
      </c>
      <c r="I3" s="111" t="s">
        <v>626</v>
      </c>
      <c r="J3" s="111" t="s">
        <v>626</v>
      </c>
      <c r="K3" s="111" t="s">
        <v>791</v>
      </c>
      <c r="L3" s="111" t="s">
        <v>791</v>
      </c>
      <c r="M3" s="111" t="s">
        <v>888</v>
      </c>
      <c r="O3" s="111" t="s">
        <v>888</v>
      </c>
      <c r="P3" s="337" t="s">
        <v>887</v>
      </c>
      <c r="Q3" s="110" t="s">
        <v>889</v>
      </c>
      <c r="R3" s="110" t="s">
        <v>890</v>
      </c>
      <c r="S3" s="110" t="s">
        <v>890</v>
      </c>
    </row>
    <row r="4" spans="1:21" s="125" customFormat="1" ht="15.75" customHeight="1" outlineLevel="1" x14ac:dyDescent="0.25">
      <c r="A4" s="112" t="s">
        <v>782</v>
      </c>
      <c r="B4" s="113">
        <f>O94</f>
        <v>2.1468893959156365</v>
      </c>
      <c r="C4" s="114">
        <f>O435</f>
        <v>125.11174626865456</v>
      </c>
      <c r="D4" s="115">
        <f>O439</f>
        <v>132.9591055310045</v>
      </c>
      <c r="E4" s="116">
        <f>O441</f>
        <v>0.82908004423927362</v>
      </c>
      <c r="F4" s="117">
        <f>O442</f>
        <v>160.36944376462682</v>
      </c>
      <c r="G4" s="117">
        <f>O481</f>
        <v>169.91148572423091</v>
      </c>
      <c r="H4" s="112" t="s">
        <v>782</v>
      </c>
      <c r="I4" s="118">
        <f>O451</f>
        <v>138.36284394423089</v>
      </c>
      <c r="J4" s="119">
        <f>F4+F9</f>
        <v>189.60797090710258</v>
      </c>
      <c r="K4" s="120">
        <f>O516</f>
        <v>44.65026339847833</v>
      </c>
      <c r="L4" s="120">
        <f>O522</f>
        <v>55.087856591264106</v>
      </c>
      <c r="M4" s="121">
        <f>O709</f>
        <v>3284.3255756056456</v>
      </c>
      <c r="N4" s="112" t="s">
        <v>815</v>
      </c>
      <c r="O4" s="121">
        <f>G744</f>
        <v>0</v>
      </c>
      <c r="P4" s="122">
        <f>G747</f>
        <v>0</v>
      </c>
      <c r="Q4" s="123" t="str">
        <f>G753</f>
        <v>k.A.</v>
      </c>
      <c r="R4" s="336" t="str">
        <f>IF(Q4="k.A.","k.A.",Q4/1000*Daten_ALLG!$D$204/1000+Daten_ALLG!$D$276)</f>
        <v>k.A.</v>
      </c>
      <c r="S4" s="336" t="str">
        <f>IF(Q4="k.A.","k.A.",Q4*Daten_ALLG!$D$209/1000/1000+Daten_ALLG!$D$278)</f>
        <v>k.A.</v>
      </c>
    </row>
    <row r="5" spans="1:21" s="125" customFormat="1" ht="15.75" customHeight="1" outlineLevel="1" x14ac:dyDescent="0.25">
      <c r="A5" s="112" t="s">
        <v>783</v>
      </c>
      <c r="B5" s="113">
        <f>P94</f>
        <v>2.1468893959156365</v>
      </c>
      <c r="C5" s="114">
        <f>P435</f>
        <v>125.11174626865456</v>
      </c>
      <c r="D5" s="115">
        <f>P439</f>
        <v>132.9591055310045</v>
      </c>
      <c r="E5" s="116">
        <f>P441</f>
        <v>0.82908004423927362</v>
      </c>
      <c r="F5" s="117">
        <f>P442</f>
        <v>160.36944376462682</v>
      </c>
      <c r="G5" s="117">
        <f>P481</f>
        <v>169.91148572423091</v>
      </c>
      <c r="H5" s="112" t="s">
        <v>783</v>
      </c>
      <c r="I5" s="118">
        <f>P451</f>
        <v>138.36284394423089</v>
      </c>
      <c r="J5" s="119">
        <f>F5+F10</f>
        <v>189.60797090710258</v>
      </c>
      <c r="K5" s="120">
        <f>P516</f>
        <v>44.65026339847833</v>
      </c>
      <c r="L5" s="120">
        <f>P522</f>
        <v>55.087856591264106</v>
      </c>
      <c r="M5" s="121">
        <f>P709</f>
        <v>3284.3255756056456</v>
      </c>
      <c r="N5" s="112" t="s">
        <v>814</v>
      </c>
      <c r="O5" s="121">
        <f>F744</f>
        <v>0</v>
      </c>
      <c r="P5" s="122">
        <f>F747</f>
        <v>0</v>
      </c>
      <c r="Q5" s="123" t="str">
        <f>F753</f>
        <v>k.A.</v>
      </c>
      <c r="R5" s="336" t="str">
        <f>IF(Q5="k.A.","k.A.",Q5/1000*Daten_ALLG!$D$204/1000+Daten_ALLG!$D$276)</f>
        <v>k.A.</v>
      </c>
      <c r="S5" s="336" t="str">
        <f>IF(Q5="k.A.","k.A.",Q5*Daten_ALLG!$D$209/1000/1000+Daten_ALLG!$D$278)</f>
        <v>k.A.</v>
      </c>
    </row>
    <row r="6" spans="1:21" s="125" customFormat="1" ht="15.75" customHeight="1" outlineLevel="1" x14ac:dyDescent="0.25">
      <c r="A6" s="112"/>
      <c r="B6" s="126">
        <f>B5/B4-1</f>
        <v>0</v>
      </c>
      <c r="C6" s="127">
        <f>C5/C4-1</f>
        <v>0</v>
      </c>
      <c r="D6" s="128">
        <f t="shared" ref="D6:L6" si="0">D5/D4-1</f>
        <v>0</v>
      </c>
      <c r="E6" s="128">
        <f t="shared" si="0"/>
        <v>0</v>
      </c>
      <c r="F6" s="129">
        <f t="shared" si="0"/>
        <v>0</v>
      </c>
      <c r="G6" s="129">
        <f t="shared" si="0"/>
        <v>0</v>
      </c>
      <c r="H6" s="112"/>
      <c r="I6" s="130">
        <f t="shared" si="0"/>
        <v>0</v>
      </c>
      <c r="J6" s="131">
        <f t="shared" si="0"/>
        <v>0</v>
      </c>
      <c r="K6" s="132">
        <f t="shared" si="0"/>
        <v>0</v>
      </c>
      <c r="L6" s="132">
        <f t="shared" si="0"/>
        <v>0</v>
      </c>
      <c r="M6" s="133">
        <f>M5/M4-1</f>
        <v>0</v>
      </c>
      <c r="P6" s="112"/>
      <c r="R6" s="112"/>
      <c r="T6" s="134"/>
    </row>
    <row r="7" spans="1:21" s="110" customFormat="1" ht="15.75" customHeight="1" outlineLevel="1" x14ac:dyDescent="0.2">
      <c r="A7" s="135"/>
      <c r="B7" s="110" t="s">
        <v>784</v>
      </c>
      <c r="C7" s="110" t="s">
        <v>523</v>
      </c>
      <c r="D7" s="110" t="s">
        <v>624</v>
      </c>
      <c r="E7" s="110" t="s">
        <v>610</v>
      </c>
      <c r="F7" s="110" t="s">
        <v>528</v>
      </c>
      <c r="G7" s="110" t="s">
        <v>608</v>
      </c>
      <c r="I7" s="110" t="s">
        <v>534</v>
      </c>
      <c r="J7" s="110" t="s">
        <v>533</v>
      </c>
      <c r="K7" s="110" t="s">
        <v>734</v>
      </c>
      <c r="L7" s="110" t="s">
        <v>715</v>
      </c>
      <c r="N7" s="110" t="s">
        <v>680</v>
      </c>
      <c r="O7" s="110" t="s">
        <v>681</v>
      </c>
      <c r="P7" s="110" t="s">
        <v>682</v>
      </c>
      <c r="Q7" s="110" t="s">
        <v>684</v>
      </c>
      <c r="S7" s="110" t="s">
        <v>895</v>
      </c>
    </row>
    <row r="8" spans="1:21" s="110" customFormat="1" ht="15.75" customHeight="1" outlineLevel="1" x14ac:dyDescent="0.2">
      <c r="A8" s="135"/>
      <c r="B8" s="110" t="s">
        <v>891</v>
      </c>
      <c r="C8" s="111" t="s">
        <v>626</v>
      </c>
      <c r="D8" s="111" t="s">
        <v>626</v>
      </c>
      <c r="E8" s="337" t="s">
        <v>887</v>
      </c>
      <c r="F8" s="111" t="s">
        <v>626</v>
      </c>
      <c r="G8" s="111" t="s">
        <v>626</v>
      </c>
      <c r="I8" s="111" t="s">
        <v>626</v>
      </c>
      <c r="J8" s="111" t="s">
        <v>626</v>
      </c>
      <c r="K8" s="111" t="s">
        <v>626</v>
      </c>
      <c r="L8" s="111" t="s">
        <v>626</v>
      </c>
      <c r="N8" s="110" t="s">
        <v>892</v>
      </c>
      <c r="O8" s="111" t="s">
        <v>888</v>
      </c>
      <c r="P8" s="111" t="s">
        <v>888</v>
      </c>
      <c r="Q8" s="111" t="s">
        <v>888</v>
      </c>
      <c r="S8" s="110" t="s">
        <v>889</v>
      </c>
    </row>
    <row r="9" spans="1:21" s="146" customFormat="1" ht="15.75" customHeight="1" outlineLevel="1" x14ac:dyDescent="0.25">
      <c r="A9" s="136" t="s">
        <v>782</v>
      </c>
      <c r="B9" s="137">
        <f>O101</f>
        <v>68.700460669300369</v>
      </c>
      <c r="C9" s="138">
        <f>O443</f>
        <v>10.925522302797635</v>
      </c>
      <c r="D9" s="139">
        <f>O447</f>
        <v>24.543377550424342</v>
      </c>
      <c r="E9" s="140">
        <f>O416</f>
        <v>0.83941907986087871</v>
      </c>
      <c r="F9" s="141">
        <f>O450</f>
        <v>29.238527142475775</v>
      </c>
      <c r="G9" s="141">
        <f>O484</f>
        <v>32.514224337498476</v>
      </c>
      <c r="H9" s="136" t="s">
        <v>782</v>
      </c>
      <c r="I9" s="142">
        <f>O456</f>
        <v>24.27819081808758</v>
      </c>
      <c r="J9" s="143">
        <f>O459</f>
        <v>7.7009804154302666</v>
      </c>
      <c r="K9" s="144">
        <f>O457</f>
        <v>0.77009804154302675</v>
      </c>
      <c r="L9" s="144">
        <f>O458</f>
        <v>6.9308823738872407</v>
      </c>
      <c r="M9" s="112" t="s">
        <v>815</v>
      </c>
      <c r="N9" s="145">
        <f>S665-R665</f>
        <v>0</v>
      </c>
      <c r="O9" s="121">
        <f>P724</f>
        <v>0</v>
      </c>
      <c r="P9" s="121">
        <f>P723</f>
        <v>0</v>
      </c>
      <c r="Q9" s="121">
        <f>P725</f>
        <v>3284.3255756056456</v>
      </c>
      <c r="R9" s="112"/>
      <c r="S9" s="123" t="str">
        <f>F740</f>
        <v>k.A.</v>
      </c>
    </row>
    <row r="10" spans="1:21" s="146" customFormat="1" ht="15.75" customHeight="1" outlineLevel="1" x14ac:dyDescent="0.25">
      <c r="A10" s="112" t="s">
        <v>783</v>
      </c>
      <c r="B10" s="137">
        <f>P101</f>
        <v>68.700460669300369</v>
      </c>
      <c r="C10" s="138">
        <f>P443</f>
        <v>10.925522302797635</v>
      </c>
      <c r="D10" s="139">
        <f>P447</f>
        <v>24.543377550424342</v>
      </c>
      <c r="E10" s="140">
        <f>P416</f>
        <v>0.83941907986087871</v>
      </c>
      <c r="F10" s="141">
        <f>P450</f>
        <v>29.238527142475775</v>
      </c>
      <c r="G10" s="141">
        <f>P484</f>
        <v>32.514224337498476</v>
      </c>
      <c r="H10" s="136" t="s">
        <v>783</v>
      </c>
      <c r="I10" s="142">
        <f>P456</f>
        <v>24.27819081808758</v>
      </c>
      <c r="J10" s="143">
        <f>P459</f>
        <v>7.7009804154302666</v>
      </c>
      <c r="K10" s="144">
        <f>P457</f>
        <v>0.77009804154302675</v>
      </c>
      <c r="L10" s="144">
        <f>P458</f>
        <v>6.9308823738872407</v>
      </c>
      <c r="M10" s="112" t="s">
        <v>814</v>
      </c>
      <c r="N10" s="145">
        <f>S665</f>
        <v>0</v>
      </c>
      <c r="O10" s="121">
        <f>P711</f>
        <v>0</v>
      </c>
      <c r="P10" s="121">
        <f>P710</f>
        <v>0</v>
      </c>
      <c r="Q10" s="121">
        <f>P712</f>
        <v>3284.3255756056456</v>
      </c>
      <c r="R10" s="112"/>
      <c r="S10" s="123" t="str">
        <f>F733</f>
        <v>k.A.</v>
      </c>
      <c r="U10" s="147"/>
    </row>
    <row r="11" spans="1:21" s="125" customFormat="1" ht="15.75" customHeight="1" outlineLevel="1" x14ac:dyDescent="0.25">
      <c r="A11" s="112"/>
      <c r="B11" s="126">
        <f>B10/B9-1</f>
        <v>0</v>
      </c>
      <c r="C11" s="148">
        <f>C10/C9-1</f>
        <v>0</v>
      </c>
      <c r="D11" s="149">
        <f t="shared" ref="D11:G11" si="1">D10/D9-1</f>
        <v>0</v>
      </c>
      <c r="E11" s="149">
        <f t="shared" si="1"/>
        <v>0</v>
      </c>
      <c r="F11" s="150">
        <f t="shared" si="1"/>
        <v>0</v>
      </c>
      <c r="G11" s="150">
        <f t="shared" si="1"/>
        <v>0</v>
      </c>
      <c r="H11" s="112"/>
      <c r="I11" s="131">
        <f t="shared" ref="I11" si="2">I10/I9-1</f>
        <v>0</v>
      </c>
      <c r="J11" s="151">
        <f>IF(J9=0,"k.A.",J10/J9-1)</f>
        <v>0</v>
      </c>
      <c r="K11" s="152">
        <f>IF(K9=0,"k.A.",K10/K9-1)</f>
        <v>0</v>
      </c>
      <c r="L11" s="152" t="s">
        <v>830</v>
      </c>
      <c r="M11" s="112"/>
      <c r="P11" s="112"/>
      <c r="Q11" s="112"/>
      <c r="R11" s="112"/>
      <c r="S11" s="112"/>
      <c r="T11" s="134"/>
    </row>
    <row r="12" spans="1:21" s="155" customFormat="1" x14ac:dyDescent="0.25">
      <c r="A12" s="153"/>
      <c r="B12" s="154"/>
      <c r="C12" s="153"/>
      <c r="D12" s="153"/>
      <c r="E12" s="154"/>
      <c r="F12" s="153"/>
      <c r="G12" s="153"/>
      <c r="H12" s="153"/>
      <c r="I12" s="154"/>
      <c r="J12" s="153"/>
      <c r="K12" s="153"/>
      <c r="L12" s="153"/>
      <c r="M12" s="154"/>
      <c r="N12" s="153"/>
      <c r="O12" s="153"/>
      <c r="P12" s="153"/>
      <c r="Q12" s="153"/>
      <c r="R12" s="153"/>
      <c r="S12" s="153"/>
    </row>
    <row r="13" spans="1:21" s="159" customFormat="1" ht="14.25" customHeight="1" collapsed="1" x14ac:dyDescent="0.25">
      <c r="A13" s="156" t="s">
        <v>245</v>
      </c>
      <c r="B13" s="157"/>
      <c r="C13" s="157"/>
      <c r="D13" s="158"/>
      <c r="O13" s="160"/>
      <c r="P13" s="161"/>
      <c r="R13" s="160"/>
      <c r="S13" s="161"/>
    </row>
    <row r="14" spans="1:21" s="162" customFormat="1" hidden="1" outlineLevel="2" x14ac:dyDescent="0.25">
      <c r="B14" s="163" t="s">
        <v>342</v>
      </c>
      <c r="O14" s="164"/>
      <c r="P14" s="165"/>
      <c r="R14" s="164"/>
      <c r="S14" s="165"/>
    </row>
    <row r="15" spans="1:21" s="170" customFormat="1" hidden="1" outlineLevel="2" x14ac:dyDescent="0.25">
      <c r="A15" s="166"/>
      <c r="B15" s="167"/>
      <c r="C15" s="166"/>
      <c r="D15" s="166"/>
      <c r="E15" s="166"/>
      <c r="F15" s="166"/>
      <c r="G15" s="166"/>
      <c r="H15" s="166"/>
      <c r="I15" s="166"/>
      <c r="J15" s="166"/>
      <c r="K15" s="166"/>
      <c r="L15" s="166"/>
      <c r="M15" s="166"/>
      <c r="N15" s="166"/>
      <c r="O15" s="168" t="s">
        <v>319</v>
      </c>
      <c r="P15" s="169" t="s">
        <v>332</v>
      </c>
      <c r="R15" s="171"/>
      <c r="S15" s="172"/>
    </row>
    <row r="16" spans="1:21" hidden="1" outlineLevel="2" x14ac:dyDescent="0.25">
      <c r="B16" s="174" t="s">
        <v>344</v>
      </c>
      <c r="C16" s="175" t="s">
        <v>64</v>
      </c>
      <c r="O16" s="176">
        <f>Daten_ALLG!$D$4+O94*Daten_ALLG!$F$4</f>
        <v>15.786921214379776</v>
      </c>
      <c r="P16" s="177">
        <f>Daten_ALLG!$D$4+P94*Daten_ALLG!$F$4</f>
        <v>15.786921214379776</v>
      </c>
    </row>
    <row r="17" spans="1:19" hidden="1" outlineLevel="2" x14ac:dyDescent="0.25">
      <c r="B17" s="174" t="s">
        <v>341</v>
      </c>
      <c r="C17" s="175" t="s">
        <v>64</v>
      </c>
      <c r="O17" s="176">
        <f>Daten_ALLG!$D$12+Daten_ALLG!$F$12*O16</f>
        <v>6.7708262998463509</v>
      </c>
      <c r="P17" s="177">
        <f>Daten_ALLG!$D$12+Daten_ALLG!$F$12*P16</f>
        <v>6.7708262998463509</v>
      </c>
    </row>
    <row r="18" spans="1:19" hidden="1" outlineLevel="2" x14ac:dyDescent="0.25">
      <c r="B18" s="174" t="s">
        <v>343</v>
      </c>
      <c r="C18" s="175" t="s">
        <v>160</v>
      </c>
      <c r="O18" s="180">
        <f>Daten_ALLG!$D$11+Daten_ALLG!$F$11*O16</f>
        <v>279.90200728167667</v>
      </c>
      <c r="P18" s="181">
        <f>Daten_ALLG!$D$11+Daten_ALLG!$F$11*P16</f>
        <v>279.90200728167667</v>
      </c>
    </row>
    <row r="19" spans="1:19" hidden="1" outlineLevel="2" x14ac:dyDescent="0.25">
      <c r="B19" s="174" t="s">
        <v>346</v>
      </c>
      <c r="C19" s="175" t="s">
        <v>622</v>
      </c>
      <c r="D19" s="173" t="s">
        <v>807</v>
      </c>
      <c r="O19" s="182">
        <f>(O16-O17)*O18*24/1000</f>
        <v>60.566953546080548</v>
      </c>
      <c r="P19" s="183">
        <f>(P16-P17)*P18*24/1000</f>
        <v>60.566953546080548</v>
      </c>
    </row>
    <row r="20" spans="1:19" s="162" customFormat="1" hidden="1" outlineLevel="2" x14ac:dyDescent="0.25">
      <c r="B20" s="163" t="s">
        <v>345</v>
      </c>
      <c r="O20" s="164"/>
      <c r="P20" s="165"/>
      <c r="R20" s="164"/>
      <c r="S20" s="165"/>
    </row>
    <row r="21" spans="1:19" s="170" customFormat="1" hidden="1" outlineLevel="2" x14ac:dyDescent="0.25">
      <c r="A21" s="166"/>
      <c r="B21" s="167"/>
      <c r="C21" s="166"/>
      <c r="D21" s="166"/>
      <c r="E21" s="166"/>
      <c r="F21" s="166"/>
      <c r="G21" s="166"/>
      <c r="H21" s="166"/>
      <c r="I21" s="166"/>
      <c r="J21" s="166"/>
      <c r="K21" s="166"/>
      <c r="L21" s="166"/>
      <c r="M21" s="166"/>
      <c r="N21" s="166"/>
      <c r="O21" s="168" t="s">
        <v>319</v>
      </c>
      <c r="P21" s="169" t="s">
        <v>332</v>
      </c>
      <c r="R21" s="171"/>
      <c r="S21" s="172"/>
    </row>
    <row r="22" spans="1:19" hidden="1" outlineLevel="2" x14ac:dyDescent="0.25">
      <c r="B22" s="174" t="s">
        <v>346</v>
      </c>
      <c r="C22" s="175" t="s">
        <v>58</v>
      </c>
      <c r="O22" s="180">
        <f>Daten_ALLG!$D$20+Daten_ALLG!$F$20*O16</f>
        <v>517.21527286278649</v>
      </c>
      <c r="P22" s="181">
        <f>Daten_ALLG!$D$20+Daten_ALLG!$F$20*P16</f>
        <v>517.21527286278649</v>
      </c>
    </row>
    <row r="23" spans="1:19" s="159" customFormat="1" ht="14.25" customHeight="1" collapsed="1" x14ac:dyDescent="0.25">
      <c r="A23" s="156" t="s">
        <v>350</v>
      </c>
      <c r="B23" s="157"/>
      <c r="C23" s="157"/>
      <c r="D23" s="158"/>
      <c r="O23" s="160"/>
      <c r="P23" s="161"/>
      <c r="R23" s="160"/>
      <c r="S23" s="161"/>
    </row>
    <row r="24" spans="1:19" s="162" customFormat="1" hidden="1" outlineLevel="2" x14ac:dyDescent="0.25">
      <c r="B24" s="163" t="s">
        <v>147</v>
      </c>
      <c r="O24" s="164"/>
      <c r="P24" s="165"/>
      <c r="R24" s="164"/>
      <c r="S24" s="165"/>
    </row>
    <row r="25" spans="1:19" s="170" customFormat="1" hidden="1" outlineLevel="2" x14ac:dyDescent="0.25">
      <c r="A25" s="166"/>
      <c r="B25" s="167"/>
      <c r="C25" s="166"/>
      <c r="D25" s="166"/>
      <c r="E25" s="166"/>
      <c r="F25" s="166"/>
      <c r="G25" s="166"/>
      <c r="H25" s="166"/>
      <c r="I25" s="166"/>
      <c r="J25" s="166"/>
      <c r="K25" s="166"/>
      <c r="L25" s="166"/>
      <c r="M25" s="166"/>
      <c r="N25" s="166"/>
      <c r="O25" s="168" t="s">
        <v>319</v>
      </c>
      <c r="P25" s="169" t="s">
        <v>332</v>
      </c>
      <c r="R25" s="171"/>
      <c r="S25" s="172"/>
    </row>
    <row r="26" spans="1:19" hidden="1" outlineLevel="2" x14ac:dyDescent="0.25">
      <c r="B26" s="174" t="s">
        <v>347</v>
      </c>
      <c r="C26" s="175" t="s">
        <v>64</v>
      </c>
      <c r="O26" s="176">
        <f>Daten_ALLG!$D$27-Daten_EZFH!$D$5^Daten_ALLG!$F$28*O94^Daten_ALLG!$H$28*Daten_ALLG!$J$28</f>
        <v>18.964220818005579</v>
      </c>
      <c r="P26" s="177">
        <f>Daten_ALLG!$D$27-Daten_EZFH!$D$5^Daten_ALLG!$F$28*P94^Daten_ALLG!$H$28*Daten_ALLG!$J$28</f>
        <v>18.964220818005579</v>
      </c>
    </row>
    <row r="27" spans="1:19" s="162" customFormat="1" hidden="1" outlineLevel="2" x14ac:dyDescent="0.25">
      <c r="B27" s="163" t="s">
        <v>74</v>
      </c>
      <c r="O27" s="164"/>
      <c r="P27" s="165"/>
      <c r="R27" s="164"/>
      <c r="S27" s="165"/>
    </row>
    <row r="28" spans="1:19" s="170" customFormat="1" hidden="1" outlineLevel="2" x14ac:dyDescent="0.25">
      <c r="A28" s="166"/>
      <c r="B28" s="167"/>
      <c r="C28" s="166"/>
      <c r="D28" s="166"/>
      <c r="E28" s="166"/>
      <c r="F28" s="166"/>
      <c r="G28" s="166"/>
      <c r="H28" s="166"/>
      <c r="I28" s="166"/>
      <c r="J28" s="166"/>
      <c r="K28" s="166"/>
      <c r="L28" s="166"/>
      <c r="M28" s="166"/>
      <c r="N28" s="166"/>
      <c r="O28" s="168" t="s">
        <v>319</v>
      </c>
      <c r="P28" s="169" t="s">
        <v>332</v>
      </c>
      <c r="R28" s="171"/>
      <c r="S28" s="172"/>
    </row>
    <row r="29" spans="1:19" hidden="1" outlineLevel="2" x14ac:dyDescent="0.25">
      <c r="B29" s="174" t="s">
        <v>351</v>
      </c>
      <c r="C29" s="175" t="s">
        <v>352</v>
      </c>
      <c r="D29" s="184">
        <f>Daten_ALLG!$D$46</f>
        <v>563.89231042842107</v>
      </c>
    </row>
    <row r="30" spans="1:19" hidden="1" outlineLevel="2" x14ac:dyDescent="0.25">
      <c r="B30" s="174" t="s">
        <v>468</v>
      </c>
      <c r="C30" s="185" t="s">
        <v>348</v>
      </c>
      <c r="O30" s="180">
        <f>D29*Daten_EZFH!$D$6</f>
        <v>1546.8855777178603</v>
      </c>
      <c r="P30" s="181">
        <f>O30</f>
        <v>1546.8855777178603</v>
      </c>
    </row>
    <row r="31" spans="1:19" s="162" customFormat="1" hidden="1" outlineLevel="2" x14ac:dyDescent="0.25">
      <c r="B31" s="163" t="s">
        <v>353</v>
      </c>
      <c r="O31" s="164"/>
      <c r="P31" s="165"/>
      <c r="R31" s="164"/>
      <c r="S31" s="165"/>
    </row>
    <row r="32" spans="1:19" s="170" customFormat="1" hidden="1" outlineLevel="2" x14ac:dyDescent="0.25">
      <c r="A32" s="166"/>
      <c r="B32" s="167"/>
      <c r="C32" s="166"/>
      <c r="D32" s="166" t="s">
        <v>389</v>
      </c>
      <c r="E32" s="166" t="s">
        <v>12</v>
      </c>
      <c r="F32" s="166" t="s">
        <v>24</v>
      </c>
      <c r="G32" s="166"/>
      <c r="H32" s="166"/>
      <c r="J32" s="166"/>
      <c r="K32" s="166"/>
      <c r="L32" s="166"/>
      <c r="M32" s="166"/>
      <c r="N32" s="166"/>
      <c r="O32" s="168" t="s">
        <v>319</v>
      </c>
      <c r="P32" s="169" t="s">
        <v>332</v>
      </c>
      <c r="R32" s="171"/>
      <c r="S32" s="172"/>
    </row>
    <row r="33" spans="1:19" hidden="1" outlineLevel="2" x14ac:dyDescent="0.25">
      <c r="B33" s="174" t="s">
        <v>354</v>
      </c>
      <c r="C33" s="175" t="s">
        <v>355</v>
      </c>
      <c r="D33" s="186">
        <f>E34*E33+F33*F34</f>
        <v>1.2477223793191872</v>
      </c>
      <c r="E33" s="187">
        <v>0</v>
      </c>
      <c r="F33" s="187">
        <f>Daten_ALLG!$D$162*D80*Daten_EZFH!$D$20</f>
        <v>41.590745977306241</v>
      </c>
      <c r="G33" s="188"/>
      <c r="H33" s="188"/>
      <c r="J33" s="188"/>
      <c r="K33" s="188"/>
      <c r="L33" s="188"/>
      <c r="M33" s="188"/>
      <c r="N33" s="188"/>
      <c r="O33" s="189">
        <f>O89</f>
        <v>1.2477223793191872</v>
      </c>
      <c r="P33" s="190">
        <f>P89</f>
        <v>1.2477223793191872</v>
      </c>
    </row>
    <row r="34" spans="1:19" hidden="1" outlineLevel="2" x14ac:dyDescent="0.25">
      <c r="B34" s="174" t="s">
        <v>157</v>
      </c>
      <c r="C34" s="185" t="s">
        <v>13</v>
      </c>
      <c r="E34" s="191">
        <f>1-F34</f>
        <v>0.97</v>
      </c>
      <c r="F34" s="191">
        <f>Daten_EZFH!$D$112</f>
        <v>0.03</v>
      </c>
      <c r="G34" s="192"/>
      <c r="H34" s="192"/>
      <c r="J34" s="192"/>
      <c r="K34" s="192"/>
      <c r="L34" s="192"/>
      <c r="M34" s="192"/>
      <c r="N34" s="192"/>
    </row>
    <row r="35" spans="1:19" hidden="1" outlineLevel="2" x14ac:dyDescent="0.25">
      <c r="B35" s="174" t="s">
        <v>356</v>
      </c>
      <c r="C35" s="185" t="s">
        <v>348</v>
      </c>
      <c r="O35" s="193">
        <f>O33*O18*24/1000</f>
        <v>8.3817599640410432</v>
      </c>
      <c r="P35" s="194">
        <f>P33*P18*24/1000</f>
        <v>8.3817599640410432</v>
      </c>
    </row>
    <row r="36" spans="1:19" hidden="1" outlineLevel="2" x14ac:dyDescent="0.25">
      <c r="B36" s="174" t="s">
        <v>357</v>
      </c>
      <c r="C36" s="175" t="s">
        <v>352</v>
      </c>
      <c r="D36" s="184">
        <f>Daten_ALLG!$D$50</f>
        <v>1250</v>
      </c>
    </row>
    <row r="37" spans="1:19" hidden="1" outlineLevel="2" x14ac:dyDescent="0.25">
      <c r="B37" s="174" t="s">
        <v>476</v>
      </c>
      <c r="C37" s="185" t="s">
        <v>348</v>
      </c>
      <c r="O37" s="180">
        <f>D36*Daten_EZFH!$D$6+O35</f>
        <v>3437.4176527894888</v>
      </c>
      <c r="P37" s="181">
        <f>D36*Daten_EZFH!$D$6+P35</f>
        <v>3437.4176527894888</v>
      </c>
    </row>
    <row r="38" spans="1:19" s="159" customFormat="1" ht="14.25" customHeight="1" thickBot="1" x14ac:dyDescent="0.3">
      <c r="A38" s="156" t="s">
        <v>337</v>
      </c>
      <c r="B38" s="157"/>
      <c r="C38" s="157"/>
      <c r="D38" s="158"/>
      <c r="O38" s="160"/>
      <c r="P38" s="161"/>
      <c r="R38" s="160"/>
      <c r="S38" s="161"/>
    </row>
    <row r="39" spans="1:19" s="162" customFormat="1" ht="15.75" outlineLevel="1" thickBot="1" x14ac:dyDescent="0.3">
      <c r="A39" s="335" t="str">
        <f>IF(Bil_EZFH_mQS!A39="","",Bil_EZFH_mQS!A39)</f>
        <v/>
      </c>
      <c r="B39" s="163" t="s">
        <v>16</v>
      </c>
      <c r="D39" s="335" t="str">
        <f>IF(Bil_EZFH_mQS!D39="","",Bil_EZFH_mQS!D39)</f>
        <v/>
      </c>
      <c r="E39" s="335" t="str">
        <f>IF(Bil_EZFH_mQS!E39="","",Bil_EZFH_mQS!E39)</f>
        <v/>
      </c>
      <c r="F39" s="335" t="str">
        <f>IF(Bil_EZFH_mQS!F39="","",Bil_EZFH_mQS!F39)</f>
        <v/>
      </c>
      <c r="G39" s="335" t="str">
        <f>IF(Bil_EZFH_mQS!G39="","",Bil_EZFH_mQS!G39)</f>
        <v/>
      </c>
      <c r="H39" s="335" t="str">
        <f>IF(Bil_EZFH_mQS!H39="","",Bil_EZFH_mQS!H39)</f>
        <v/>
      </c>
      <c r="O39" s="164"/>
      <c r="P39" s="165"/>
      <c r="R39" s="164" t="s">
        <v>457</v>
      </c>
      <c r="S39" s="165"/>
    </row>
    <row r="40" spans="1:19" s="170" customFormat="1" ht="15.75" outlineLevel="1" collapsed="1" thickBot="1" x14ac:dyDescent="0.3">
      <c r="A40" s="166"/>
      <c r="B40" s="167"/>
      <c r="C40" s="166"/>
      <c r="D40" s="166" t="s">
        <v>389</v>
      </c>
      <c r="E40" s="166" t="s">
        <v>143</v>
      </c>
      <c r="F40" s="166" t="s">
        <v>65</v>
      </c>
      <c r="G40" s="166" t="s">
        <v>142</v>
      </c>
      <c r="H40" s="166" t="s">
        <v>308</v>
      </c>
      <c r="J40" s="166"/>
      <c r="K40" s="166"/>
      <c r="L40" s="166"/>
      <c r="M40" s="166"/>
      <c r="N40" s="166"/>
      <c r="O40" s="168" t="s">
        <v>319</v>
      </c>
      <c r="P40" s="169" t="s">
        <v>332</v>
      </c>
      <c r="R40" s="171" t="s">
        <v>313</v>
      </c>
      <c r="S40" s="172" t="s">
        <v>456</v>
      </c>
    </row>
    <row r="41" spans="1:19" s="195" customFormat="1" ht="15.75" hidden="1" outlineLevel="2" thickBot="1" x14ac:dyDescent="0.3">
      <c r="B41" s="196" t="s">
        <v>311</v>
      </c>
      <c r="C41" s="175" t="s">
        <v>63</v>
      </c>
      <c r="D41" s="186">
        <f>Daten_EZFH!$G$34</f>
        <v>0.67627540798774222</v>
      </c>
      <c r="E41" s="186">
        <f>Daten_EZFH!$D$33</f>
        <v>1</v>
      </c>
      <c r="F41" s="186">
        <f>Daten_EZFH!$D$32</f>
        <v>0.6</v>
      </c>
      <c r="G41" s="186">
        <f>Daten_EZFH!$D$31</f>
        <v>0.3146373024574563</v>
      </c>
      <c r="H41" s="186">
        <f>Daten_EZFH!$D$30</f>
        <v>0.15</v>
      </c>
      <c r="J41" s="197"/>
      <c r="K41" s="197"/>
      <c r="L41" s="197"/>
      <c r="M41" s="197"/>
      <c r="N41" s="197"/>
      <c r="O41" s="198">
        <f>IF($A39&lt;&gt;"",IF($D39="V",$D41,IF($E39="V",$E41,IF($F39="V",$F41,IF($G39="V",$G41,IF($H39="V",$H41,""))))),$D41)</f>
        <v>0.67627540798774222</v>
      </c>
      <c r="P41" s="199">
        <f>IF($A39&lt;&gt;"",IF($D39="N",$D41,IF($E39="N",$E41,IF($F39="N",$F41,IF($G39="N",$G41,IF($H39="N",$H41,O41))))),$D41)</f>
        <v>0.67627540798774222</v>
      </c>
      <c r="Q41" s="175" t="s">
        <v>317</v>
      </c>
      <c r="R41" s="200">
        <f>ROUND((1/P41-1/O41)*Daten_ALLG!$D$63,2)*100</f>
        <v>0</v>
      </c>
      <c r="S41" s="201"/>
    </row>
    <row r="42" spans="1:19" ht="15.75" hidden="1" outlineLevel="2" thickBot="1" x14ac:dyDescent="0.3">
      <c r="B42" s="174" t="s">
        <v>312</v>
      </c>
      <c r="C42" s="175" t="s">
        <v>50</v>
      </c>
      <c r="D42" s="202">
        <f>Daten_EZFH!$D$24</f>
        <v>145.32586656432701</v>
      </c>
      <c r="Q42" s="185" t="s">
        <v>50</v>
      </c>
      <c r="R42" s="200">
        <f>IF(A39="",0,D42)</f>
        <v>0</v>
      </c>
      <c r="S42" s="203">
        <f>R42</f>
        <v>0</v>
      </c>
    </row>
    <row r="43" spans="1:19" ht="15.75" hidden="1" outlineLevel="2" thickBot="1" x14ac:dyDescent="0.3">
      <c r="B43" s="174" t="s">
        <v>310</v>
      </c>
      <c r="C43" s="175" t="s">
        <v>207</v>
      </c>
      <c r="O43" s="176">
        <f>O41*D42</f>
        <v>98.280309701962437</v>
      </c>
      <c r="P43" s="177">
        <f>P41*D42</f>
        <v>98.280309701962437</v>
      </c>
    </row>
    <row r="44" spans="1:19" s="162" customFormat="1" ht="15.75" outlineLevel="1" thickBot="1" x14ac:dyDescent="0.3">
      <c r="A44" s="335" t="str">
        <f>IF(Bil_EZFH_mQS!A44="","",Bil_EZFH_mQS!A44)</f>
        <v/>
      </c>
      <c r="B44" s="163" t="s">
        <v>104</v>
      </c>
      <c r="D44" s="335" t="str">
        <f>IF(Bil_EZFH_mQS!D44="","",Bil_EZFH_mQS!D44)</f>
        <v/>
      </c>
      <c r="E44" s="335" t="str">
        <f>IF(Bil_EZFH_mQS!E44="","",Bil_EZFH_mQS!E44)</f>
        <v/>
      </c>
      <c r="F44" s="335" t="str">
        <f>IF(Bil_EZFH_mQS!F44="","",Bil_EZFH_mQS!F44)</f>
        <v/>
      </c>
      <c r="G44" s="335" t="str">
        <f>IF(Bil_EZFH_mQS!G44="","",Bil_EZFH_mQS!G44)</f>
        <v/>
      </c>
      <c r="H44" s="335" t="str">
        <f>IF(Bil_EZFH_mQS!H44="","",Bil_EZFH_mQS!H44)</f>
        <v/>
      </c>
      <c r="O44" s="164"/>
      <c r="P44" s="165"/>
      <c r="R44" s="164" t="s">
        <v>457</v>
      </c>
      <c r="S44" s="165"/>
    </row>
    <row r="45" spans="1:19" s="170" customFormat="1" ht="15.75" outlineLevel="1" collapsed="1" thickBot="1" x14ac:dyDescent="0.3">
      <c r="A45" s="166"/>
      <c r="B45" s="167"/>
      <c r="C45" s="166"/>
      <c r="D45" s="166" t="s">
        <v>389</v>
      </c>
      <c r="E45" s="166" t="s">
        <v>143</v>
      </c>
      <c r="F45" s="166" t="s">
        <v>65</v>
      </c>
      <c r="G45" s="166" t="s">
        <v>142</v>
      </c>
      <c r="H45" s="166" t="s">
        <v>308</v>
      </c>
      <c r="J45" s="166"/>
      <c r="K45" s="166"/>
      <c r="L45" s="166"/>
      <c r="M45" s="166"/>
      <c r="N45" s="166"/>
      <c r="O45" s="168" t="s">
        <v>319</v>
      </c>
      <c r="P45" s="169" t="s">
        <v>332</v>
      </c>
      <c r="R45" s="171" t="s">
        <v>313</v>
      </c>
      <c r="S45" s="172" t="s">
        <v>456</v>
      </c>
    </row>
    <row r="46" spans="1:19" s="195" customFormat="1" ht="15.75" hidden="1" outlineLevel="2" thickBot="1" x14ac:dyDescent="0.3">
      <c r="B46" s="196" t="s">
        <v>311</v>
      </c>
      <c r="C46" s="175" t="s">
        <v>63</v>
      </c>
      <c r="D46" s="186">
        <f>Daten_EZFH!$G$41</f>
        <v>0.48884591980735126</v>
      </c>
      <c r="E46" s="186">
        <f>Daten_EZFH!$D$40</f>
        <v>1</v>
      </c>
      <c r="F46" s="186">
        <f>Daten_EZFH!$D$39</f>
        <v>0.44</v>
      </c>
      <c r="G46" s="186">
        <f>Daten_EZFH!$D$38</f>
        <v>0.2567429695042075</v>
      </c>
      <c r="H46" s="186">
        <f>Daten_EZFH!$D$37</f>
        <v>0.15</v>
      </c>
      <c r="J46" s="197"/>
      <c r="K46" s="197"/>
      <c r="L46" s="197"/>
      <c r="M46" s="197"/>
      <c r="N46" s="197"/>
      <c r="O46" s="198">
        <f>IF($A44&lt;&gt;"",IF($D44="V",$D46,IF($E44="V",$E46,IF($F44="V",$F46,IF($G44="V",$G46,IF($H44="V",$H46,""))))),$D46)</f>
        <v>0.48884591980735126</v>
      </c>
      <c r="P46" s="199">
        <f>IF($A44&lt;&gt;"",IF($D44="N",$D46,IF($E44="N",$E46,IF($F44="N",$F46,IF($G44="N",$G46,IF($H44="N",$H46,O46))))),$D46)</f>
        <v>0.48884591980735126</v>
      </c>
      <c r="Q46" s="175" t="s">
        <v>317</v>
      </c>
      <c r="R46" s="200">
        <f>ROUND((1/P46-1/O46)*Daten_ALLG!$D$63,2)*100</f>
        <v>0</v>
      </c>
      <c r="S46" s="201"/>
    </row>
    <row r="47" spans="1:19" ht="15.75" hidden="1" outlineLevel="2" thickBot="1" x14ac:dyDescent="0.3">
      <c r="B47" s="174" t="s">
        <v>312</v>
      </c>
      <c r="C47" s="175" t="s">
        <v>50</v>
      </c>
      <c r="D47" s="202">
        <f>Daten_EZFH!$D$25</f>
        <v>108.16866487968329</v>
      </c>
      <c r="Q47" s="185" t="s">
        <v>50</v>
      </c>
      <c r="R47" s="200">
        <f>IF(A44="",0,D47)</f>
        <v>0</v>
      </c>
      <c r="S47" s="203">
        <f>R47</f>
        <v>0</v>
      </c>
    </row>
    <row r="48" spans="1:19" ht="15.75" hidden="1" outlineLevel="2" thickBot="1" x14ac:dyDescent="0.3">
      <c r="B48" s="174" t="s">
        <v>318</v>
      </c>
      <c r="C48" s="175"/>
      <c r="D48" s="202">
        <f>Daten_ALLG!$D$67</f>
        <v>0.9</v>
      </c>
    </row>
    <row r="49" spans="1:19" ht="15.75" hidden="1" outlineLevel="2" thickBot="1" x14ac:dyDescent="0.3">
      <c r="B49" s="174" t="s">
        <v>310</v>
      </c>
      <c r="C49" s="175" t="s">
        <v>207</v>
      </c>
      <c r="O49" s="176">
        <f>O46*D47</f>
        <v>52.877810477441912</v>
      </c>
      <c r="P49" s="177">
        <f>P46*D47</f>
        <v>52.877810477441912</v>
      </c>
    </row>
    <row r="50" spans="1:19" s="162" customFormat="1" ht="15.75" outlineLevel="1" thickBot="1" x14ac:dyDescent="0.3">
      <c r="A50" s="335" t="str">
        <f>IF(Bil_EZFH_mQS!A50="","",Bil_EZFH_mQS!A50)</f>
        <v/>
      </c>
      <c r="B50" s="163" t="s">
        <v>105</v>
      </c>
      <c r="D50" s="335" t="str">
        <f>IF(Bil_EZFH_mQS!D50="","",Bil_EZFH_mQS!D50)</f>
        <v/>
      </c>
      <c r="E50" s="335" t="str">
        <f>IF(Bil_EZFH_mQS!E50="","",Bil_EZFH_mQS!E50)</f>
        <v/>
      </c>
      <c r="F50" s="335" t="str">
        <f>IF(Bil_EZFH_mQS!F50="","",Bil_EZFH_mQS!F50)</f>
        <v/>
      </c>
      <c r="G50" s="335" t="str">
        <f>IF(Bil_EZFH_mQS!G50="","",Bil_EZFH_mQS!G50)</f>
        <v/>
      </c>
      <c r="H50" s="335" t="str">
        <f>IF(Bil_EZFH_mQS!H50="","",Bil_EZFH_mQS!H50)</f>
        <v/>
      </c>
      <c r="O50" s="164"/>
      <c r="P50" s="165"/>
      <c r="R50" s="164" t="s">
        <v>457</v>
      </c>
      <c r="S50" s="165"/>
    </row>
    <row r="51" spans="1:19" s="170" customFormat="1" ht="15.75" outlineLevel="1" collapsed="1" thickBot="1" x14ac:dyDescent="0.3">
      <c r="A51" s="166"/>
      <c r="B51" s="167"/>
      <c r="C51" s="166"/>
      <c r="D51" s="166" t="s">
        <v>389</v>
      </c>
      <c r="E51" s="166" t="s">
        <v>143</v>
      </c>
      <c r="F51" s="166" t="s">
        <v>65</v>
      </c>
      <c r="G51" s="166" t="s">
        <v>142</v>
      </c>
      <c r="H51" s="166" t="s">
        <v>308</v>
      </c>
      <c r="J51" s="166"/>
      <c r="K51" s="166"/>
      <c r="L51" s="166"/>
      <c r="M51" s="166"/>
      <c r="N51" s="166"/>
      <c r="O51" s="168" t="s">
        <v>319</v>
      </c>
      <c r="P51" s="169" t="s">
        <v>332</v>
      </c>
      <c r="R51" s="171" t="s">
        <v>313</v>
      </c>
      <c r="S51" s="172" t="s">
        <v>456</v>
      </c>
    </row>
    <row r="52" spans="1:19" s="195" customFormat="1" ht="15.75" hidden="1" outlineLevel="2" thickBot="1" x14ac:dyDescent="0.3">
      <c r="B52" s="196" t="s">
        <v>311</v>
      </c>
      <c r="C52" s="175" t="s">
        <v>63</v>
      </c>
      <c r="D52" s="186">
        <f>Daten_EZFH!$G$48</f>
        <v>0.75868677922754513</v>
      </c>
      <c r="E52" s="186">
        <f>Daten_EZFH!$D$47</f>
        <v>1</v>
      </c>
      <c r="F52" s="186">
        <f>Daten_EZFH!$D$46</f>
        <v>0.68</v>
      </c>
      <c r="G52" s="186">
        <f>Daten_EZFH!$D$45</f>
        <v>0.38362421952148795</v>
      </c>
      <c r="H52" s="186">
        <f>Daten_EZFH!$D$44</f>
        <v>0.2</v>
      </c>
      <c r="J52" s="197"/>
      <c r="K52" s="197"/>
      <c r="L52" s="197"/>
      <c r="M52" s="197"/>
      <c r="N52" s="197"/>
      <c r="O52" s="198">
        <f>IF($A50&lt;&gt;"",IF($D50="V",$D52,IF($E50="V",$E52,IF($F50="V",$F52,IF($G50="V",$G52,IF($H50="V",$H52,""))))),$D52)</f>
        <v>0.75868677922754513</v>
      </c>
      <c r="P52" s="199">
        <f>IF($A50&lt;&gt;"",IF($D50="N",$D52,IF($E50="N",$E52,IF($F50="N",$F52,IF($G50="N",$G52,IF($H50="N",$H52,O52))))),$D52)</f>
        <v>0.75868677922754513</v>
      </c>
      <c r="Q52" s="175" t="s">
        <v>317</v>
      </c>
      <c r="R52" s="200">
        <f>ROUND((1/P52-1/O52)*Daten_ALLG!$D$63,2)*100</f>
        <v>0</v>
      </c>
      <c r="S52" s="201"/>
    </row>
    <row r="53" spans="1:19" ht="15.75" hidden="1" outlineLevel="2" thickBot="1" x14ac:dyDescent="0.3">
      <c r="B53" s="174" t="s">
        <v>312</v>
      </c>
      <c r="C53" s="175" t="s">
        <v>50</v>
      </c>
      <c r="D53" s="202">
        <f>Daten_EZFH!$D$26</f>
        <v>88.708836517901815</v>
      </c>
      <c r="Q53" s="185" t="s">
        <v>50</v>
      </c>
      <c r="R53" s="200">
        <f>IF(A50="",0,D53)</f>
        <v>0</v>
      </c>
      <c r="S53" s="203">
        <f>R53</f>
        <v>0</v>
      </c>
    </row>
    <row r="54" spans="1:19" ht="15.75" hidden="1" outlineLevel="2" thickBot="1" x14ac:dyDescent="0.3">
      <c r="B54" s="174" t="s">
        <v>318</v>
      </c>
      <c r="C54" s="175"/>
      <c r="D54" s="202">
        <f>Daten_ALLG!$D$66</f>
        <v>0.5</v>
      </c>
    </row>
    <row r="55" spans="1:19" ht="15.75" hidden="1" outlineLevel="2" thickBot="1" x14ac:dyDescent="0.3">
      <c r="B55" s="174" t="s">
        <v>310</v>
      </c>
      <c r="C55" s="175" t="s">
        <v>207</v>
      </c>
      <c r="O55" s="176">
        <f>O52*D53*D54</f>
        <v>33.651110733394887</v>
      </c>
      <c r="P55" s="177">
        <f>P52*D53*D54</f>
        <v>33.651110733394887</v>
      </c>
    </row>
    <row r="56" spans="1:19" s="162" customFormat="1" ht="15.75" outlineLevel="1" thickBot="1" x14ac:dyDescent="0.3">
      <c r="A56" s="335" t="str">
        <f>IF(Bil_EZFH_mQS!A56="","",Bil_EZFH_mQS!A56)</f>
        <v/>
      </c>
      <c r="B56" s="163" t="s">
        <v>12</v>
      </c>
      <c r="D56" s="335" t="str">
        <f>IF(Bil_EZFH_mQS!D56="","",Bil_EZFH_mQS!D56)</f>
        <v/>
      </c>
      <c r="E56" s="335" t="str">
        <f>IF(Bil_EZFH_mQS!E56="","",Bil_EZFH_mQS!E56)</f>
        <v/>
      </c>
      <c r="F56" s="335" t="str">
        <f>IF(Bil_EZFH_mQS!F56="","",Bil_EZFH_mQS!F56)</f>
        <v/>
      </c>
      <c r="G56" s="335" t="str">
        <f>IF(Bil_EZFH_mQS!G56="","",Bil_EZFH_mQS!G56)</f>
        <v/>
      </c>
      <c r="H56" s="335" t="str">
        <f>IF(Bil_EZFH_mQS!H56="","",Bil_EZFH_mQS!H56)</f>
        <v/>
      </c>
      <c r="O56" s="164"/>
      <c r="P56" s="165"/>
      <c r="R56" s="164" t="s">
        <v>457</v>
      </c>
      <c r="S56" s="165"/>
    </row>
    <row r="57" spans="1:19" s="170" customFormat="1" outlineLevel="1" collapsed="1" x14ac:dyDescent="0.25">
      <c r="A57" s="166"/>
      <c r="B57" s="167"/>
      <c r="C57" s="166"/>
      <c r="D57" s="166" t="s">
        <v>389</v>
      </c>
      <c r="E57" s="166" t="s">
        <v>143</v>
      </c>
      <c r="F57" s="166" t="s">
        <v>65</v>
      </c>
      <c r="G57" s="166" t="s">
        <v>142</v>
      </c>
      <c r="H57" s="166" t="s">
        <v>308</v>
      </c>
      <c r="J57" s="166"/>
      <c r="K57" s="166"/>
      <c r="L57" s="166"/>
      <c r="M57" s="166"/>
      <c r="N57" s="166"/>
      <c r="O57" s="168" t="s">
        <v>319</v>
      </c>
      <c r="P57" s="169" t="s">
        <v>332</v>
      </c>
      <c r="R57" s="171" t="s">
        <v>333</v>
      </c>
      <c r="S57" s="172" t="s">
        <v>456</v>
      </c>
    </row>
    <row r="58" spans="1:19" s="195" customFormat="1" hidden="1" outlineLevel="2" x14ac:dyDescent="0.25">
      <c r="B58" s="196" t="s">
        <v>311</v>
      </c>
      <c r="C58" s="175" t="s">
        <v>63</v>
      </c>
      <c r="D58" s="186">
        <f>Daten_EZFH!$G$55</f>
        <v>2.1193732332155477</v>
      </c>
      <c r="E58" s="186">
        <f>Daten_EZFH!$D$54</f>
        <v>2.7</v>
      </c>
      <c r="F58" s="186">
        <f>Daten_EZFH!$D$53</f>
        <v>1.6</v>
      </c>
      <c r="G58" s="186">
        <f>Daten_EZFH!$D$52</f>
        <v>1.3</v>
      </c>
      <c r="H58" s="186">
        <f>Daten_EZFH!$D$51</f>
        <v>0.9</v>
      </c>
      <c r="J58" s="197"/>
      <c r="K58" s="197"/>
      <c r="L58" s="197"/>
      <c r="M58" s="197"/>
      <c r="N58" s="197"/>
      <c r="O58" s="198">
        <f>IF($A56&lt;&gt;"",IF($D56="V",$D58,IF($E56="V",$E58,IF($F56="V",$F58,IF($G56="V",$G58,IF($H56="V",$H58,""))))),$D58)</f>
        <v>2.1193732332155477</v>
      </c>
      <c r="P58" s="199">
        <f>IF($A56&lt;&gt;"",IF($D56="N",$D58,IF($E56="N",$E58,IF($F56="N",$F58,IF($G56="N",$G58,IF($H56="N",$H58,O58))))),$D58)</f>
        <v>2.1193732332155477</v>
      </c>
      <c r="R58" s="204"/>
      <c r="S58" s="201"/>
    </row>
    <row r="59" spans="1:19" hidden="1" outlineLevel="2" x14ac:dyDescent="0.25">
      <c r="B59" s="174" t="s">
        <v>312</v>
      </c>
      <c r="C59" s="175" t="s">
        <v>50</v>
      </c>
      <c r="D59" s="202">
        <f>Daten_EZFH!$D$27</f>
        <v>28.535386470415549</v>
      </c>
      <c r="Q59" s="185" t="s">
        <v>50</v>
      </c>
      <c r="R59" s="200">
        <f>IF(A56="",0,D59)</f>
        <v>0</v>
      </c>
      <c r="S59" s="203">
        <f>R59</f>
        <v>0</v>
      </c>
    </row>
    <row r="60" spans="1:19" hidden="1" outlineLevel="2" x14ac:dyDescent="0.25">
      <c r="B60" s="174" t="s">
        <v>310</v>
      </c>
      <c r="C60" s="175" t="s">
        <v>207</v>
      </c>
      <c r="O60" s="176">
        <f>O58*D59</f>
        <v>60.477134284859801</v>
      </c>
      <c r="P60" s="177">
        <f>P58*D59</f>
        <v>60.477134284859801</v>
      </c>
    </row>
    <row r="61" spans="1:19" s="162" customFormat="1" hidden="1" outlineLevel="2" x14ac:dyDescent="0.25">
      <c r="B61" s="163" t="s">
        <v>133</v>
      </c>
      <c r="O61" s="164"/>
      <c r="P61" s="165"/>
      <c r="R61" s="164"/>
      <c r="S61" s="165"/>
    </row>
    <row r="62" spans="1:19" s="170" customFormat="1" hidden="1" outlineLevel="2" x14ac:dyDescent="0.25">
      <c r="A62" s="166"/>
      <c r="B62" s="167"/>
      <c r="C62" s="166"/>
      <c r="D62" s="166"/>
      <c r="E62" s="166"/>
      <c r="F62" s="166"/>
      <c r="G62" s="166"/>
      <c r="H62" s="166"/>
      <c r="J62" s="166"/>
      <c r="K62" s="166"/>
      <c r="L62" s="166"/>
      <c r="M62" s="166"/>
      <c r="N62" s="166"/>
      <c r="O62" s="168" t="s">
        <v>319</v>
      </c>
      <c r="P62" s="169" t="s">
        <v>332</v>
      </c>
      <c r="R62" s="171"/>
      <c r="S62" s="172"/>
    </row>
    <row r="63" spans="1:19" hidden="1" outlineLevel="2" x14ac:dyDescent="0.25">
      <c r="B63" s="174" t="s">
        <v>312</v>
      </c>
      <c r="C63" s="175" t="s">
        <v>50</v>
      </c>
      <c r="O63" s="198">
        <f>P63</f>
        <v>370.73875443232771</v>
      </c>
      <c r="P63" s="199">
        <f>D42+D47+D53+D59</f>
        <v>370.73875443232771</v>
      </c>
    </row>
    <row r="64" spans="1:19" hidden="1" outlineLevel="2" x14ac:dyDescent="0.25">
      <c r="B64" s="174" t="s">
        <v>323</v>
      </c>
      <c r="C64" s="175" t="s">
        <v>63</v>
      </c>
      <c r="O64" s="198">
        <f>(O43+O49+O55+O60)/O63</f>
        <v>0.6616151191780304</v>
      </c>
      <c r="P64" s="199">
        <f>(P43+P49+P55+P60)/P63</f>
        <v>0.6616151191780304</v>
      </c>
    </row>
    <row r="65" spans="1:19" hidden="1" outlineLevel="2" x14ac:dyDescent="0.25">
      <c r="B65" s="174" t="s">
        <v>322</v>
      </c>
      <c r="C65" s="175" t="s">
        <v>63</v>
      </c>
      <c r="O65" s="205">
        <f>Daten_ALLG!$M$70*O64+Daten_ALLG!$M$72</f>
        <v>3.1919244041098478E-2</v>
      </c>
      <c r="P65" s="206">
        <f>Daten_ALLG!$M$70*P64+Daten_ALLG!$M$72</f>
        <v>3.1919244041098478E-2</v>
      </c>
    </row>
    <row r="66" spans="1:19" hidden="1" outlineLevel="2" x14ac:dyDescent="0.25">
      <c r="B66" s="174" t="s">
        <v>325</v>
      </c>
      <c r="C66" s="175" t="s">
        <v>207</v>
      </c>
      <c r="O66" s="176">
        <f>O65*O63</f>
        <v>11.833700778218349</v>
      </c>
      <c r="P66" s="177">
        <f>P65*P63</f>
        <v>11.833700778218349</v>
      </c>
    </row>
    <row r="67" spans="1:19" s="162" customFormat="1" hidden="1" outlineLevel="2" x14ac:dyDescent="0.25">
      <c r="B67" s="163" t="s">
        <v>324</v>
      </c>
      <c r="O67" s="164"/>
      <c r="P67" s="165"/>
      <c r="R67" s="164"/>
      <c r="S67" s="165"/>
    </row>
    <row r="68" spans="1:19" s="170" customFormat="1" hidden="1" outlineLevel="2" x14ac:dyDescent="0.25">
      <c r="A68" s="166"/>
      <c r="B68" s="167"/>
      <c r="C68" s="166"/>
      <c r="D68" s="166"/>
      <c r="E68" s="166"/>
      <c r="F68" s="166"/>
      <c r="G68" s="166"/>
      <c r="H68" s="166"/>
      <c r="J68" s="166"/>
      <c r="K68" s="166"/>
      <c r="L68" s="166"/>
      <c r="M68" s="166"/>
      <c r="N68" s="166"/>
      <c r="O68" s="168" t="s">
        <v>319</v>
      </c>
      <c r="P68" s="169" t="s">
        <v>332</v>
      </c>
      <c r="R68" s="171"/>
      <c r="S68" s="172"/>
    </row>
    <row r="69" spans="1:19" hidden="1" outlineLevel="2" x14ac:dyDescent="0.25">
      <c r="B69" s="174" t="s">
        <v>310</v>
      </c>
      <c r="C69" s="175" t="s">
        <v>207</v>
      </c>
      <c r="O69" s="176">
        <f>O43+O49+O55+O60+O66</f>
        <v>257.12006597587742</v>
      </c>
      <c r="P69" s="177">
        <f>P43+P49+P55+P60+P66</f>
        <v>257.12006597587742</v>
      </c>
    </row>
    <row r="70" spans="1:19" hidden="1" outlineLevel="2" x14ac:dyDescent="0.25">
      <c r="B70" s="174" t="s">
        <v>321</v>
      </c>
      <c r="C70" s="175" t="s">
        <v>63</v>
      </c>
      <c r="O70" s="198">
        <f>O69/O63</f>
        <v>0.69353436321912898</v>
      </c>
      <c r="P70" s="199">
        <f>P69/P63</f>
        <v>0.69353436321912898</v>
      </c>
    </row>
    <row r="71" spans="1:19" s="159" customFormat="1" ht="14.25" customHeight="1" thickBot="1" x14ac:dyDescent="0.3">
      <c r="A71" s="156" t="s">
        <v>53</v>
      </c>
      <c r="B71" s="157"/>
      <c r="C71" s="157"/>
      <c r="D71" s="158"/>
      <c r="O71" s="160"/>
      <c r="P71" s="161"/>
      <c r="R71" s="160"/>
      <c r="S71" s="161"/>
    </row>
    <row r="72" spans="1:19" s="162" customFormat="1" ht="15.75" hidden="1" outlineLevel="2" thickBot="1" x14ac:dyDescent="0.3">
      <c r="B72" s="163" t="s">
        <v>759</v>
      </c>
      <c r="O72" s="164"/>
      <c r="P72" s="165"/>
      <c r="R72" s="164"/>
      <c r="S72" s="165"/>
    </row>
    <row r="73" spans="1:19" s="170" customFormat="1" ht="15.75" hidden="1" outlineLevel="2" thickBot="1" x14ac:dyDescent="0.3">
      <c r="A73" s="166"/>
      <c r="B73" s="167"/>
      <c r="C73" s="166"/>
      <c r="D73" s="166"/>
      <c r="E73" s="166"/>
      <c r="F73" s="166"/>
      <c r="G73" s="166"/>
      <c r="H73" s="166"/>
      <c r="J73" s="166"/>
      <c r="K73" s="166"/>
      <c r="L73" s="166"/>
      <c r="M73" s="166"/>
      <c r="N73" s="166"/>
      <c r="O73" s="168"/>
      <c r="P73" s="169"/>
      <c r="R73" s="171"/>
      <c r="S73" s="172"/>
    </row>
    <row r="74" spans="1:19" ht="15.75" hidden="1" outlineLevel="2" thickBot="1" x14ac:dyDescent="0.3">
      <c r="B74" s="174" t="s">
        <v>327</v>
      </c>
      <c r="C74" s="175" t="s">
        <v>326</v>
      </c>
      <c r="D74" s="186">
        <f>Daten_EZFH!$D$6*Daten_ALLG!$M$33/Daten_EZFH!$D$20</f>
        <v>0.19375192923799395</v>
      </c>
    </row>
    <row r="75" spans="1:19" ht="15.75" hidden="1" outlineLevel="2" thickBot="1" x14ac:dyDescent="0.3">
      <c r="B75" s="174" t="s">
        <v>328</v>
      </c>
      <c r="C75" s="175" t="s">
        <v>326</v>
      </c>
      <c r="D75" s="186">
        <f>Daten_ALLG!$M$32</f>
        <v>0.2</v>
      </c>
    </row>
    <row r="76" spans="1:19" ht="15.75" hidden="1" outlineLevel="2" thickBot="1" x14ac:dyDescent="0.3">
      <c r="B76" s="174" t="s">
        <v>334</v>
      </c>
      <c r="C76" s="175" t="s">
        <v>326</v>
      </c>
      <c r="D76" s="202">
        <f>D74+D75</f>
        <v>0.39375192923799396</v>
      </c>
    </row>
    <row r="77" spans="1:19" ht="15.75" hidden="1" outlineLevel="2" thickBot="1" x14ac:dyDescent="0.3">
      <c r="B77" s="174" t="s">
        <v>157</v>
      </c>
      <c r="C77" s="175" t="s">
        <v>13</v>
      </c>
      <c r="D77" s="202">
        <f>1-Daten_EZFH!$D$112</f>
        <v>0.97</v>
      </c>
    </row>
    <row r="78" spans="1:19" s="162" customFormat="1" ht="15.75" hidden="1" outlineLevel="2" thickBot="1" x14ac:dyDescent="0.3">
      <c r="B78" s="163" t="s">
        <v>760</v>
      </c>
      <c r="O78" s="164"/>
      <c r="P78" s="165"/>
      <c r="R78" s="164"/>
      <c r="S78" s="165"/>
    </row>
    <row r="79" spans="1:19" s="170" customFormat="1" ht="15.75" hidden="1" outlineLevel="2" thickBot="1" x14ac:dyDescent="0.3">
      <c r="A79" s="166"/>
      <c r="B79" s="167"/>
      <c r="C79" s="166"/>
      <c r="D79" s="166"/>
      <c r="E79" s="166"/>
      <c r="F79" s="166"/>
      <c r="G79" s="166"/>
      <c r="H79" s="166"/>
      <c r="J79" s="166"/>
      <c r="K79" s="166"/>
      <c r="L79" s="166"/>
      <c r="M79" s="166"/>
      <c r="N79" s="166"/>
      <c r="O79" s="168"/>
      <c r="P79" s="169"/>
      <c r="R79" s="171"/>
      <c r="S79" s="172"/>
    </row>
    <row r="80" spans="1:19" ht="15.75" hidden="1" outlineLevel="2" thickBot="1" x14ac:dyDescent="0.3">
      <c r="B80" s="174" t="s">
        <v>330</v>
      </c>
      <c r="C80" s="175" t="s">
        <v>326</v>
      </c>
      <c r="D80" s="186">
        <f>D74+Daten_ALLG!$D$160</f>
        <v>0.29375192923799398</v>
      </c>
    </row>
    <row r="81" spans="1:19" ht="15.75" hidden="1" outlineLevel="2" thickBot="1" x14ac:dyDescent="0.3">
      <c r="B81" s="174" t="s">
        <v>331</v>
      </c>
      <c r="C81" s="175" t="s">
        <v>326</v>
      </c>
      <c r="D81" s="186">
        <f>D80*(1-Daten_ALLG!$D$161)</f>
        <v>4.4062789385699103E-2</v>
      </c>
    </row>
    <row r="82" spans="1:19" ht="15.75" hidden="1" outlineLevel="2" thickBot="1" x14ac:dyDescent="0.3">
      <c r="B82" s="174" t="s">
        <v>328</v>
      </c>
      <c r="C82" s="175" t="s">
        <v>326</v>
      </c>
      <c r="D82" s="186">
        <f>D75</f>
        <v>0.2</v>
      </c>
    </row>
    <row r="83" spans="1:19" ht="15.75" hidden="1" outlineLevel="2" thickBot="1" x14ac:dyDescent="0.3">
      <c r="B83" s="174" t="s">
        <v>334</v>
      </c>
      <c r="C83" s="175" t="s">
        <v>326</v>
      </c>
      <c r="D83" s="202">
        <f>D81+D82</f>
        <v>0.24406278938569911</v>
      </c>
    </row>
    <row r="84" spans="1:19" ht="15.75" hidden="1" outlineLevel="2" thickBot="1" x14ac:dyDescent="0.3">
      <c r="B84" s="174" t="s">
        <v>157</v>
      </c>
      <c r="C84" s="175" t="s">
        <v>13</v>
      </c>
      <c r="D84" s="323">
        <f>Daten_EZFH!$D$112</f>
        <v>0.03</v>
      </c>
    </row>
    <row r="85" spans="1:19" s="162" customFormat="1" ht="15.75" outlineLevel="1" thickBot="1" x14ac:dyDescent="0.3">
      <c r="A85" s="335" t="str">
        <f>IF(Bil_EZFH_mQS!A85="","",Bil_EZFH_mQS!A85)</f>
        <v/>
      </c>
      <c r="B85" s="163" t="s">
        <v>329</v>
      </c>
      <c r="D85" s="335" t="str">
        <f>IF(Bil_EZFH_mQS!D85="","",Bil_EZFH_mQS!D85)</f>
        <v/>
      </c>
      <c r="E85" s="335" t="str">
        <f>IF(Bil_EZFH_mQS!E85="","",Bil_EZFH_mQS!E85)</f>
        <v/>
      </c>
      <c r="F85" s="335" t="str">
        <f>IF(Bil_EZFH_mQS!F85="","",Bil_EZFH_mQS!F85)</f>
        <v/>
      </c>
      <c r="O85" s="164"/>
      <c r="P85" s="165"/>
      <c r="R85" s="164" t="s">
        <v>457</v>
      </c>
      <c r="S85" s="165"/>
    </row>
    <row r="86" spans="1:19" s="170" customFormat="1" outlineLevel="1" collapsed="1" x14ac:dyDescent="0.25">
      <c r="A86" s="166"/>
      <c r="B86" s="167"/>
      <c r="C86" s="166"/>
      <c r="D86" s="166" t="s">
        <v>389</v>
      </c>
      <c r="E86" s="166" t="s">
        <v>12</v>
      </c>
      <c r="F86" s="166" t="s">
        <v>24</v>
      </c>
      <c r="G86" s="166"/>
      <c r="H86" s="166"/>
      <c r="J86" s="166"/>
      <c r="K86" s="166"/>
      <c r="L86" s="166"/>
      <c r="M86" s="166"/>
      <c r="N86" s="166"/>
      <c r="O86" s="168" t="s">
        <v>319</v>
      </c>
      <c r="P86" s="169" t="s">
        <v>332</v>
      </c>
      <c r="R86" s="171" t="s">
        <v>95</v>
      </c>
      <c r="S86" s="172" t="s">
        <v>456</v>
      </c>
    </row>
    <row r="87" spans="1:19" hidden="1" outlineLevel="2" x14ac:dyDescent="0.25">
      <c r="B87" s="174" t="s">
        <v>334</v>
      </c>
      <c r="C87" s="175" t="s">
        <v>326</v>
      </c>
      <c r="D87" s="324">
        <f>D77*D76+D84*D83</f>
        <v>0.38926125504242515</v>
      </c>
      <c r="E87" s="324">
        <f>D76</f>
        <v>0.39375192923799396</v>
      </c>
      <c r="F87" s="324">
        <f>D83</f>
        <v>0.24406278938569911</v>
      </c>
      <c r="G87" s="197"/>
      <c r="H87" s="197"/>
      <c r="J87" s="197"/>
      <c r="K87" s="197"/>
      <c r="L87" s="197"/>
      <c r="M87" s="197"/>
      <c r="N87" s="197"/>
      <c r="O87" s="325">
        <f>IF($A85&lt;&gt;"",IF($D85="V",$D87,IF($E85="V",$E87,IF($F85="V",$F87,""))),$D87)</f>
        <v>0.38926125504242515</v>
      </c>
      <c r="P87" s="199">
        <f>IF($A85&lt;&gt;"",IF($D85="N",$D87,IF($E85="N",$E87,IF($F85="N",$F87,O87))),$D87)</f>
        <v>0.38926125504242515</v>
      </c>
      <c r="R87" s="204"/>
    </row>
    <row r="88" spans="1:19" hidden="1" outlineLevel="2" x14ac:dyDescent="0.25">
      <c r="B88" s="174" t="s">
        <v>336</v>
      </c>
      <c r="C88" s="175" t="s">
        <v>207</v>
      </c>
      <c r="O88" s="176">
        <f>O87*0.34*Daten_EZFH!$D$20</f>
        <v>46.846385371434366</v>
      </c>
      <c r="P88" s="177">
        <f>P87*0.34*Daten_EZFH!$D$20</f>
        <v>46.846385371434366</v>
      </c>
      <c r="Q88" s="185" t="s">
        <v>50</v>
      </c>
      <c r="R88" s="200">
        <f>IF(F85="N",Daten_EZFH!$D$16,0)</f>
        <v>0</v>
      </c>
    </row>
    <row r="89" spans="1:19" hidden="1" outlineLevel="2" x14ac:dyDescent="0.25">
      <c r="B89" s="174" t="s">
        <v>354</v>
      </c>
      <c r="C89" s="175" t="s">
        <v>355</v>
      </c>
      <c r="D89" s="207">
        <f>D77*E89+D84*F89</f>
        <v>1.2477223793191872</v>
      </c>
      <c r="E89" s="187">
        <v>0</v>
      </c>
      <c r="F89" s="187">
        <f>Daten_ALLG!$D$162*D80*Daten_EZFH!$D$20</f>
        <v>41.590745977306241</v>
      </c>
      <c r="G89" s="188"/>
      <c r="H89" s="188"/>
      <c r="J89" s="188"/>
      <c r="K89" s="188"/>
      <c r="L89" s="188"/>
      <c r="M89" s="188"/>
      <c r="N89" s="188"/>
      <c r="O89" s="189">
        <f>IF($A85&lt;&gt;"",IF($D85="V",$D89,IF($E85="V",$E89,IF($F85="V",$F89,""))),$D89)</f>
        <v>1.2477223793191872</v>
      </c>
      <c r="P89" s="190">
        <f>IF($A85&lt;&gt;"",IF($D85="N",$D89,IF($E85="N",$E89,IF($F85="N",$F89,O89))),$D89)</f>
        <v>1.2477223793191872</v>
      </c>
    </row>
    <row r="90" spans="1:19" s="159" customFormat="1" ht="14.25" customHeight="1" outlineLevel="1" collapsed="1" x14ac:dyDescent="0.25">
      <c r="A90" s="156" t="s">
        <v>559</v>
      </c>
      <c r="B90" s="157"/>
      <c r="C90" s="157"/>
      <c r="D90" s="158"/>
      <c r="O90" s="160"/>
      <c r="P90" s="161"/>
      <c r="R90" s="160"/>
      <c r="S90" s="161"/>
    </row>
    <row r="91" spans="1:19" s="162" customFormat="1" hidden="1" outlineLevel="2" x14ac:dyDescent="0.25">
      <c r="B91" s="163" t="s">
        <v>340</v>
      </c>
      <c r="O91" s="164"/>
      <c r="P91" s="165"/>
      <c r="R91" s="164"/>
      <c r="S91" s="165"/>
    </row>
    <row r="92" spans="1:19" s="170" customFormat="1" hidden="1" outlineLevel="2" x14ac:dyDescent="0.25">
      <c r="A92" s="166"/>
      <c r="B92" s="167"/>
      <c r="C92" s="166"/>
      <c r="D92" s="166"/>
      <c r="E92" s="166"/>
      <c r="F92" s="166"/>
      <c r="G92" s="166"/>
      <c r="H92" s="166"/>
      <c r="J92" s="166"/>
      <c r="K92" s="166"/>
      <c r="L92" s="166"/>
      <c r="M92" s="166"/>
      <c r="N92" s="166"/>
      <c r="O92" s="168" t="s">
        <v>319</v>
      </c>
      <c r="P92" s="169" t="s">
        <v>332</v>
      </c>
      <c r="R92" s="171"/>
      <c r="S92" s="172"/>
    </row>
    <row r="93" spans="1:19" hidden="1" outlineLevel="2" x14ac:dyDescent="0.25">
      <c r="B93" s="174" t="s">
        <v>338</v>
      </c>
      <c r="C93" s="185" t="s">
        <v>207</v>
      </c>
      <c r="O93" s="208">
        <f>O69+O88</f>
        <v>303.96645134731182</v>
      </c>
      <c r="P93" s="209">
        <f>P69+P88</f>
        <v>303.96645134731182</v>
      </c>
    </row>
    <row r="94" spans="1:19" hidden="1" outlineLevel="2" x14ac:dyDescent="0.25">
      <c r="B94" s="174" t="s">
        <v>339</v>
      </c>
      <c r="C94" s="185" t="s">
        <v>63</v>
      </c>
      <c r="O94" s="176">
        <f>O93/Daten_EZFH!$D$16</f>
        <v>2.1468893959156365</v>
      </c>
      <c r="P94" s="177">
        <f>P93/Daten_EZFH!$D$16</f>
        <v>2.1468893959156365</v>
      </c>
    </row>
    <row r="95" spans="1:19" hidden="1" outlineLevel="2" x14ac:dyDescent="0.25">
      <c r="B95" s="174" t="s">
        <v>309</v>
      </c>
      <c r="C95" s="185" t="s">
        <v>348</v>
      </c>
      <c r="O95" s="180">
        <f>O69*($O$26-$O$17)*$O$18*24/1000</f>
        <v>21060.944864541521</v>
      </c>
      <c r="P95" s="181">
        <f>P69*(P26-P17)*P18*24/1000</f>
        <v>21060.944864541521</v>
      </c>
    </row>
    <row r="96" spans="1:19" hidden="1" outlineLevel="2" x14ac:dyDescent="0.25">
      <c r="B96" s="174" t="s">
        <v>349</v>
      </c>
      <c r="C96" s="185" t="s">
        <v>348</v>
      </c>
      <c r="O96" s="180">
        <f>O88*($O$26-$O$17)*$O$18*24/1000</f>
        <v>3837.2312003972793</v>
      </c>
      <c r="P96" s="181">
        <f>P88*($P$26-$P$17)*$P$18*24/1000</f>
        <v>3837.2312003972793</v>
      </c>
    </row>
    <row r="97" spans="1:19" s="162" customFormat="1" hidden="1" outlineLevel="2" x14ac:dyDescent="0.25">
      <c r="B97" s="163" t="s">
        <v>366</v>
      </c>
      <c r="O97" s="164"/>
      <c r="P97" s="165"/>
      <c r="R97" s="164"/>
      <c r="S97" s="165"/>
    </row>
    <row r="98" spans="1:19" s="170" customFormat="1" hidden="1" outlineLevel="2" x14ac:dyDescent="0.25">
      <c r="A98" s="166"/>
      <c r="B98" s="167"/>
      <c r="C98" s="166"/>
      <c r="D98" s="166"/>
      <c r="E98" s="166"/>
      <c r="F98" s="166"/>
      <c r="G98" s="166"/>
      <c r="H98" s="166"/>
      <c r="J98" s="166"/>
      <c r="K98" s="166"/>
      <c r="L98" s="166"/>
      <c r="M98" s="166"/>
      <c r="N98" s="166"/>
      <c r="O98" s="168" t="s">
        <v>319</v>
      </c>
      <c r="P98" s="169" t="s">
        <v>332</v>
      </c>
      <c r="R98" s="171"/>
      <c r="S98" s="172"/>
    </row>
    <row r="99" spans="1:19" hidden="1" outlineLevel="2" x14ac:dyDescent="0.25">
      <c r="B99" s="174" t="s">
        <v>369</v>
      </c>
      <c r="C99" s="185" t="s">
        <v>64</v>
      </c>
      <c r="O99" s="210">
        <f>MAX(O26,20)</f>
        <v>20</v>
      </c>
      <c r="P99" s="211">
        <f>MAX(P26,20)</f>
        <v>20</v>
      </c>
    </row>
    <row r="100" spans="1:19" hidden="1" outlineLevel="2" x14ac:dyDescent="0.25">
      <c r="B100" s="174" t="s">
        <v>367</v>
      </c>
      <c r="C100" s="185" t="s">
        <v>368</v>
      </c>
      <c r="O100" s="176">
        <f>O93*(O99-Daten_ALLG!$D$16)/1000</f>
        <v>9.7269264431139781</v>
      </c>
      <c r="P100" s="177">
        <f>P93*(P99-Daten_ALLG!$D$16)/1000</f>
        <v>9.7269264431139781</v>
      </c>
    </row>
    <row r="101" spans="1:19" hidden="1" outlineLevel="2" x14ac:dyDescent="0.25">
      <c r="B101" s="174" t="s">
        <v>535</v>
      </c>
      <c r="C101" s="185" t="s">
        <v>761</v>
      </c>
      <c r="O101" s="176">
        <f>O100*1000/Daten_EZFH!$D$16</f>
        <v>68.700460669300369</v>
      </c>
      <c r="P101" s="177">
        <f>P100*1000/Daten_EZFH!$D$16</f>
        <v>68.700460669300369</v>
      </c>
    </row>
    <row r="102" spans="1:19" s="162" customFormat="1" hidden="1" outlineLevel="2" x14ac:dyDescent="0.25">
      <c r="A102" s="212" t="str">
        <f>IF(A56="","",A56)</f>
        <v/>
      </c>
      <c r="B102" s="163" t="s">
        <v>360</v>
      </c>
      <c r="D102" s="212" t="str">
        <f>IF(D56="","",D56)</f>
        <v/>
      </c>
      <c r="E102" s="212" t="str">
        <f>IF(E56="","",E56)</f>
        <v/>
      </c>
      <c r="F102" s="212" t="str">
        <f>IF(F56="","",F56)</f>
        <v/>
      </c>
      <c r="G102" s="212" t="str">
        <f>IF(G56="","",G56)</f>
        <v/>
      </c>
      <c r="H102" s="212" t="str">
        <f>IF(H56="","",H56)</f>
        <v/>
      </c>
      <c r="O102" s="164"/>
      <c r="P102" s="165"/>
      <c r="R102" s="164"/>
      <c r="S102" s="165"/>
    </row>
    <row r="103" spans="1:19" s="170" customFormat="1" hidden="1" outlineLevel="2" x14ac:dyDescent="0.25">
      <c r="A103" s="166"/>
      <c r="B103" s="167"/>
      <c r="C103" s="166"/>
      <c r="D103" s="166" t="s">
        <v>389</v>
      </c>
      <c r="E103" s="166" t="s">
        <v>143</v>
      </c>
      <c r="F103" s="166" t="s">
        <v>65</v>
      </c>
      <c r="G103" s="166" t="s">
        <v>142</v>
      </c>
      <c r="H103" s="166" t="s">
        <v>308</v>
      </c>
      <c r="J103" s="166"/>
      <c r="K103" s="166"/>
      <c r="L103" s="166"/>
      <c r="M103" s="166"/>
      <c r="N103" s="166"/>
      <c r="O103" s="168" t="s">
        <v>319</v>
      </c>
      <c r="P103" s="169" t="s">
        <v>332</v>
      </c>
      <c r="R103" s="171"/>
      <c r="S103" s="172"/>
    </row>
    <row r="104" spans="1:19" hidden="1" outlineLevel="2" x14ac:dyDescent="0.25">
      <c r="B104" s="196" t="s">
        <v>362</v>
      </c>
      <c r="C104" s="175" t="s">
        <v>13</v>
      </c>
      <c r="D104" s="186">
        <f>D58*Daten_ALLG!$D$59+Daten_ALLG!$F$59</f>
        <v>0.63685011485009957</v>
      </c>
      <c r="E104" s="186">
        <f>E58*Daten_ALLG!$D$59+Daten_ALLG!$F$59</f>
        <v>0.6951323478858713</v>
      </c>
      <c r="F104" s="186">
        <f>F58*Daten_ALLG!$D$59+Daten_ALLG!$F$59</f>
        <v>0.58471639738741821</v>
      </c>
      <c r="G104" s="186">
        <f>G58*Daten_ALLG!$D$59+Daten_ALLG!$F$59</f>
        <v>0.55460295634238554</v>
      </c>
      <c r="H104" s="186">
        <f>H58*Daten_ALLG!$D$59+Daten_ALLG!$F$59</f>
        <v>0.51445170161567533</v>
      </c>
      <c r="J104" s="197"/>
      <c r="K104" s="197"/>
      <c r="L104" s="197"/>
      <c r="M104" s="197"/>
      <c r="N104" s="197"/>
      <c r="O104" s="198">
        <f>IF($A102&lt;&gt;"",IF($D102="V",$D104,IF($E102="V",$E104,IF($F102="V",$F104,IF($G102="V",$G104,IF($H102="V",$H104,""))))),$D104)</f>
        <v>0.63685011485009957</v>
      </c>
      <c r="P104" s="199">
        <f>IF($A102&lt;&gt;"",IF($D102="N",$D104,IF($E102="N",$E104,IF($F102="N",$F104,IF($G102="N",$G104,IF($H102="N",$H104,$O104))))),$D104)</f>
        <v>0.63685011485009957</v>
      </c>
    </row>
    <row r="105" spans="1:19" hidden="1" outlineLevel="2" x14ac:dyDescent="0.25">
      <c r="B105" s="174" t="s">
        <v>361</v>
      </c>
      <c r="C105" s="185" t="s">
        <v>348</v>
      </c>
      <c r="O105" s="180">
        <f>O104*Daten_ALLG!$D$60*O22*$D$59</f>
        <v>3759.6924676072717</v>
      </c>
      <c r="P105" s="181">
        <f>P104*Daten_ALLG!$D$60*P22*$D$59</f>
        <v>3759.6924676072717</v>
      </c>
    </row>
    <row r="106" spans="1:19" s="162" customFormat="1" hidden="1" outlineLevel="2" x14ac:dyDescent="0.25">
      <c r="B106" s="163" t="s">
        <v>363</v>
      </c>
      <c r="O106" s="164"/>
      <c r="P106" s="165"/>
      <c r="R106" s="164"/>
      <c r="S106" s="165"/>
    </row>
    <row r="107" spans="1:19" s="170" customFormat="1" hidden="1" outlineLevel="2" x14ac:dyDescent="0.25">
      <c r="A107" s="166"/>
      <c r="B107" s="167"/>
      <c r="C107" s="166"/>
      <c r="D107" s="166"/>
      <c r="E107" s="166"/>
      <c r="F107" s="166"/>
      <c r="G107" s="166"/>
      <c r="H107" s="166"/>
      <c r="J107" s="166"/>
      <c r="K107" s="166"/>
      <c r="L107" s="166"/>
      <c r="M107" s="166"/>
      <c r="N107" s="166"/>
      <c r="O107" s="168" t="s">
        <v>319</v>
      </c>
      <c r="P107" s="169" t="s">
        <v>332</v>
      </c>
      <c r="R107" s="171"/>
      <c r="S107" s="172"/>
    </row>
    <row r="108" spans="1:19" hidden="1" outlineLevel="2" x14ac:dyDescent="0.25">
      <c r="B108" s="174" t="s">
        <v>364</v>
      </c>
      <c r="C108" s="185" t="s">
        <v>348</v>
      </c>
      <c r="O108" s="180">
        <f>O18*24*Daten_ALLG!$D$55*Daten_EZFH!$D$6</f>
        <v>2762.1031466484228</v>
      </c>
      <c r="P108" s="181">
        <f>P18*24*Daten_ALLG!$D$55*Daten_EZFH!$D$6</f>
        <v>2762.1031466484228</v>
      </c>
    </row>
    <row r="109" spans="1:19" s="162" customFormat="1" hidden="1" outlineLevel="2" x14ac:dyDescent="0.25">
      <c r="B109" s="163" t="s">
        <v>395</v>
      </c>
      <c r="O109" s="164"/>
      <c r="P109" s="165"/>
      <c r="R109" s="164"/>
      <c r="S109" s="165"/>
    </row>
    <row r="110" spans="1:19" s="170" customFormat="1" hidden="1" outlineLevel="2" x14ac:dyDescent="0.25">
      <c r="A110" s="166"/>
      <c r="B110" s="167"/>
      <c r="C110" s="166"/>
      <c r="D110" s="166"/>
      <c r="E110" s="166"/>
      <c r="F110" s="166"/>
      <c r="G110" s="166"/>
      <c r="H110" s="166"/>
      <c r="J110" s="166"/>
      <c r="K110" s="166"/>
      <c r="L110" s="166"/>
      <c r="M110" s="166"/>
      <c r="N110" s="166"/>
      <c r="O110" s="168" t="s">
        <v>319</v>
      </c>
      <c r="P110" s="169" t="s">
        <v>332</v>
      </c>
      <c r="R110" s="171"/>
      <c r="S110" s="172"/>
    </row>
    <row r="111" spans="1:19" hidden="1" outlineLevel="2" x14ac:dyDescent="0.25">
      <c r="B111" s="174" t="s">
        <v>475</v>
      </c>
      <c r="C111" s="185" t="s">
        <v>348</v>
      </c>
      <c r="O111" s="180">
        <f>O166</f>
        <v>662.48535785802289</v>
      </c>
      <c r="P111" s="181">
        <f>P166</f>
        <v>662.48535785802289</v>
      </c>
    </row>
    <row r="112" spans="1:19" s="162" customFormat="1" hidden="1" outlineLevel="2" x14ac:dyDescent="0.25">
      <c r="B112" s="163" t="s">
        <v>359</v>
      </c>
      <c r="O112" s="164"/>
      <c r="P112" s="165"/>
      <c r="R112" s="164"/>
      <c r="S112" s="165"/>
    </row>
    <row r="113" spans="1:19" s="170" customFormat="1" hidden="1" outlineLevel="2" x14ac:dyDescent="0.25">
      <c r="A113" s="166"/>
      <c r="B113" s="167"/>
      <c r="C113" s="166"/>
      <c r="D113" s="166"/>
      <c r="E113" s="166"/>
      <c r="F113" s="166"/>
      <c r="G113" s="166"/>
      <c r="H113" s="166"/>
      <c r="J113" s="166"/>
      <c r="K113" s="166"/>
      <c r="L113" s="166"/>
      <c r="M113" s="166"/>
      <c r="N113" s="166"/>
      <c r="O113" s="168" t="s">
        <v>319</v>
      </c>
      <c r="P113" s="169" t="s">
        <v>332</v>
      </c>
      <c r="R113" s="171"/>
      <c r="S113" s="172"/>
    </row>
    <row r="114" spans="1:19" hidden="1" outlineLevel="2" x14ac:dyDescent="0.25">
      <c r="B114" s="174" t="s">
        <v>396</v>
      </c>
      <c r="C114" s="185" t="s">
        <v>348</v>
      </c>
      <c r="O114" s="180">
        <f>O95+O96-O105-O108-O111</f>
        <v>17713.895092825085</v>
      </c>
      <c r="P114" s="181">
        <f>P95+P96-P105-P108-P111</f>
        <v>17713.895092825085</v>
      </c>
    </row>
    <row r="115" spans="1:19" s="159" customFormat="1" ht="14.25" customHeight="1" thickBot="1" x14ac:dyDescent="0.3">
      <c r="A115" s="156" t="s">
        <v>400</v>
      </c>
      <c r="B115" s="157"/>
      <c r="C115" s="157"/>
      <c r="D115" s="158"/>
      <c r="O115" s="160"/>
      <c r="P115" s="161"/>
      <c r="R115" s="160"/>
      <c r="S115" s="161"/>
    </row>
    <row r="116" spans="1:19" s="162" customFormat="1" ht="15.75" hidden="1" outlineLevel="2" thickBot="1" x14ac:dyDescent="0.3">
      <c r="B116" s="163" t="s">
        <v>762</v>
      </c>
      <c r="O116" s="164"/>
      <c r="P116" s="165"/>
      <c r="R116" s="164"/>
      <c r="S116" s="165"/>
    </row>
    <row r="117" spans="1:19" s="170" customFormat="1" ht="15.75" hidden="1" outlineLevel="2" thickBot="1" x14ac:dyDescent="0.3">
      <c r="A117" s="166"/>
      <c r="B117" s="167"/>
      <c r="C117" s="166"/>
      <c r="D117" s="166"/>
      <c r="E117" s="166"/>
      <c r="F117" s="166"/>
      <c r="G117" s="166"/>
      <c r="H117" s="166"/>
      <c r="J117" s="166"/>
      <c r="K117" s="166"/>
      <c r="L117" s="166"/>
      <c r="M117" s="166"/>
      <c r="N117" s="166"/>
      <c r="O117" s="168"/>
      <c r="P117" s="169"/>
      <c r="R117" s="171"/>
      <c r="S117" s="172"/>
    </row>
    <row r="118" spans="1:19" ht="15.75" hidden="1" outlineLevel="2" thickBot="1" x14ac:dyDescent="0.3">
      <c r="B118" s="174" t="s">
        <v>390</v>
      </c>
      <c r="C118" s="185" t="s">
        <v>128</v>
      </c>
      <c r="D118" s="213">
        <f>Daten_ALLG!$D$89*Daten_EZFH!$D$16</f>
        <v>21.237688252053974</v>
      </c>
      <c r="E118" s="173" t="s">
        <v>377</v>
      </c>
    </row>
    <row r="119" spans="1:19" s="162" customFormat="1" ht="15.75" hidden="1" outlineLevel="2" thickBot="1" x14ac:dyDescent="0.3">
      <c r="B119" s="163" t="s">
        <v>374</v>
      </c>
      <c r="O119" s="164"/>
      <c r="P119" s="165"/>
      <c r="R119" s="164"/>
      <c r="S119" s="165"/>
    </row>
    <row r="120" spans="1:19" s="170" customFormat="1" ht="15.75" hidden="1" outlineLevel="2" thickBot="1" x14ac:dyDescent="0.3">
      <c r="A120" s="166"/>
      <c r="B120" s="167"/>
      <c r="C120" s="166"/>
      <c r="D120" s="166" t="s">
        <v>563</v>
      </c>
      <c r="E120" s="166" t="s">
        <v>564</v>
      </c>
      <c r="F120" s="166"/>
      <c r="G120" s="166"/>
      <c r="H120" s="166"/>
      <c r="J120" s="166"/>
      <c r="K120" s="166"/>
      <c r="L120" s="166"/>
      <c r="M120" s="166"/>
      <c r="N120" s="166"/>
      <c r="O120" s="168" t="s">
        <v>319</v>
      </c>
      <c r="P120" s="169" t="s">
        <v>332</v>
      </c>
      <c r="R120" s="171"/>
      <c r="S120" s="172"/>
    </row>
    <row r="121" spans="1:19" ht="15.75" hidden="1" outlineLevel="2" thickBot="1" x14ac:dyDescent="0.3">
      <c r="B121" s="174" t="s">
        <v>373</v>
      </c>
      <c r="C121" s="185" t="s">
        <v>64</v>
      </c>
      <c r="D121" s="207">
        <f>Daten_ALLG!$D$76+Daten_ALLG!$F$76*O94</f>
        <v>40.969398001369584</v>
      </c>
      <c r="E121" s="207">
        <f>Daten_ALLG!$D$76+Daten_ALLG!$F$76*P94</f>
        <v>40.969398001369584</v>
      </c>
    </row>
    <row r="122" spans="1:19" ht="15.75" hidden="1" outlineLevel="2" thickBot="1" x14ac:dyDescent="0.3">
      <c r="B122" s="174" t="s">
        <v>375</v>
      </c>
      <c r="C122" s="185" t="s">
        <v>348</v>
      </c>
      <c r="O122" s="180">
        <f>$D$118*Daten_ALLG!$D$88*(D121-Daten_ALLG!$D$29)*O18*24/1000</f>
        <v>997.57974779237384</v>
      </c>
      <c r="P122" s="181">
        <f>$D$118*Daten_ALLG!$D$88*(E121-Daten_ALLG!$D$29)*P18*24/1000</f>
        <v>997.57974779237384</v>
      </c>
    </row>
    <row r="123" spans="1:19" ht="15.75" hidden="1" outlineLevel="2" thickBot="1" x14ac:dyDescent="0.3">
      <c r="B123" s="174" t="s">
        <v>157</v>
      </c>
      <c r="C123" s="185" t="s">
        <v>13</v>
      </c>
      <c r="D123" s="202">
        <f>Daten_EZFH!$D$66*Daten_EZFH!$D$69</f>
        <v>0.55999999999999994</v>
      </c>
      <c r="E123" s="173" t="s">
        <v>442</v>
      </c>
    </row>
    <row r="124" spans="1:19" s="162" customFormat="1" ht="15.75" hidden="1" outlineLevel="2" thickBot="1" x14ac:dyDescent="0.3">
      <c r="B124" s="163" t="s">
        <v>174</v>
      </c>
      <c r="O124" s="164"/>
      <c r="P124" s="165"/>
      <c r="R124" s="164"/>
      <c r="S124" s="165"/>
    </row>
    <row r="125" spans="1:19" s="170" customFormat="1" ht="15.75" hidden="1" outlineLevel="2" thickBot="1" x14ac:dyDescent="0.3">
      <c r="A125" s="166"/>
      <c r="B125" s="167"/>
      <c r="C125" s="166"/>
      <c r="D125" s="166" t="s">
        <v>563</v>
      </c>
      <c r="E125" s="166" t="s">
        <v>564</v>
      </c>
      <c r="F125" s="166"/>
      <c r="G125" s="166"/>
      <c r="H125" s="166"/>
      <c r="J125" s="166"/>
      <c r="K125" s="166"/>
      <c r="L125" s="166"/>
      <c r="M125" s="166"/>
      <c r="N125" s="166"/>
      <c r="O125" s="168" t="s">
        <v>319</v>
      </c>
      <c r="P125" s="169" t="s">
        <v>332</v>
      </c>
      <c r="R125" s="171"/>
      <c r="S125" s="172"/>
    </row>
    <row r="126" spans="1:19" ht="15.75" hidden="1" outlineLevel="2" thickBot="1" x14ac:dyDescent="0.3">
      <c r="B126" s="174" t="s">
        <v>373</v>
      </c>
      <c r="C126" s="185" t="s">
        <v>64</v>
      </c>
      <c r="D126" s="207">
        <f>Daten_ALLG!$D$77+Daten_ALLG!$F$77*O94</f>
        <v>30.055708640761488</v>
      </c>
      <c r="E126" s="207">
        <f>Daten_ALLG!$D$77+Daten_ALLG!$F$77*P94</f>
        <v>30.055708640761488</v>
      </c>
    </row>
    <row r="127" spans="1:19" ht="15.75" hidden="1" outlineLevel="2" thickBot="1" x14ac:dyDescent="0.3">
      <c r="B127" s="174" t="s">
        <v>375</v>
      </c>
      <c r="C127" s="185" t="s">
        <v>348</v>
      </c>
      <c r="O127" s="180">
        <f>$D$118*Daten_ALLG!$D$88*(D126-Daten_ALLG!$D$29)*O18*24/1000</f>
        <v>608.32305090863645</v>
      </c>
      <c r="P127" s="181">
        <f>$D$118*Daten_ALLG!$D$88*(E126-Daten_ALLG!$D$29)*P18*24/1000</f>
        <v>608.32305090863645</v>
      </c>
    </row>
    <row r="128" spans="1:19" ht="15.75" hidden="1" outlineLevel="2" thickBot="1" x14ac:dyDescent="0.3">
      <c r="B128" s="174" t="s">
        <v>157</v>
      </c>
      <c r="C128" s="185" t="s">
        <v>13</v>
      </c>
      <c r="D128" s="202">
        <f>Daten_EZFH!$D$65*Daten_EZFH!$D$69</f>
        <v>0.13999999999999999</v>
      </c>
      <c r="E128" s="173" t="s">
        <v>442</v>
      </c>
    </row>
    <row r="129" spans="1:19" s="162" customFormat="1" ht="15.75" outlineLevel="1" thickBot="1" x14ac:dyDescent="0.3">
      <c r="A129" s="335" t="str">
        <f>IF(Bil_EZFH_mQS!A129="","",Bil_EZFH_mQS!A129)</f>
        <v/>
      </c>
      <c r="B129" s="163" t="s">
        <v>394</v>
      </c>
      <c r="D129" s="335" t="str">
        <f>IF(Bil_EZFH_mQS!D129="","",Bil_EZFH_mQS!D129)</f>
        <v/>
      </c>
      <c r="E129" s="335" t="str">
        <f>IF(Bil_EZFH_mQS!E129="","",Bil_EZFH_mQS!E129)</f>
        <v/>
      </c>
      <c r="F129" s="335" t="str">
        <f>IF(Bil_EZFH_mQS!F129="","",Bil_EZFH_mQS!F129)</f>
        <v/>
      </c>
      <c r="G129" s="335" t="str">
        <f>IF(Bil_EZFH_mQS!G129="","",Bil_EZFH_mQS!G129)</f>
        <v/>
      </c>
      <c r="O129" s="164"/>
      <c r="P129" s="165"/>
      <c r="R129" s="164"/>
      <c r="S129" s="165"/>
    </row>
    <row r="130" spans="1:19" s="170" customFormat="1" outlineLevel="1" collapsed="1" x14ac:dyDescent="0.25">
      <c r="A130" s="166"/>
      <c r="B130" s="167"/>
      <c r="C130" s="166"/>
      <c r="D130" s="166" t="s">
        <v>389</v>
      </c>
      <c r="E130" s="166" t="s">
        <v>399</v>
      </c>
      <c r="F130" s="166" t="s">
        <v>398</v>
      </c>
      <c r="G130" s="166" t="s">
        <v>441</v>
      </c>
      <c r="H130" s="166"/>
      <c r="J130" s="166"/>
      <c r="K130" s="166"/>
      <c r="L130" s="166"/>
      <c r="M130" s="166"/>
      <c r="N130" s="166"/>
      <c r="O130" s="168" t="s">
        <v>319</v>
      </c>
      <c r="P130" s="169" t="s">
        <v>332</v>
      </c>
      <c r="R130" s="171"/>
      <c r="S130" s="172"/>
    </row>
    <row r="131" spans="1:19" hidden="1" outlineLevel="2" x14ac:dyDescent="0.25">
      <c r="B131" s="196" t="s">
        <v>397</v>
      </c>
      <c r="C131" s="185" t="s">
        <v>348</v>
      </c>
      <c r="D131" s="187">
        <f>$D$123*E131+$D$128*F131</f>
        <v>643.80988589093829</v>
      </c>
      <c r="E131" s="214">
        <f>O122</f>
        <v>997.57974779237384</v>
      </c>
      <c r="F131" s="214">
        <f>O127</f>
        <v>608.32305090863645</v>
      </c>
      <c r="G131" s="214">
        <v>0</v>
      </c>
      <c r="H131" s="215"/>
      <c r="I131" s="197"/>
      <c r="J131" s="197"/>
      <c r="K131" s="197"/>
      <c r="L131" s="197"/>
      <c r="M131" s="197"/>
      <c r="N131" s="197"/>
      <c r="O131" s="216">
        <f>IF($A129&lt;&gt;"",IF($D129="V",$D131,IF($E129="V",$E131,IF($F129="V",$F131,IF($G129="V",$G131,"")))),$D131)</f>
        <v>643.80988589093829</v>
      </c>
      <c r="P131" s="217">
        <f>IF($A129&lt;&gt;"",IF($D129="N",$D132,IF($E129="N",$E132,IF($F129="N",$F132,IF($G129="N",$G132,SUMPRODUCT(D132:G132,D133:G133))))),$D132)</f>
        <v>643.80988589093829</v>
      </c>
    </row>
    <row r="132" spans="1:19" hidden="1" outlineLevel="2" x14ac:dyDescent="0.25">
      <c r="C132" s="185" t="s">
        <v>348</v>
      </c>
      <c r="D132" s="187">
        <f>$D$123*E132+$D$128*F132</f>
        <v>643.80988589093829</v>
      </c>
      <c r="E132" s="214">
        <f>P122</f>
        <v>997.57974779237384</v>
      </c>
      <c r="F132" s="214">
        <f>P127</f>
        <v>608.32305090863645</v>
      </c>
      <c r="G132" s="214">
        <v>0</v>
      </c>
      <c r="H132" s="174"/>
    </row>
    <row r="133" spans="1:19" hidden="1" outlineLevel="2" x14ac:dyDescent="0.25">
      <c r="C133" s="185"/>
      <c r="D133" s="218">
        <f>IF(D129="V",1,0)</f>
        <v>0</v>
      </c>
      <c r="E133" s="218">
        <f t="shared" ref="E133:G133" si="3">IF(E129="V",1,0)</f>
        <v>0</v>
      </c>
      <c r="F133" s="218">
        <f t="shared" si="3"/>
        <v>0</v>
      </c>
      <c r="G133" s="218">
        <f t="shared" si="3"/>
        <v>0</v>
      </c>
      <c r="H133" s="174"/>
    </row>
    <row r="134" spans="1:19" hidden="1" outlineLevel="2" x14ac:dyDescent="0.25">
      <c r="B134" s="174" t="s">
        <v>373</v>
      </c>
      <c r="C134" s="185" t="s">
        <v>64</v>
      </c>
      <c r="D134" s="207">
        <f>Daten_EZFH!$D$66*E134+Daten_EZFH!$D$65*F134</f>
        <v>38.786660129247963</v>
      </c>
      <c r="E134" s="219">
        <f>D121</f>
        <v>40.969398001369584</v>
      </c>
      <c r="F134" s="219">
        <f>D126</f>
        <v>30.055708640761488</v>
      </c>
      <c r="G134" s="220"/>
      <c r="H134" s="215"/>
      <c r="I134" s="197"/>
      <c r="J134" s="197"/>
      <c r="K134" s="197"/>
      <c r="L134" s="197"/>
      <c r="M134" s="197"/>
      <c r="N134" s="197"/>
      <c r="O134" s="208">
        <f>IF($A129&lt;&gt;"",IF($D129="V",$D134,IF($E129="V",$E134,IF($F129="V",$F134,IF($G129="V",$G134,"")))),$D134)</f>
        <v>38.786660129247963</v>
      </c>
      <c r="P134" s="209">
        <f>IF($A129&lt;&gt;"",IF($D129="N",$D135,IF($E129="N",$E135,IF($F129="N",$F135,IF($G129="N",$G135,SUMPRODUCT(D135:G135,D136:G136))))),$D135)</f>
        <v>38.786660129247963</v>
      </c>
    </row>
    <row r="135" spans="1:19" hidden="1" outlineLevel="2" x14ac:dyDescent="0.25">
      <c r="C135" s="185" t="s">
        <v>64</v>
      </c>
      <c r="D135" s="207">
        <f>Daten_EZFH!$D$66*E135+Daten_EZFH!$D$65*F135</f>
        <v>38.786660129247963</v>
      </c>
      <c r="E135" s="219">
        <f>E121</f>
        <v>40.969398001369584</v>
      </c>
      <c r="F135" s="219">
        <f>E126</f>
        <v>30.055708640761488</v>
      </c>
      <c r="G135" s="220"/>
      <c r="H135" s="174"/>
    </row>
    <row r="136" spans="1:19" hidden="1" outlineLevel="2" x14ac:dyDescent="0.25">
      <c r="C136" s="185"/>
      <c r="D136" s="218">
        <f>IF(D129="V",1,0)</f>
        <v>0</v>
      </c>
      <c r="E136" s="218">
        <f t="shared" ref="E136:F136" si="4">IF(E129="V",1,0)</f>
        <v>0</v>
      </c>
      <c r="F136" s="218">
        <f t="shared" si="4"/>
        <v>0</v>
      </c>
      <c r="G136" s="218"/>
      <c r="H136" s="174"/>
    </row>
    <row r="137" spans="1:19" s="159" customFormat="1" ht="14.25" customHeight="1" thickBot="1" x14ac:dyDescent="0.3">
      <c r="A137" s="156" t="s">
        <v>401</v>
      </c>
      <c r="B137" s="157"/>
      <c r="C137" s="157"/>
      <c r="D137" s="158"/>
      <c r="O137" s="160"/>
      <c r="P137" s="161"/>
      <c r="R137" s="160"/>
      <c r="S137" s="161"/>
    </row>
    <row r="138" spans="1:19" s="162" customFormat="1" ht="15.75" hidden="1" outlineLevel="2" thickBot="1" x14ac:dyDescent="0.3">
      <c r="B138" s="163" t="s">
        <v>376</v>
      </c>
      <c r="O138" s="164"/>
      <c r="P138" s="165"/>
      <c r="R138" s="164"/>
      <c r="S138" s="165"/>
    </row>
    <row r="139" spans="1:19" s="170" customFormat="1" ht="15.75" hidden="1" outlineLevel="2" thickBot="1" x14ac:dyDescent="0.3">
      <c r="A139" s="166"/>
      <c r="B139" s="167"/>
      <c r="C139" s="166"/>
      <c r="D139" s="166"/>
      <c r="E139" s="166"/>
      <c r="F139" s="166"/>
      <c r="G139" s="166"/>
      <c r="H139" s="166"/>
      <c r="J139" s="166"/>
      <c r="K139" s="166"/>
      <c r="L139" s="166"/>
      <c r="M139" s="166"/>
      <c r="N139" s="166"/>
      <c r="O139" s="168"/>
      <c r="P139" s="169"/>
      <c r="R139" s="171"/>
      <c r="S139" s="172"/>
    </row>
    <row r="140" spans="1:19" ht="15.75" hidden="1" outlineLevel="2" thickBot="1" x14ac:dyDescent="0.3">
      <c r="B140" s="174" t="s">
        <v>391</v>
      </c>
      <c r="C140" s="185" t="s">
        <v>128</v>
      </c>
      <c r="D140" s="213">
        <f>Daten_ALLG!$D$95*Daten_EZFH!$D$16</f>
        <v>7.0792294173513257</v>
      </c>
      <c r="E140" s="173" t="s">
        <v>378</v>
      </c>
      <c r="G140" s="173" t="s">
        <v>377</v>
      </c>
    </row>
    <row r="141" spans="1:19" ht="15.75" hidden="1" outlineLevel="2" thickBot="1" x14ac:dyDescent="0.3">
      <c r="B141" s="174" t="s">
        <v>391</v>
      </c>
      <c r="C141" s="185" t="s">
        <v>128</v>
      </c>
      <c r="D141" s="213">
        <f>Daten_ALLG!$D$94*Daten_EZFH!$D$16</f>
        <v>28.316917669405303</v>
      </c>
      <c r="E141" s="173" t="s">
        <v>378</v>
      </c>
      <c r="G141" s="173" t="s">
        <v>379</v>
      </c>
    </row>
    <row r="142" spans="1:19" ht="15.75" hidden="1" outlineLevel="2" thickBot="1" x14ac:dyDescent="0.3">
      <c r="B142" s="174" t="s">
        <v>391</v>
      </c>
      <c r="C142" s="185" t="s">
        <v>128</v>
      </c>
      <c r="D142" s="213">
        <f>Daten_ALLG!$D$95*Daten_ALLG!$F$95*Daten_EZFH!$D$16</f>
        <v>14.158458834702651</v>
      </c>
      <c r="E142" s="173" t="s">
        <v>380</v>
      </c>
      <c r="G142" s="173" t="s">
        <v>377</v>
      </c>
    </row>
    <row r="143" spans="1:19" ht="15.75" hidden="1" outlineLevel="2" thickBot="1" x14ac:dyDescent="0.3">
      <c r="B143" s="174" t="s">
        <v>391</v>
      </c>
      <c r="C143" s="185" t="s">
        <v>128</v>
      </c>
      <c r="D143" s="213">
        <f>Daten_ALLG!$D$94*Daten_ALLG!$F$94*Daten_EZFH!$D$16</f>
        <v>36.811992970226896</v>
      </c>
      <c r="E143" s="173" t="s">
        <v>380</v>
      </c>
      <c r="G143" s="173" t="s">
        <v>379</v>
      </c>
    </row>
    <row r="144" spans="1:19" ht="15.75" hidden="1" outlineLevel="2" thickBot="1" x14ac:dyDescent="0.3">
      <c r="B144" s="174" t="s">
        <v>391</v>
      </c>
      <c r="C144" s="185" t="s">
        <v>128</v>
      </c>
      <c r="D144" s="213">
        <f>Daten_ALLG!$D$93*D118</f>
        <v>2.1237688252053974</v>
      </c>
      <c r="E144" s="173" t="s">
        <v>189</v>
      </c>
    </row>
    <row r="145" spans="1:19" s="162" customFormat="1" ht="15.75" hidden="1" outlineLevel="2" thickBot="1" x14ac:dyDescent="0.3">
      <c r="B145" s="163" t="s">
        <v>383</v>
      </c>
      <c r="O145" s="164"/>
      <c r="P145" s="165"/>
      <c r="R145" s="164"/>
      <c r="S145" s="165"/>
    </row>
    <row r="146" spans="1:19" s="170" customFormat="1" ht="15.75" hidden="1" outlineLevel="2" thickBot="1" x14ac:dyDescent="0.3">
      <c r="A146" s="166"/>
      <c r="B146" s="167"/>
      <c r="C146" s="166"/>
      <c r="D146" s="166"/>
      <c r="E146" s="166"/>
      <c r="F146" s="166"/>
      <c r="G146" s="166"/>
      <c r="H146" s="166"/>
      <c r="J146" s="166"/>
      <c r="K146" s="166"/>
      <c r="L146" s="166"/>
      <c r="M146" s="166"/>
      <c r="N146" s="166"/>
      <c r="O146" s="168" t="s">
        <v>319</v>
      </c>
      <c r="P146" s="169" t="s">
        <v>332</v>
      </c>
      <c r="R146" s="171"/>
      <c r="S146" s="172"/>
    </row>
    <row r="147" spans="1:19" ht="15.75" hidden="1" outlineLevel="2" thickBot="1" x14ac:dyDescent="0.3">
      <c r="B147" s="174" t="s">
        <v>375</v>
      </c>
      <c r="C147" s="185" t="s">
        <v>348</v>
      </c>
      <c r="O147" s="180">
        <f>$D$144*Daten_ALLG!$D$92*(Daten_ALLG!$D$39-O26)*8.76</f>
        <v>41.062401517575474</v>
      </c>
      <c r="P147" s="181">
        <f>$D$144*Daten_ALLG!$D$92*(Daten_ALLG!$D$39-P26)*8.76</f>
        <v>41.062401517575474</v>
      </c>
    </row>
    <row r="148" spans="1:19" ht="15.75" hidden="1" outlineLevel="2" thickBot="1" x14ac:dyDescent="0.3">
      <c r="B148" s="174" t="s">
        <v>157</v>
      </c>
      <c r="C148" s="185" t="s">
        <v>13</v>
      </c>
      <c r="D148" s="202">
        <f>Daten_EZFH!$D$73</f>
        <v>0.12</v>
      </c>
    </row>
    <row r="149" spans="1:19" s="162" customFormat="1" ht="15.75" hidden="1" outlineLevel="2" thickBot="1" x14ac:dyDescent="0.3">
      <c r="B149" s="163" t="s">
        <v>387</v>
      </c>
      <c r="O149" s="164"/>
      <c r="P149" s="165"/>
      <c r="R149" s="164"/>
      <c r="S149" s="165"/>
    </row>
    <row r="150" spans="1:19" s="170" customFormat="1" ht="15.75" hidden="1" outlineLevel="2" thickBot="1" x14ac:dyDescent="0.3">
      <c r="A150" s="166"/>
      <c r="B150" s="167"/>
      <c r="C150" s="166"/>
      <c r="D150" s="166"/>
      <c r="E150" s="166"/>
      <c r="F150" s="166"/>
      <c r="G150" s="166"/>
      <c r="H150" s="166"/>
      <c r="J150" s="166"/>
      <c r="K150" s="166"/>
      <c r="L150" s="166"/>
      <c r="M150" s="166"/>
      <c r="N150" s="166"/>
      <c r="O150" s="168" t="s">
        <v>319</v>
      </c>
      <c r="P150" s="169" t="s">
        <v>332</v>
      </c>
      <c r="R150" s="171"/>
      <c r="S150" s="172"/>
    </row>
    <row r="151" spans="1:19" ht="15.75" hidden="1" outlineLevel="2" thickBot="1" x14ac:dyDescent="0.3">
      <c r="B151" s="174" t="s">
        <v>382</v>
      </c>
      <c r="C151" s="185" t="s">
        <v>348</v>
      </c>
      <c r="O151" s="193">
        <f>$D$143*Daten_ALLG!$D$92*(Daten_ALLG!$D$38-O26)*8.76</f>
        <v>2001.640526648059</v>
      </c>
      <c r="P151" s="194">
        <f>$D$143*Daten_ALLG!$D$92*(Daten_ALLG!$D$38-P26)*8.76</f>
        <v>2001.640526648059</v>
      </c>
    </row>
    <row r="152" spans="1:19" ht="15.75" hidden="1" outlineLevel="2" thickBot="1" x14ac:dyDescent="0.3">
      <c r="B152" s="174" t="s">
        <v>381</v>
      </c>
      <c r="C152" s="185" t="s">
        <v>348</v>
      </c>
      <c r="O152" s="221">
        <f>$D$142*Daten_ALLG!$D$92*(Daten_ALLG!$D$38-Daten_ALLG!$D$29)*8.76</f>
        <v>917.80793550076476</v>
      </c>
      <c r="P152" s="222">
        <f>$D$142*Daten_ALLG!$D$92*(Daten_ALLG!$D$38-Daten_ALLG!$D$29)*8.76</f>
        <v>917.80793550076476</v>
      </c>
    </row>
    <row r="153" spans="1:19" ht="15.75" hidden="1" outlineLevel="2" thickBot="1" x14ac:dyDescent="0.3">
      <c r="B153" s="174" t="s">
        <v>375</v>
      </c>
      <c r="C153" s="185" t="s">
        <v>348</v>
      </c>
      <c r="O153" s="180">
        <f>O151+O152</f>
        <v>2919.4484621488236</v>
      </c>
      <c r="P153" s="181">
        <f>P151+P152</f>
        <v>2919.4484621488236</v>
      </c>
    </row>
    <row r="154" spans="1:19" ht="15.75" hidden="1" outlineLevel="2" thickBot="1" x14ac:dyDescent="0.3">
      <c r="B154" s="174" t="s">
        <v>157</v>
      </c>
      <c r="C154" s="185" t="s">
        <v>13</v>
      </c>
      <c r="D154" s="202">
        <f>Daten_EZFH!$D$74*Daten_EZFH!$D$77</f>
        <v>0.44</v>
      </c>
    </row>
    <row r="155" spans="1:19" s="162" customFormat="1" ht="15.75" hidden="1" outlineLevel="2" thickBot="1" x14ac:dyDescent="0.3">
      <c r="B155" s="163" t="s">
        <v>388</v>
      </c>
      <c r="O155" s="164"/>
      <c r="P155" s="165"/>
      <c r="R155" s="164"/>
      <c r="S155" s="165"/>
    </row>
    <row r="156" spans="1:19" s="170" customFormat="1" ht="15.75" hidden="1" outlineLevel="2" thickBot="1" x14ac:dyDescent="0.3">
      <c r="A156" s="166"/>
      <c r="B156" s="167"/>
      <c r="C156" s="166"/>
      <c r="D156" s="166"/>
      <c r="E156" s="166"/>
      <c r="F156" s="166"/>
      <c r="G156" s="166"/>
      <c r="H156" s="166"/>
      <c r="J156" s="166"/>
      <c r="K156" s="166"/>
      <c r="L156" s="166"/>
      <c r="M156" s="166"/>
      <c r="N156" s="166"/>
      <c r="O156" s="168" t="s">
        <v>319</v>
      </c>
      <c r="P156" s="169" t="s">
        <v>332</v>
      </c>
      <c r="R156" s="171"/>
      <c r="S156" s="172"/>
    </row>
    <row r="157" spans="1:19" ht="15.75" hidden="1" outlineLevel="2" thickBot="1" x14ac:dyDescent="0.3">
      <c r="B157" s="174" t="s">
        <v>382</v>
      </c>
      <c r="C157" s="185" t="s">
        <v>348</v>
      </c>
      <c r="O157" s="193">
        <f>$D$141*Daten_ALLG!$D$92*(Daten_ALLG!$D$39-O26)*8.76</f>
        <v>547.49868690100641</v>
      </c>
      <c r="P157" s="194">
        <f>$D$141*Daten_ALLG!$D$92*(Daten_ALLG!$D$39-P26)*8.76</f>
        <v>547.49868690100641</v>
      </c>
    </row>
    <row r="158" spans="1:19" ht="15.75" hidden="1" outlineLevel="2" thickBot="1" x14ac:dyDescent="0.3">
      <c r="B158" s="174" t="s">
        <v>381</v>
      </c>
      <c r="C158" s="185" t="s">
        <v>348</v>
      </c>
      <c r="O158" s="221">
        <f>$D$140*Daten_ALLG!$D$92*(Daten_ALLG!$D$39-Daten_ALLG!$D$29)*8.76</f>
        <v>210.8477689663919</v>
      </c>
      <c r="P158" s="222">
        <f>$D$140*Daten_ALLG!$D$92*(Daten_ALLG!$D$39-Daten_ALLG!$D$29)*8.76</f>
        <v>210.8477689663919</v>
      </c>
    </row>
    <row r="159" spans="1:19" ht="15.75" hidden="1" outlineLevel="2" thickBot="1" x14ac:dyDescent="0.3">
      <c r="B159" s="174" t="s">
        <v>375</v>
      </c>
      <c r="C159" s="185" t="s">
        <v>348</v>
      </c>
      <c r="O159" s="180">
        <f>O157+O158</f>
        <v>758.34645586739828</v>
      </c>
      <c r="P159" s="181">
        <f>P157+P158</f>
        <v>758.34645586739828</v>
      </c>
    </row>
    <row r="160" spans="1:19" ht="15.75" hidden="1" outlineLevel="2" thickBot="1" x14ac:dyDescent="0.3">
      <c r="B160" s="174" t="s">
        <v>157</v>
      </c>
      <c r="C160" s="185" t="s">
        <v>13</v>
      </c>
      <c r="D160" s="202">
        <f>Daten_EZFH!$D$74*Daten_EZFH!$D$78</f>
        <v>0.44</v>
      </c>
    </row>
    <row r="161" spans="1:19" s="162" customFormat="1" ht="15.75" outlineLevel="1" thickBot="1" x14ac:dyDescent="0.3">
      <c r="A161" s="335" t="str">
        <f>IF(Bil_EZFH_mQS!A161="","",Bil_EZFH_mQS!A161)</f>
        <v/>
      </c>
      <c r="B161" s="163" t="s">
        <v>568</v>
      </c>
      <c r="D161" s="335" t="str">
        <f>IF(Bil_EZFH_mQS!D161="","",Bil_EZFH_mQS!D161)</f>
        <v/>
      </c>
      <c r="E161" s="335" t="str">
        <f>IF(Bil_EZFH_mQS!E161="","",Bil_EZFH_mQS!E161)</f>
        <v/>
      </c>
      <c r="F161" s="335" t="str">
        <f>IF(Bil_EZFH_mQS!F161="","",Bil_EZFH_mQS!F161)</f>
        <v/>
      </c>
      <c r="G161" s="335" t="str">
        <f>IF(Bil_EZFH_mQS!G161="","",Bil_EZFH_mQS!G161)</f>
        <v/>
      </c>
      <c r="O161" s="164"/>
      <c r="P161" s="165"/>
      <c r="R161" s="164"/>
      <c r="S161" s="165"/>
    </row>
    <row r="162" spans="1:19" s="170" customFormat="1" outlineLevel="1" collapsed="1" x14ac:dyDescent="0.25">
      <c r="A162" s="166"/>
      <c r="B162" s="167"/>
      <c r="C162" s="166"/>
      <c r="D162" s="166" t="s">
        <v>389</v>
      </c>
      <c r="E162" s="166" t="s">
        <v>189</v>
      </c>
      <c r="F162" s="166" t="s">
        <v>393</v>
      </c>
      <c r="G162" s="166" t="s">
        <v>392</v>
      </c>
      <c r="H162" s="166"/>
      <c r="J162" s="166"/>
      <c r="K162" s="166"/>
      <c r="L162" s="166"/>
      <c r="M162" s="166"/>
      <c r="N162" s="166"/>
      <c r="O162" s="168" t="s">
        <v>319</v>
      </c>
      <c r="P162" s="169" t="s">
        <v>332</v>
      </c>
      <c r="R162" s="171"/>
      <c r="S162" s="172"/>
    </row>
    <row r="163" spans="1:19" hidden="1" outlineLevel="2" x14ac:dyDescent="0.25">
      <c r="B163" s="196" t="s">
        <v>477</v>
      </c>
      <c r="C163" s="185" t="s">
        <v>348</v>
      </c>
      <c r="D163" s="187">
        <f>$D$148*E163+$D$154*F163+$D$160*G163</f>
        <v>1623.1572521092467</v>
      </c>
      <c r="E163" s="214">
        <f>O147</f>
        <v>41.062401517575474</v>
      </c>
      <c r="F163" s="214">
        <f>O153</f>
        <v>2919.4484621488236</v>
      </c>
      <c r="G163" s="214">
        <f>O159</f>
        <v>758.34645586739828</v>
      </c>
      <c r="H163" s="215" t="s">
        <v>563</v>
      </c>
      <c r="I163" s="197"/>
      <c r="J163" s="197"/>
      <c r="K163" s="197"/>
      <c r="L163" s="197"/>
      <c r="M163" s="197"/>
      <c r="N163" s="197"/>
      <c r="O163" s="216">
        <f>IF($A161&lt;&gt;"",IF($D161="V",$D163,IF($E161="V",$E163,IF($F161="V",$F163,IF($G161="V",$G163,"")))),$D163)</f>
        <v>1623.1572521092467</v>
      </c>
      <c r="P163" s="217">
        <f>IF($A161&lt;&gt;"",IF($D161="N",$D164,IF($E161="N",$E164,IF($F161="N",$F164,IF($G161="N",$G164,SUMPRODUCT(D164:G164,D165:G165))))),$D164)</f>
        <v>1623.1572521092467</v>
      </c>
    </row>
    <row r="164" spans="1:19" hidden="1" outlineLevel="2" x14ac:dyDescent="0.25">
      <c r="C164" s="185" t="s">
        <v>348</v>
      </c>
      <c r="D164" s="187">
        <f>$D$148*E164+$D$154*F164+$D$160*G164</f>
        <v>1623.1572521092467</v>
      </c>
      <c r="E164" s="214">
        <f>P147</f>
        <v>41.062401517575474</v>
      </c>
      <c r="F164" s="214">
        <f>P153</f>
        <v>2919.4484621488236</v>
      </c>
      <c r="G164" s="214">
        <f>P159</f>
        <v>758.34645586739828</v>
      </c>
      <c r="H164" s="174" t="s">
        <v>564</v>
      </c>
    </row>
    <row r="165" spans="1:19" hidden="1" outlineLevel="2" x14ac:dyDescent="0.25">
      <c r="C165" s="185"/>
      <c r="D165" s="218">
        <f>IF(D161="V",1,0)</f>
        <v>0</v>
      </c>
      <c r="E165" s="218">
        <f t="shared" ref="E165:G165" si="5">IF(E161="V",1,0)</f>
        <v>0</v>
      </c>
      <c r="F165" s="218">
        <f t="shared" si="5"/>
        <v>0</v>
      </c>
      <c r="G165" s="218">
        <f t="shared" si="5"/>
        <v>0</v>
      </c>
      <c r="H165" s="174"/>
    </row>
    <row r="166" spans="1:19" hidden="1" outlineLevel="2" x14ac:dyDescent="0.25">
      <c r="B166" s="174" t="s">
        <v>475</v>
      </c>
      <c r="C166" s="185" t="s">
        <v>348</v>
      </c>
      <c r="D166" s="187">
        <f>O18/365*($D$148*E166+$D$154*F166+$D$160*G166)</f>
        <v>662.48535785802289</v>
      </c>
      <c r="E166" s="214">
        <f>O18/365*(O147)</f>
        <v>31.488900297467239</v>
      </c>
      <c r="F166" s="214">
        <f>O18/365*(O151)</f>
        <v>1534.9676746990251</v>
      </c>
      <c r="G166" s="214">
        <f>O18/365*(O157)</f>
        <v>419.85200396622992</v>
      </c>
      <c r="H166" s="174" t="s">
        <v>563</v>
      </c>
      <c r="O166" s="216">
        <f>IF($A161&lt;&gt;"",IF($D161="V",$D166,IF($E161="V",$E166,IF($F161="V",$F166,IF($G161="V",$G166,"")))),$D166)</f>
        <v>662.48535785802289</v>
      </c>
      <c r="P166" s="217">
        <f>IF($A161&lt;&gt;"",IF($D161="N",$D167,IF($E161="N",$E167,IF($F161="N",$F167,IF($G161="N",$G167,SUMPRODUCT(D167:G167,D168:G168))))),$D167)</f>
        <v>662.48535785802289</v>
      </c>
    </row>
    <row r="167" spans="1:19" hidden="1" outlineLevel="2" x14ac:dyDescent="0.25">
      <c r="C167" s="185" t="s">
        <v>348</v>
      </c>
      <c r="D167" s="187">
        <f>P18/365*($D$148*E167+$D$154*F167+$D$160*G167)</f>
        <v>662.48535785802289</v>
      </c>
      <c r="E167" s="214">
        <f>P18/365*(P147)</f>
        <v>31.488900297467239</v>
      </c>
      <c r="F167" s="214">
        <f>P18/365*(P151)</f>
        <v>1534.9676746990251</v>
      </c>
      <c r="G167" s="214">
        <f>P18/365*(P157)</f>
        <v>419.85200396622992</v>
      </c>
      <c r="H167" s="174" t="s">
        <v>564</v>
      </c>
    </row>
    <row r="168" spans="1:19" hidden="1" outlineLevel="2" x14ac:dyDescent="0.25">
      <c r="C168" s="185"/>
      <c r="D168" s="218">
        <f>IF(D161="V",1,0)</f>
        <v>0</v>
      </c>
      <c r="E168" s="218">
        <f t="shared" ref="E168:G168" si="6">IF(E161="V",1,0)</f>
        <v>0</v>
      </c>
      <c r="F168" s="218">
        <f t="shared" si="6"/>
        <v>0</v>
      </c>
      <c r="G168" s="218">
        <f t="shared" si="6"/>
        <v>0</v>
      </c>
      <c r="H168" s="174"/>
    </row>
    <row r="169" spans="1:19" s="159" customFormat="1" ht="14.25" customHeight="1" collapsed="1" x14ac:dyDescent="0.25">
      <c r="A169" s="156" t="s">
        <v>439</v>
      </c>
      <c r="B169" s="157"/>
      <c r="C169" s="157"/>
      <c r="D169" s="158"/>
      <c r="O169" s="160"/>
      <c r="P169" s="161"/>
      <c r="R169" s="160"/>
      <c r="S169" s="161"/>
    </row>
    <row r="170" spans="1:19" s="162" customFormat="1" hidden="1" outlineLevel="2" x14ac:dyDescent="0.25">
      <c r="B170" s="163" t="s">
        <v>414</v>
      </c>
      <c r="O170" s="164"/>
      <c r="P170" s="165"/>
      <c r="R170" s="164"/>
      <c r="S170" s="165"/>
    </row>
    <row r="171" spans="1:19" s="170" customFormat="1" hidden="1" outlineLevel="2" x14ac:dyDescent="0.25">
      <c r="A171" s="166"/>
      <c r="B171" s="167"/>
      <c r="C171" s="166"/>
      <c r="D171" s="166" t="s">
        <v>563</v>
      </c>
      <c r="E171" s="166" t="s">
        <v>564</v>
      </c>
      <c r="F171" s="166"/>
      <c r="G171" s="166"/>
      <c r="H171" s="166"/>
      <c r="J171" s="166" t="s">
        <v>563</v>
      </c>
      <c r="K171" s="166" t="s">
        <v>564</v>
      </c>
      <c r="L171" s="166"/>
      <c r="M171" s="166"/>
      <c r="N171" s="166"/>
      <c r="O171" s="168" t="s">
        <v>319</v>
      </c>
      <c r="P171" s="169" t="s">
        <v>332</v>
      </c>
      <c r="R171" s="171"/>
      <c r="S171" s="172"/>
    </row>
    <row r="172" spans="1:19" hidden="1" outlineLevel="2" x14ac:dyDescent="0.25">
      <c r="B172" s="174" t="s">
        <v>404</v>
      </c>
      <c r="C172" s="185" t="s">
        <v>64</v>
      </c>
      <c r="D172" s="214">
        <f>Daten_ALLG!$D$123</f>
        <v>-2</v>
      </c>
      <c r="G172" s="173" t="s">
        <v>838</v>
      </c>
      <c r="I172" s="185" t="s">
        <v>368</v>
      </c>
      <c r="J172" s="219">
        <f>O100</f>
        <v>9.7269264431139781</v>
      </c>
      <c r="K172" s="219">
        <f>P100</f>
        <v>9.7269264431139781</v>
      </c>
    </row>
    <row r="173" spans="1:19" hidden="1" outlineLevel="2" x14ac:dyDescent="0.25">
      <c r="B173" s="174" t="s">
        <v>405</v>
      </c>
      <c r="C173" s="185" t="s">
        <v>64</v>
      </c>
      <c r="D173" s="223">
        <f>Daten_ALLG!$D$27</f>
        <v>21</v>
      </c>
      <c r="G173" s="173" t="s">
        <v>839</v>
      </c>
      <c r="I173" s="185" t="s">
        <v>368</v>
      </c>
      <c r="J173" s="223">
        <v>0</v>
      </c>
      <c r="K173" s="223">
        <v>0</v>
      </c>
    </row>
    <row r="174" spans="1:19" hidden="1" outlineLevel="2" x14ac:dyDescent="0.25">
      <c r="B174" s="174" t="s">
        <v>406</v>
      </c>
      <c r="C174" s="185" t="s">
        <v>64</v>
      </c>
      <c r="D174" s="223">
        <f>Daten_ALLG!$D$16</f>
        <v>-12</v>
      </c>
      <c r="G174" s="173" t="s">
        <v>840</v>
      </c>
      <c r="I174" s="185" t="s">
        <v>64</v>
      </c>
      <c r="J174" s="223">
        <f>Daten_ALLG!$D$16</f>
        <v>-12</v>
      </c>
      <c r="K174" s="223">
        <f>Daten_ALLG!$D$16</f>
        <v>-12</v>
      </c>
    </row>
    <row r="175" spans="1:19" hidden="1" outlineLevel="2" x14ac:dyDescent="0.25">
      <c r="B175" s="174" t="s">
        <v>407</v>
      </c>
      <c r="C175" s="185" t="s">
        <v>64</v>
      </c>
      <c r="D175" s="214">
        <f>Daten_ALLG!$D$81+Daten_ALLG!$F$81*$O$94</f>
        <v>44.77822577140946</v>
      </c>
      <c r="E175" s="214">
        <f>Daten_ALLG!$D$81+Daten_ALLG!$F$81*$P$94</f>
        <v>44.77822577140946</v>
      </c>
      <c r="G175" s="173" t="s">
        <v>62</v>
      </c>
      <c r="I175" s="185" t="s">
        <v>64</v>
      </c>
      <c r="J175" s="219">
        <f>O16</f>
        <v>15.786921214379776</v>
      </c>
      <c r="K175" s="219">
        <f>P16</f>
        <v>15.786921214379776</v>
      </c>
    </row>
    <row r="176" spans="1:19" hidden="1" outlineLevel="2" x14ac:dyDescent="0.25">
      <c r="B176" s="174" t="s">
        <v>410</v>
      </c>
      <c r="C176" s="185" t="s">
        <v>64</v>
      </c>
      <c r="D176" s="214">
        <f>(D173-D172)*(D175-D173)/(D173-D174)+D173</f>
        <v>37.572702810376285</v>
      </c>
      <c r="E176" s="214">
        <f>(D173-D172)*(E175-D173)/(D173-D174)+D173</f>
        <v>37.572702810376285</v>
      </c>
      <c r="G176" s="173" t="s">
        <v>841</v>
      </c>
      <c r="I176" s="185" t="s">
        <v>368</v>
      </c>
      <c r="J176" s="219">
        <f>J172-(J172-J173)/(J175-J174)*($D$172-J174)</f>
        <v>6.226385174770698</v>
      </c>
      <c r="K176" s="219">
        <f>K172-(K172-K173)/(K175-K174)*($D$172-K174)</f>
        <v>6.226385174770698</v>
      </c>
    </row>
    <row r="177" spans="1:19" hidden="1" outlineLevel="2" x14ac:dyDescent="0.25">
      <c r="B177" s="174" t="s">
        <v>411</v>
      </c>
      <c r="C177" s="185" t="s">
        <v>13</v>
      </c>
      <c r="D177" s="191">
        <f>(273+D176+Daten_ALLG!$D$128)/(D176-D172+Daten_ALLG!$D$128-Daten_ALLG!$D$127)*Daten_ALLG!$M$135</f>
        <v>1.9711264087072204</v>
      </c>
      <c r="E177" s="191">
        <f>(273+E176+Daten_ALLG!$D$128)/(E176-D172+Daten_ALLG!$D$128-Daten_ALLG!$D$127)*Daten_ALLG!$M$135</f>
        <v>1.9711264087072204</v>
      </c>
    </row>
    <row r="178" spans="1:19" hidden="1" outlineLevel="2" x14ac:dyDescent="0.25">
      <c r="B178" s="174" t="s">
        <v>763</v>
      </c>
      <c r="C178" s="185" t="s">
        <v>13</v>
      </c>
      <c r="D178" s="191">
        <f>D176*Daten_ALLG!$F$132+Daten_ALLG!$D$132</f>
        <v>1.0467764147341141</v>
      </c>
      <c r="E178" s="191">
        <f>E176*Daten_ALLG!$F$132+Daten_ALLG!$D$132</f>
        <v>1.0467764147341141</v>
      </c>
    </row>
    <row r="179" spans="1:19" hidden="1" outlineLevel="2" x14ac:dyDescent="0.25">
      <c r="B179" s="174" t="s">
        <v>413</v>
      </c>
      <c r="C179" s="185" t="s">
        <v>13</v>
      </c>
      <c r="O179" s="224">
        <f>D177*D178/Daten_ALLG!$M$139</f>
        <v>0.90963950579425001</v>
      </c>
      <c r="P179" s="225">
        <f>E177*E178/Daten_ALLG!$M$139</f>
        <v>0.90963950579425001</v>
      </c>
    </row>
    <row r="180" spans="1:19" hidden="1" outlineLevel="2" x14ac:dyDescent="0.25">
      <c r="B180" s="174" t="s">
        <v>445</v>
      </c>
      <c r="C180" s="185" t="s">
        <v>368</v>
      </c>
      <c r="O180" s="226">
        <f>J176/O179</f>
        <v>6.8448930978807274</v>
      </c>
      <c r="P180" s="227">
        <f>K176/P179</f>
        <v>6.8448930978807274</v>
      </c>
    </row>
    <row r="181" spans="1:19" s="162" customFormat="1" hidden="1" outlineLevel="2" x14ac:dyDescent="0.25">
      <c r="B181" s="163" t="s">
        <v>415</v>
      </c>
      <c r="O181" s="164"/>
      <c r="P181" s="165"/>
      <c r="R181" s="164"/>
      <c r="S181" s="165"/>
    </row>
    <row r="182" spans="1:19" s="170" customFormat="1" hidden="1" outlineLevel="2" x14ac:dyDescent="0.25">
      <c r="A182" s="166"/>
      <c r="B182" s="167"/>
      <c r="C182" s="166"/>
      <c r="D182" s="166" t="s">
        <v>563</v>
      </c>
      <c r="E182" s="166" t="s">
        <v>564</v>
      </c>
      <c r="F182" s="166"/>
      <c r="G182" s="166"/>
      <c r="H182" s="166"/>
      <c r="J182" s="166"/>
      <c r="K182" s="166"/>
      <c r="L182" s="166"/>
      <c r="M182" s="166"/>
      <c r="N182" s="166"/>
      <c r="O182" s="168" t="s">
        <v>319</v>
      </c>
      <c r="P182" s="169" t="s">
        <v>332</v>
      </c>
      <c r="R182" s="171"/>
      <c r="S182" s="172"/>
    </row>
    <row r="183" spans="1:19" hidden="1" outlineLevel="2" x14ac:dyDescent="0.25">
      <c r="B183" s="174" t="s">
        <v>404</v>
      </c>
      <c r="C183" s="185" t="s">
        <v>64</v>
      </c>
      <c r="D183" s="214">
        <f>Daten_ALLG!$D$123</f>
        <v>-2</v>
      </c>
    </row>
    <row r="184" spans="1:19" hidden="1" outlineLevel="2" x14ac:dyDescent="0.25">
      <c r="B184" s="174" t="s">
        <v>405</v>
      </c>
      <c r="C184" s="185" t="s">
        <v>64</v>
      </c>
      <c r="D184" s="223">
        <f>Daten_ALLG!$D$27</f>
        <v>21</v>
      </c>
    </row>
    <row r="185" spans="1:19" hidden="1" outlineLevel="2" x14ac:dyDescent="0.25">
      <c r="B185" s="174" t="s">
        <v>406</v>
      </c>
      <c r="C185" s="185" t="s">
        <v>64</v>
      </c>
      <c r="D185" s="223">
        <f>Daten_ALLG!$D$16</f>
        <v>-12</v>
      </c>
    </row>
    <row r="186" spans="1:19" hidden="1" outlineLevel="2" x14ac:dyDescent="0.25">
      <c r="B186" s="174" t="s">
        <v>407</v>
      </c>
      <c r="C186" s="185" t="s">
        <v>64</v>
      </c>
      <c r="D186" s="214">
        <f>Daten_ALLG!$D$80+Daten_ALLG!$F$80*$O$94</f>
        <v>72.937787918312722</v>
      </c>
      <c r="E186" s="214">
        <f>Daten_ALLG!$D$80+Daten_ALLG!$F$80*$P$94</f>
        <v>72.937787918312722</v>
      </c>
    </row>
    <row r="187" spans="1:19" hidden="1" outlineLevel="2" x14ac:dyDescent="0.25">
      <c r="B187" s="174" t="s">
        <v>410</v>
      </c>
      <c r="C187" s="185" t="s">
        <v>64</v>
      </c>
      <c r="D187" s="214">
        <f>(D184-D183)*(D186-D184)/(D184-D185)+D184</f>
        <v>57.199064306702802</v>
      </c>
      <c r="E187" s="214">
        <f>(D184-D183)*(E186-D184)/(D184-D185)+D184</f>
        <v>57.199064306702802</v>
      </c>
    </row>
    <row r="188" spans="1:19" hidden="1" outlineLevel="2" x14ac:dyDescent="0.25">
      <c r="B188" s="174" t="s">
        <v>411</v>
      </c>
      <c r="C188" s="185" t="s">
        <v>13</v>
      </c>
      <c r="D188" s="191">
        <f>(273+D187+Daten_ALLG!$D$128)/(D187-D183+Daten_ALLG!$D$128-Daten_ALLG!$D$127)*Daten_ALLG!$M$135</f>
        <v>1.4830521871131206</v>
      </c>
      <c r="E188" s="191">
        <f>(273+E187+Daten_ALLG!$D$128)/(E187-D183+Daten_ALLG!$D$128-Daten_ALLG!$D$127)*Daten_ALLG!$M$135</f>
        <v>1.4830521871131206</v>
      </c>
    </row>
    <row r="189" spans="1:19" hidden="1" outlineLevel="2" x14ac:dyDescent="0.25">
      <c r="B189" s="174" t="s">
        <v>763</v>
      </c>
      <c r="C189" s="185" t="s">
        <v>13</v>
      </c>
      <c r="D189" s="191">
        <f>D187*Daten_ALLG!$F$132+Daten_ALLG!$D$132</f>
        <v>1.4036193510309598</v>
      </c>
      <c r="E189" s="191">
        <f>E187*Daten_ALLG!$F$132+Daten_ALLG!$D$132</f>
        <v>1.4036193510309598</v>
      </c>
    </row>
    <row r="190" spans="1:19" hidden="1" outlineLevel="2" x14ac:dyDescent="0.25">
      <c r="B190" s="174" t="s">
        <v>413</v>
      </c>
      <c r="C190" s="185" t="s">
        <v>13</v>
      </c>
      <c r="O190" s="224">
        <f>D188*D189/Daten_ALLG!$M$139</f>
        <v>0.91771258801345512</v>
      </c>
      <c r="P190" s="225">
        <f>E188*E189/Daten_ALLG!$M$139</f>
        <v>0.91771258801345512</v>
      </c>
    </row>
    <row r="191" spans="1:19" hidden="1" outlineLevel="2" x14ac:dyDescent="0.25">
      <c r="B191" s="174" t="s">
        <v>445</v>
      </c>
      <c r="C191" s="185" t="s">
        <v>368</v>
      </c>
      <c r="O191" s="226">
        <f>J176/O190</f>
        <v>6.7846788374656244</v>
      </c>
      <c r="P191" s="227">
        <f>K176/P190</f>
        <v>6.7846788374656244</v>
      </c>
    </row>
    <row r="192" spans="1:19" s="162" customFormat="1" hidden="1" outlineLevel="2" x14ac:dyDescent="0.25">
      <c r="B192" s="163" t="s">
        <v>486</v>
      </c>
      <c r="O192" s="164"/>
      <c r="P192" s="165"/>
      <c r="R192" s="164"/>
      <c r="S192" s="165"/>
    </row>
    <row r="193" spans="1:19" s="170" customFormat="1" hidden="1" outlineLevel="2" x14ac:dyDescent="0.25">
      <c r="A193" s="166"/>
      <c r="B193" s="167"/>
      <c r="C193" s="166"/>
      <c r="D193" s="166" t="s">
        <v>563</v>
      </c>
      <c r="E193" s="166" t="s">
        <v>564</v>
      </c>
      <c r="F193" s="166"/>
      <c r="G193" s="166"/>
      <c r="H193" s="166"/>
      <c r="J193" s="166"/>
      <c r="K193" s="166"/>
      <c r="L193" s="166"/>
      <c r="M193" s="166"/>
      <c r="N193" s="166"/>
      <c r="O193" s="168" t="s">
        <v>319</v>
      </c>
      <c r="P193" s="169" t="s">
        <v>332</v>
      </c>
      <c r="R193" s="171"/>
      <c r="S193" s="172"/>
    </row>
    <row r="194" spans="1:19" hidden="1" outlineLevel="2" x14ac:dyDescent="0.25">
      <c r="B194" s="174" t="s">
        <v>425</v>
      </c>
      <c r="C194" s="185" t="s">
        <v>64</v>
      </c>
      <c r="D194" s="219">
        <f>$O$17</f>
        <v>6.7708262998463509</v>
      </c>
      <c r="E194" s="219">
        <f>$P$17</f>
        <v>6.7708262998463509</v>
      </c>
    </row>
    <row r="195" spans="1:19" hidden="1" outlineLevel="2" x14ac:dyDescent="0.25">
      <c r="B195" s="174" t="s">
        <v>407</v>
      </c>
      <c r="C195" s="185" t="s">
        <v>64</v>
      </c>
      <c r="D195" s="214">
        <f>Daten_ALLG!$D$85+Daten_ALLG!$F$85*$O$94</f>
        <v>31.808284441549755</v>
      </c>
      <c r="E195" s="214">
        <f>Daten_ALLG!$D$85+Daten_ALLG!$F$85*$P$94</f>
        <v>31.808284441549755</v>
      </c>
    </row>
    <row r="196" spans="1:19" hidden="1" outlineLevel="2" x14ac:dyDescent="0.25">
      <c r="B196" s="174" t="s">
        <v>487</v>
      </c>
      <c r="C196" s="185" t="s">
        <v>13</v>
      </c>
      <c r="O196" s="224">
        <f>(273+D195+Daten_ALLG!$D$128)/(D195-D194+Daten_ALLG!$D$128-Daten_ALLG!$D$127)*Daten_ALLG!$M$135</f>
        <v>2.7860038425982618</v>
      </c>
      <c r="P196" s="225">
        <f>(273+E195+Daten_ALLG!$D$128)/(E195-E194+Daten_ALLG!$D$128-Daten_ALLG!$D$127)*Daten_ALLG!$M$135</f>
        <v>2.7860038425982618</v>
      </c>
    </row>
    <row r="197" spans="1:19" hidden="1" outlineLevel="2" x14ac:dyDescent="0.25">
      <c r="B197" s="174" t="s">
        <v>488</v>
      </c>
      <c r="C197" s="185" t="s">
        <v>13</v>
      </c>
      <c r="O197" s="228">
        <f>Daten_ALLG!$D$124*O196+(1-Daten_ALLG!$D$124)*Daten_ALLG!$M$120</f>
        <v>2.5859714122272566</v>
      </c>
      <c r="P197" s="229">
        <f>Daten_ALLG!$D$124*P196+(1-Daten_ALLG!$D$124)*Daten_ALLG!$M$120</f>
        <v>2.5859714122272566</v>
      </c>
    </row>
    <row r="198" spans="1:19" s="162" customFormat="1" hidden="1" outlineLevel="2" x14ac:dyDescent="0.25">
      <c r="B198" s="163" t="s">
        <v>489</v>
      </c>
      <c r="O198" s="164"/>
      <c r="P198" s="165"/>
      <c r="R198" s="164"/>
      <c r="S198" s="165"/>
    </row>
    <row r="199" spans="1:19" s="170" customFormat="1" hidden="1" outlineLevel="2" x14ac:dyDescent="0.25">
      <c r="A199" s="166"/>
      <c r="B199" s="167"/>
      <c r="C199" s="166"/>
      <c r="D199" s="166" t="s">
        <v>563</v>
      </c>
      <c r="E199" s="166" t="s">
        <v>564</v>
      </c>
      <c r="F199" s="166"/>
      <c r="G199" s="166"/>
      <c r="H199" s="166"/>
      <c r="J199" s="166"/>
      <c r="K199" s="166"/>
      <c r="L199" s="166"/>
      <c r="M199" s="166"/>
      <c r="N199" s="166"/>
      <c r="O199" s="168" t="s">
        <v>319</v>
      </c>
      <c r="P199" s="169" t="s">
        <v>332</v>
      </c>
      <c r="R199" s="171"/>
      <c r="S199" s="172"/>
    </row>
    <row r="200" spans="1:19" hidden="1" outlineLevel="2" x14ac:dyDescent="0.25">
      <c r="B200" s="174" t="s">
        <v>425</v>
      </c>
      <c r="C200" s="185" t="s">
        <v>64</v>
      </c>
      <c r="D200" s="219">
        <f>$O$17</f>
        <v>6.7708262998463509</v>
      </c>
      <c r="E200" s="219">
        <f>$P$17</f>
        <v>6.7708262998463509</v>
      </c>
    </row>
    <row r="201" spans="1:19" hidden="1" outlineLevel="2" x14ac:dyDescent="0.25">
      <c r="B201" s="174" t="s">
        <v>407</v>
      </c>
      <c r="C201" s="185" t="s">
        <v>64</v>
      </c>
      <c r="D201" s="214">
        <f>Daten_ALLG!$D$84+Daten_ALLG!$F$84*$O$94</f>
        <v>44.608085417414877</v>
      </c>
      <c r="E201" s="214">
        <f>Daten_ALLG!$D$84+Daten_ALLG!$F$84*$P$94</f>
        <v>44.608085417414877</v>
      </c>
    </row>
    <row r="202" spans="1:19" hidden="1" outlineLevel="2" x14ac:dyDescent="0.25">
      <c r="B202" s="174" t="s">
        <v>487</v>
      </c>
      <c r="C202" s="185" t="s">
        <v>13</v>
      </c>
      <c r="O202" s="224">
        <f>(273+D201+Daten_ALLG!$D$128)/(D201-D200+Daten_ALLG!$D$128-Daten_ALLG!$D$127)*Daten_ALLG!$M$135</f>
        <v>2.0918010254342323</v>
      </c>
      <c r="P202" s="225">
        <f>(273+E201+Daten_ALLG!$D$128)/(E201-E200+Daten_ALLG!$D$128-Daten_ALLG!$D$127)*Daten_ALLG!$M$135</f>
        <v>2.0918010254342323</v>
      </c>
    </row>
    <row r="203" spans="1:19" hidden="1" outlineLevel="2" x14ac:dyDescent="0.25">
      <c r="B203" s="174" t="s">
        <v>488</v>
      </c>
      <c r="C203" s="185" t="s">
        <v>13</v>
      </c>
      <c r="O203" s="228">
        <f>Daten_ALLG!$D$124*O202+(1-Daten_ALLG!$D$124)*Daten_ALLG!$M$120</f>
        <v>1.9695193105855981</v>
      </c>
      <c r="P203" s="229">
        <f>Daten_ALLG!$D$124*P202+(1-Daten_ALLG!$D$124)*Daten_ALLG!$M$120</f>
        <v>1.9695193105855981</v>
      </c>
    </row>
    <row r="204" spans="1:19" s="162" customFormat="1" hidden="1" outlineLevel="2" x14ac:dyDescent="0.25">
      <c r="A204" s="212" t="str">
        <f>IF(A129="","",A129)</f>
        <v/>
      </c>
      <c r="B204" s="163" t="s">
        <v>438</v>
      </c>
      <c r="D204" s="212" t="str">
        <f>IF(D129="","",D129)</f>
        <v/>
      </c>
      <c r="E204" s="212" t="str">
        <f>IF(E129="","",E129)</f>
        <v/>
      </c>
      <c r="F204" s="212" t="str">
        <f>IF(F129="","",F129)</f>
        <v/>
      </c>
      <c r="G204" s="212"/>
      <c r="O204" s="164"/>
      <c r="P204" s="165"/>
      <c r="R204" s="164"/>
      <c r="S204" s="165"/>
    </row>
    <row r="205" spans="1:19" s="170" customFormat="1" hidden="1" outlineLevel="2" x14ac:dyDescent="0.25">
      <c r="A205" s="166"/>
      <c r="B205" s="167"/>
      <c r="C205" s="166"/>
      <c r="D205" s="166" t="s">
        <v>389</v>
      </c>
      <c r="E205" s="166" t="s">
        <v>399</v>
      </c>
      <c r="F205" s="166" t="s">
        <v>398</v>
      </c>
      <c r="G205" s="166"/>
      <c r="H205" s="166"/>
      <c r="J205" s="166"/>
      <c r="K205" s="166"/>
      <c r="L205" s="166"/>
      <c r="M205" s="166"/>
      <c r="N205" s="166"/>
      <c r="O205" s="168" t="s">
        <v>319</v>
      </c>
      <c r="P205" s="169" t="s">
        <v>332</v>
      </c>
      <c r="R205" s="171"/>
      <c r="S205" s="172"/>
    </row>
    <row r="206" spans="1:19" hidden="1" outlineLevel="2" x14ac:dyDescent="0.25">
      <c r="B206" s="174" t="s">
        <v>178</v>
      </c>
      <c r="C206" s="185" t="s">
        <v>13</v>
      </c>
      <c r="D206" s="220"/>
      <c r="E206" s="191">
        <f>D123/(D123+D128)</f>
        <v>0.79999999999999993</v>
      </c>
      <c r="F206" s="191">
        <f>1-E206</f>
        <v>0.20000000000000007</v>
      </c>
      <c r="G206" s="185"/>
    </row>
    <row r="207" spans="1:19" hidden="1" outlineLevel="2" x14ac:dyDescent="0.25">
      <c r="B207" s="174" t="s">
        <v>488</v>
      </c>
      <c r="C207" s="185" t="s">
        <v>13</v>
      </c>
      <c r="D207" s="191">
        <f>$E$206*E207+$F$206*F207</f>
        <v>2.0928097309139297</v>
      </c>
      <c r="E207" s="191">
        <f>O203</f>
        <v>1.9695193105855981</v>
      </c>
      <c r="F207" s="191">
        <f>O197</f>
        <v>2.5859714122272566</v>
      </c>
      <c r="G207" s="215" t="s">
        <v>563</v>
      </c>
      <c r="O207" s="228">
        <f>IF($A204&lt;&gt;"",IF($D204="V",$D207,IF($E204="V",$E207,IF($F204="V",$F207,0))),$D207)</f>
        <v>2.0928097309139297</v>
      </c>
      <c r="P207" s="229">
        <f>IF($A204&lt;&gt;"",IF($D204="N",$D208,IF($E204="N",$E208,IF($F204="N",$F208,SUMPRODUCT(D208:F208,D209:F209)))),$D208)</f>
        <v>2.0928097309139297</v>
      </c>
    </row>
    <row r="208" spans="1:19" hidden="1" outlineLevel="2" x14ac:dyDescent="0.25">
      <c r="C208" s="185" t="s">
        <v>13</v>
      </c>
      <c r="D208" s="191">
        <f>$E$206*E208+$F$206*F208</f>
        <v>2.0928097309139297</v>
      </c>
      <c r="E208" s="191">
        <f>P203</f>
        <v>1.9695193105855981</v>
      </c>
      <c r="F208" s="191">
        <f>P197</f>
        <v>2.5859714122272566</v>
      </c>
      <c r="G208" s="174" t="s">
        <v>564</v>
      </c>
    </row>
    <row r="209" spans="1:19" hidden="1" outlineLevel="2" x14ac:dyDescent="0.25">
      <c r="C209" s="185"/>
      <c r="D209" s="218">
        <f>IF(D204="V",1,0)</f>
        <v>0</v>
      </c>
      <c r="E209" s="218">
        <f t="shared" ref="E209:F209" si="7">IF(E204="V",1,0)</f>
        <v>0</v>
      </c>
      <c r="F209" s="218">
        <f t="shared" si="7"/>
        <v>0</v>
      </c>
      <c r="G209" s="218"/>
      <c r="H209" s="174"/>
    </row>
    <row r="210" spans="1:19" hidden="1" outlineLevel="2" x14ac:dyDescent="0.25">
      <c r="B210" s="174" t="s">
        <v>420</v>
      </c>
      <c r="C210" s="185" t="s">
        <v>368</v>
      </c>
      <c r="D210" s="191">
        <f>$E$206*E210+$F$206*F210</f>
        <v>6.7967216895486455</v>
      </c>
      <c r="E210" s="191">
        <f>O191</f>
        <v>6.7846788374656244</v>
      </c>
      <c r="F210" s="191">
        <f>O180</f>
        <v>6.8448930978807274</v>
      </c>
      <c r="G210" s="215" t="s">
        <v>563</v>
      </c>
      <c r="O210" s="226">
        <f>IF($A204&lt;&gt;"",IF($D204="V",$D210,IF($E204="V",$E210,IF($F204="V",$F210,0))),$D210)</f>
        <v>6.7967216895486455</v>
      </c>
      <c r="P210" s="227">
        <f>IF($A204&lt;&gt;"",IF($D204="N",$D211,IF($E204="N",$E211,IF($F204="N",$F211,SUMPRODUCT(D211:F211,D212:F212)))),$D211)</f>
        <v>6.7967216895486455</v>
      </c>
    </row>
    <row r="211" spans="1:19" hidden="1" outlineLevel="2" x14ac:dyDescent="0.25">
      <c r="C211" s="185" t="s">
        <v>368</v>
      </c>
      <c r="D211" s="191">
        <f>$E$206*E211+$F$206*F211</f>
        <v>6.7967216895486455</v>
      </c>
      <c r="E211" s="191">
        <f>P191</f>
        <v>6.7846788374656244</v>
      </c>
      <c r="F211" s="191">
        <f>P180</f>
        <v>6.8448930978807274</v>
      </c>
      <c r="G211" s="174" t="s">
        <v>564</v>
      </c>
    </row>
    <row r="212" spans="1:19" hidden="1" outlineLevel="2" x14ac:dyDescent="0.25">
      <c r="C212" s="185"/>
      <c r="D212" s="218">
        <f>IF(D204="V",1,0)</f>
        <v>0</v>
      </c>
      <c r="E212" s="218">
        <f t="shared" ref="E212:F212" si="8">IF(E204="V",1,0)</f>
        <v>0</v>
      </c>
      <c r="F212" s="218">
        <f t="shared" si="8"/>
        <v>0</v>
      </c>
      <c r="G212" s="218"/>
      <c r="H212" s="174"/>
    </row>
    <row r="213" spans="1:19" s="162" customFormat="1" hidden="1" outlineLevel="2" x14ac:dyDescent="0.25">
      <c r="B213" s="163" t="s">
        <v>490</v>
      </c>
      <c r="O213" s="164"/>
      <c r="P213" s="165"/>
      <c r="R213" s="164"/>
      <c r="S213" s="165"/>
    </row>
    <row r="214" spans="1:19" s="170" customFormat="1" hidden="1" outlineLevel="2" x14ac:dyDescent="0.25">
      <c r="A214" s="166"/>
      <c r="B214" s="167"/>
      <c r="C214" s="166"/>
      <c r="D214" s="166"/>
      <c r="E214" s="166"/>
      <c r="F214" s="166"/>
      <c r="G214" s="166"/>
      <c r="H214" s="166"/>
      <c r="J214" s="166"/>
      <c r="K214" s="166"/>
      <c r="L214" s="166"/>
      <c r="M214" s="166"/>
      <c r="N214" s="166"/>
      <c r="O214" s="168" t="s">
        <v>319</v>
      </c>
      <c r="P214" s="169" t="s">
        <v>332</v>
      </c>
      <c r="R214" s="171"/>
      <c r="S214" s="172"/>
    </row>
    <row r="215" spans="1:19" hidden="1" outlineLevel="2" x14ac:dyDescent="0.25">
      <c r="B215" s="174" t="s">
        <v>424</v>
      </c>
      <c r="C215" s="185" t="s">
        <v>64</v>
      </c>
      <c r="D215" s="219">
        <f>Daten_ALLG!$D$7</f>
        <v>9.60602185258848</v>
      </c>
      <c r="E215" s="230"/>
    </row>
    <row r="216" spans="1:19" hidden="1" outlineLevel="2" x14ac:dyDescent="0.25">
      <c r="B216" s="174" t="s">
        <v>407</v>
      </c>
      <c r="C216" s="185" t="s">
        <v>64</v>
      </c>
      <c r="D216" s="214">
        <f>Daten_ALLG!$D$37</f>
        <v>55</v>
      </c>
      <c r="E216" s="220"/>
    </row>
    <row r="217" spans="1:19" hidden="1" outlineLevel="2" x14ac:dyDescent="0.25">
      <c r="B217" s="174" t="s">
        <v>491</v>
      </c>
      <c r="C217" s="185" t="s">
        <v>13</v>
      </c>
      <c r="O217" s="224">
        <f>(273+D216+Daten_ALLG!$D$128)/(D216-D215+Daten_ALLG!$D$128-Daten_ALLG!$D$127)*Daten_ALLG!$M$135</f>
        <v>1.8541416735549872</v>
      </c>
      <c r="P217" s="225">
        <f>(273+D216+Daten_ALLG!$D$128)/(D216-D215+Daten_ALLG!$D$128-Daten_ALLG!$D$127)*Daten_ALLG!$M$135</f>
        <v>1.8541416735549872</v>
      </c>
    </row>
    <row r="218" spans="1:19" hidden="1" outlineLevel="2" x14ac:dyDescent="0.25">
      <c r="B218" s="174" t="s">
        <v>492</v>
      </c>
      <c r="C218" s="185" t="s">
        <v>13</v>
      </c>
      <c r="O218" s="228">
        <f>Daten_ALLG!$D$124*O217+(1-Daten_ALLG!$D$124)*Daten_ALLG!$M$120</f>
        <v>1.7584778061168285</v>
      </c>
      <c r="P218" s="229">
        <f>Daten_ALLG!$D$124*P217+(1-Daten_ALLG!$D$124)*Daten_ALLG!$M$120</f>
        <v>1.7584778061168285</v>
      </c>
    </row>
    <row r="219" spans="1:19" s="159" customFormat="1" ht="14.25" customHeight="1" collapsed="1" x14ac:dyDescent="0.25">
      <c r="A219" s="156" t="s">
        <v>440</v>
      </c>
      <c r="B219" s="157"/>
      <c r="C219" s="157"/>
      <c r="D219" s="158"/>
      <c r="O219" s="160"/>
      <c r="P219" s="161"/>
      <c r="R219" s="160"/>
      <c r="S219" s="161"/>
    </row>
    <row r="220" spans="1:19" s="162" customFormat="1" hidden="1" outlineLevel="2" x14ac:dyDescent="0.25">
      <c r="B220" s="163" t="s">
        <v>417</v>
      </c>
      <c r="O220" s="164"/>
      <c r="P220" s="165"/>
      <c r="R220" s="164"/>
      <c r="S220" s="165"/>
    </row>
    <row r="221" spans="1:19" s="170" customFormat="1" hidden="1" outlineLevel="2" x14ac:dyDescent="0.25">
      <c r="A221" s="166"/>
      <c r="B221" s="167"/>
      <c r="C221" s="166"/>
      <c r="D221" s="166" t="s">
        <v>563</v>
      </c>
      <c r="E221" s="166" t="s">
        <v>564</v>
      </c>
      <c r="F221" s="166"/>
      <c r="G221" s="166"/>
      <c r="H221" s="166"/>
      <c r="J221" s="166"/>
      <c r="K221" s="166"/>
      <c r="L221" s="166"/>
      <c r="M221" s="166"/>
      <c r="N221" s="166"/>
      <c r="O221" s="168" t="s">
        <v>319</v>
      </c>
      <c r="P221" s="169" t="s">
        <v>332</v>
      </c>
      <c r="R221" s="171"/>
      <c r="S221" s="172"/>
    </row>
    <row r="222" spans="1:19" hidden="1" outlineLevel="2" x14ac:dyDescent="0.25">
      <c r="B222" s="174" t="s">
        <v>423</v>
      </c>
      <c r="C222" s="185" t="s">
        <v>64</v>
      </c>
      <c r="D222" s="223">
        <f>Daten_ALLG!$D$17</f>
        <v>-2</v>
      </c>
    </row>
    <row r="223" spans="1:19" hidden="1" outlineLevel="2" x14ac:dyDescent="0.25">
      <c r="B223" s="174" t="s">
        <v>407</v>
      </c>
      <c r="C223" s="185" t="s">
        <v>64</v>
      </c>
      <c r="D223" s="214">
        <f>Daten_ALLG!$D$81+Daten_ALLG!$F$81*$O$94</f>
        <v>44.77822577140946</v>
      </c>
      <c r="E223" s="214">
        <f>Daten_ALLG!$D$81+Daten_ALLG!$F$81*$P$94</f>
        <v>44.77822577140946</v>
      </c>
    </row>
    <row r="224" spans="1:19" hidden="1" outlineLevel="2" x14ac:dyDescent="0.25">
      <c r="B224" s="174" t="s">
        <v>416</v>
      </c>
      <c r="C224" s="185" t="s">
        <v>13</v>
      </c>
      <c r="D224" s="191">
        <f>(273+D223+Daten_ALLG!$D$128)/(D223-D222+Daten_ALLG!$D$128-Daten_ALLG!$D$127)*Daten_ALLG!$M$136</f>
        <v>1.9848141342873891</v>
      </c>
      <c r="E224" s="191">
        <f>(273+E223+Daten_ALLG!$D$128)/(E223-D222+Daten_ALLG!$D$128-Daten_ALLG!$D$127)*Daten_ALLG!$M$136</f>
        <v>1.9848141342873891</v>
      </c>
    </row>
    <row r="225" spans="1:19" hidden="1" outlineLevel="2" x14ac:dyDescent="0.25">
      <c r="B225" s="174" t="s">
        <v>763</v>
      </c>
      <c r="C225" s="185" t="s">
        <v>13</v>
      </c>
      <c r="D225" s="191">
        <f>D223*Daten_ALLG!$F$132+Daten_ALLG!$D$132</f>
        <v>1.1777859231165353</v>
      </c>
      <c r="E225" s="191">
        <f>E223*Daten_ALLG!$F$132+Daten_ALLG!$D$132</f>
        <v>1.1777859231165353</v>
      </c>
    </row>
    <row r="226" spans="1:19" hidden="1" outlineLevel="2" x14ac:dyDescent="0.25">
      <c r="B226" s="174" t="s">
        <v>419</v>
      </c>
      <c r="C226" s="185" t="s">
        <v>13</v>
      </c>
      <c r="O226" s="224">
        <f>D224*D225/Daten_ALLG!$M$140</f>
        <v>0.95370497473203053</v>
      </c>
      <c r="P226" s="225">
        <f>E224*E225/Daten_ALLG!$M$140</f>
        <v>0.95370497473203053</v>
      </c>
    </row>
    <row r="227" spans="1:19" hidden="1" outlineLevel="2" x14ac:dyDescent="0.25">
      <c r="B227" s="174" t="s">
        <v>445</v>
      </c>
      <c r="C227" s="185" t="s">
        <v>368</v>
      </c>
      <c r="O227" s="226">
        <f>$O$100/O226</f>
        <v>10.199093745785508</v>
      </c>
      <c r="P227" s="227">
        <f>$P$100/P226</f>
        <v>10.199093745785508</v>
      </c>
    </row>
    <row r="228" spans="1:19" s="162" customFormat="1" hidden="1" outlineLevel="2" x14ac:dyDescent="0.25">
      <c r="B228" s="163" t="s">
        <v>418</v>
      </c>
      <c r="O228" s="164"/>
      <c r="P228" s="165"/>
      <c r="R228" s="164"/>
      <c r="S228" s="165"/>
    </row>
    <row r="229" spans="1:19" s="170" customFormat="1" hidden="1" outlineLevel="2" x14ac:dyDescent="0.25">
      <c r="A229" s="166"/>
      <c r="B229" s="167"/>
      <c r="C229" s="166"/>
      <c r="D229" s="166" t="s">
        <v>563</v>
      </c>
      <c r="E229" s="166" t="s">
        <v>564</v>
      </c>
      <c r="F229" s="166"/>
      <c r="G229" s="166"/>
      <c r="H229" s="166"/>
      <c r="J229" s="166"/>
      <c r="K229" s="166"/>
      <c r="L229" s="166"/>
      <c r="M229" s="166"/>
      <c r="N229" s="166"/>
      <c r="O229" s="168" t="s">
        <v>319</v>
      </c>
      <c r="P229" s="169" t="s">
        <v>332</v>
      </c>
      <c r="R229" s="171"/>
      <c r="S229" s="172"/>
    </row>
    <row r="230" spans="1:19" hidden="1" outlineLevel="2" x14ac:dyDescent="0.25">
      <c r="B230" s="174" t="s">
        <v>423</v>
      </c>
      <c r="C230" s="185" t="s">
        <v>64</v>
      </c>
      <c r="D230" s="223">
        <f>Daten_ALLG!$D$17</f>
        <v>-2</v>
      </c>
    </row>
    <row r="231" spans="1:19" hidden="1" outlineLevel="2" x14ac:dyDescent="0.25">
      <c r="B231" s="174" t="s">
        <v>407</v>
      </c>
      <c r="C231" s="185" t="s">
        <v>64</v>
      </c>
      <c r="D231" s="214">
        <f>Daten_ALLG!$D$80+Daten_ALLG!$F$80*$O$94</f>
        <v>72.937787918312722</v>
      </c>
      <c r="E231" s="214">
        <f>Daten_ALLG!$D$80+Daten_ALLG!$F$80*$P$94</f>
        <v>72.937787918312722</v>
      </c>
    </row>
    <row r="232" spans="1:19" hidden="1" outlineLevel="2" x14ac:dyDescent="0.25">
      <c r="B232" s="174" t="s">
        <v>416</v>
      </c>
      <c r="C232" s="185" t="s">
        <v>13</v>
      </c>
      <c r="D232" s="191">
        <f>(273+D231+Daten_ALLG!$D$128)/(D231-D230+Daten_ALLG!$D$128-Daten_ALLG!$D$127)*Daten_ALLG!$M$136</f>
        <v>1.4263564397056443</v>
      </c>
      <c r="E232" s="191">
        <f>(273+E231+Daten_ALLG!$D$128)/(E231-D230+Daten_ALLG!$D$128-Daten_ALLG!$D$127)*Daten_ALLG!$M$136</f>
        <v>1.4263564397056443</v>
      </c>
    </row>
    <row r="233" spans="1:19" hidden="1" outlineLevel="2" x14ac:dyDescent="0.25">
      <c r="B233" s="174" t="s">
        <v>763</v>
      </c>
      <c r="C233" s="185" t="s">
        <v>13</v>
      </c>
      <c r="D233" s="191">
        <f>D231*Daten_ALLG!$F$132+Daten_ALLG!$D$132</f>
        <v>1.68977796215114</v>
      </c>
      <c r="E233" s="191">
        <f>E231*Daten_ALLG!$F$132+Daten_ALLG!$D$132</f>
        <v>1.68977796215114</v>
      </c>
    </row>
    <row r="234" spans="1:19" hidden="1" outlineLevel="2" x14ac:dyDescent="0.25">
      <c r="B234" s="174" t="s">
        <v>419</v>
      </c>
      <c r="C234" s="185" t="s">
        <v>13</v>
      </c>
      <c r="O234" s="224">
        <f>D232*D233/Daten_ALLG!$M$140</f>
        <v>0.98329890088652028</v>
      </c>
      <c r="P234" s="225">
        <f>E232*E233/Daten_ALLG!$M$140</f>
        <v>0.98329890088652028</v>
      </c>
    </row>
    <row r="235" spans="1:19" hidden="1" outlineLevel="2" x14ac:dyDescent="0.25">
      <c r="B235" s="174" t="s">
        <v>445</v>
      </c>
      <c r="C235" s="185" t="s">
        <v>368</v>
      </c>
      <c r="O235" s="226">
        <f>$O$100/O234</f>
        <v>9.8921359866713967</v>
      </c>
      <c r="P235" s="227">
        <f>$P$100/P234</f>
        <v>9.8921359866713967</v>
      </c>
    </row>
    <row r="236" spans="1:19" s="162" customFormat="1" hidden="1" outlineLevel="2" x14ac:dyDescent="0.25">
      <c r="B236" s="163" t="s">
        <v>493</v>
      </c>
      <c r="O236" s="164"/>
      <c r="P236" s="165"/>
      <c r="R236" s="164"/>
      <c r="S236" s="165"/>
    </row>
    <row r="237" spans="1:19" s="170" customFormat="1" hidden="1" outlineLevel="2" x14ac:dyDescent="0.25">
      <c r="A237" s="166"/>
      <c r="B237" s="167"/>
      <c r="C237" s="166"/>
      <c r="D237" s="166" t="s">
        <v>563</v>
      </c>
      <c r="E237" s="166" t="s">
        <v>564</v>
      </c>
      <c r="F237" s="166"/>
      <c r="G237" s="166"/>
      <c r="H237" s="166"/>
      <c r="J237" s="166"/>
      <c r="K237" s="166"/>
      <c r="L237" s="166"/>
      <c r="M237" s="166"/>
      <c r="N237" s="166"/>
      <c r="O237" s="168" t="s">
        <v>319</v>
      </c>
      <c r="P237" s="169" t="s">
        <v>332</v>
      </c>
      <c r="R237" s="171"/>
      <c r="S237" s="172"/>
    </row>
    <row r="238" spans="1:19" hidden="1" outlineLevel="2" x14ac:dyDescent="0.25">
      <c r="B238" s="174" t="s">
        <v>426</v>
      </c>
      <c r="C238" s="185" t="s">
        <v>64</v>
      </c>
      <c r="D238" s="219">
        <f>Daten_ALLG!$D$13</f>
        <v>8.60602185258848</v>
      </c>
      <c r="E238" s="219">
        <f>Daten_ALLG!$D$13</f>
        <v>8.60602185258848</v>
      </c>
    </row>
    <row r="239" spans="1:19" hidden="1" outlineLevel="2" x14ac:dyDescent="0.25">
      <c r="B239" s="174" t="s">
        <v>407</v>
      </c>
      <c r="C239" s="185" t="s">
        <v>64</v>
      </c>
      <c r="D239" s="214">
        <f>Daten_ALLG!$D$85+Daten_ALLG!$F$85*$O$94</f>
        <v>31.808284441549755</v>
      </c>
      <c r="E239" s="214">
        <f>Daten_ALLG!$D$85+Daten_ALLG!$F$85*$P$94</f>
        <v>31.808284441549755</v>
      </c>
    </row>
    <row r="240" spans="1:19" hidden="1" outlineLevel="2" x14ac:dyDescent="0.25">
      <c r="B240" s="174" t="s">
        <v>487</v>
      </c>
      <c r="C240" s="185" t="s">
        <v>13</v>
      </c>
      <c r="O240" s="228">
        <f>(273+D239+Daten_ALLG!$D$128)/(D239-D238+Daten_ALLG!$D$128-Daten_ALLG!$D$127)*Daten_ALLG!$M$136</f>
        <v>3.3431811687602222</v>
      </c>
      <c r="P240" s="229">
        <f>(273+E239+Daten_ALLG!$D$128)/(E239-E238+Daten_ALLG!$D$128-Daten_ALLG!$D$127)*Daten_ALLG!$M$136</f>
        <v>3.3431811687602222</v>
      </c>
    </row>
    <row r="241" spans="1:19" s="162" customFormat="1" hidden="1" outlineLevel="2" x14ac:dyDescent="0.25">
      <c r="B241" s="163" t="s">
        <v>494</v>
      </c>
      <c r="O241" s="164"/>
      <c r="P241" s="165"/>
      <c r="R241" s="164"/>
      <c r="S241" s="165"/>
    </row>
    <row r="242" spans="1:19" s="170" customFormat="1" hidden="1" outlineLevel="2" x14ac:dyDescent="0.25">
      <c r="A242" s="166"/>
      <c r="B242" s="167"/>
      <c r="C242" s="166"/>
      <c r="D242" s="166" t="s">
        <v>563</v>
      </c>
      <c r="E242" s="166" t="s">
        <v>564</v>
      </c>
      <c r="F242" s="166"/>
      <c r="G242" s="166"/>
      <c r="H242" s="166"/>
      <c r="J242" s="166"/>
      <c r="K242" s="166"/>
      <c r="L242" s="166"/>
      <c r="M242" s="166"/>
      <c r="N242" s="166"/>
      <c r="O242" s="168" t="s">
        <v>319</v>
      </c>
      <c r="P242" s="169" t="s">
        <v>332</v>
      </c>
      <c r="R242" s="171"/>
      <c r="S242" s="172"/>
    </row>
    <row r="243" spans="1:19" hidden="1" outlineLevel="2" x14ac:dyDescent="0.25">
      <c r="B243" s="174" t="s">
        <v>426</v>
      </c>
      <c r="C243" s="185" t="s">
        <v>64</v>
      </c>
      <c r="D243" s="219">
        <f>Daten_ALLG!$D$13</f>
        <v>8.60602185258848</v>
      </c>
      <c r="E243" s="219">
        <f>Daten_ALLG!$D$13</f>
        <v>8.60602185258848</v>
      </c>
    </row>
    <row r="244" spans="1:19" hidden="1" outlineLevel="2" x14ac:dyDescent="0.25">
      <c r="B244" s="174" t="s">
        <v>407</v>
      </c>
      <c r="C244" s="185" t="s">
        <v>64</v>
      </c>
      <c r="D244" s="214">
        <f>Daten_ALLG!$D$84+Daten_ALLG!$F$84*$O$94</f>
        <v>44.608085417414877</v>
      </c>
      <c r="E244" s="214">
        <f>Daten_ALLG!$D$84+Daten_ALLG!$F$84*$P$94</f>
        <v>44.608085417414877</v>
      </c>
    </row>
    <row r="245" spans="1:19" hidden="1" outlineLevel="2" x14ac:dyDescent="0.25">
      <c r="B245" s="174" t="s">
        <v>487</v>
      </c>
      <c r="C245" s="185" t="s">
        <v>13</v>
      </c>
      <c r="O245" s="228">
        <f>(273+D244+Daten_ALLG!$D$128)/(D244-D243+Daten_ALLG!$D$128-Daten_ALLG!$D$127)*Daten_ALLG!$M$136</f>
        <v>2.4695830203923705</v>
      </c>
      <c r="P245" s="229">
        <f>(273+E244+Daten_ALLG!$D$128)/(E244-E243+Daten_ALLG!$D$128-Daten_ALLG!$D$127)*Daten_ALLG!$M$136</f>
        <v>2.4695830203923705</v>
      </c>
    </row>
    <row r="246" spans="1:19" s="162" customFormat="1" hidden="1" outlineLevel="2" x14ac:dyDescent="0.25">
      <c r="A246" s="212" t="str">
        <f>IF(A129="","",A129)</f>
        <v/>
      </c>
      <c r="B246" s="163" t="s">
        <v>438</v>
      </c>
      <c r="D246" s="212" t="str">
        <f>IF(D129="","",D129)</f>
        <v/>
      </c>
      <c r="E246" s="212" t="str">
        <f>IF(E129="","",E129)</f>
        <v/>
      </c>
      <c r="F246" s="212" t="str">
        <f t="shared" ref="F246:G246" si="9">IF(F129="","",F129)</f>
        <v/>
      </c>
      <c r="G246" s="212" t="str">
        <f t="shared" si="9"/>
        <v/>
      </c>
      <c r="O246" s="164"/>
      <c r="P246" s="165"/>
      <c r="R246" s="164"/>
      <c r="S246" s="165"/>
    </row>
    <row r="247" spans="1:19" s="170" customFormat="1" hidden="1" outlineLevel="2" x14ac:dyDescent="0.25">
      <c r="A247" s="166"/>
      <c r="B247" s="167"/>
      <c r="C247" s="166"/>
      <c r="D247" s="166" t="s">
        <v>389</v>
      </c>
      <c r="E247" s="166" t="s">
        <v>399</v>
      </c>
      <c r="F247" s="166" t="s">
        <v>398</v>
      </c>
      <c r="G247" s="166"/>
      <c r="H247" s="166"/>
      <c r="J247" s="166"/>
      <c r="K247" s="166"/>
      <c r="L247" s="166"/>
      <c r="M247" s="166"/>
      <c r="N247" s="166"/>
      <c r="O247" s="168" t="s">
        <v>319</v>
      </c>
      <c r="P247" s="169" t="s">
        <v>332</v>
      </c>
      <c r="R247" s="171"/>
      <c r="S247" s="172"/>
    </row>
    <row r="248" spans="1:19" hidden="1" outlineLevel="2" x14ac:dyDescent="0.25">
      <c r="B248" s="174" t="s">
        <v>178</v>
      </c>
      <c r="C248" s="185" t="s">
        <v>13</v>
      </c>
      <c r="D248" s="220"/>
      <c r="E248" s="191">
        <f>D123/(D128+D123)</f>
        <v>0.79999999999999993</v>
      </c>
      <c r="F248" s="191">
        <f>1-E248</f>
        <v>0.20000000000000007</v>
      </c>
      <c r="G248" s="185"/>
    </row>
    <row r="249" spans="1:19" hidden="1" outlineLevel="2" x14ac:dyDescent="0.25">
      <c r="B249" s="174" t="s">
        <v>487</v>
      </c>
      <c r="C249" s="185" t="s">
        <v>13</v>
      </c>
      <c r="D249" s="191">
        <f>$E$206*E249+$F$206*F249</f>
        <v>2.6443026500659408</v>
      </c>
      <c r="E249" s="191">
        <f>O245</f>
        <v>2.4695830203923705</v>
      </c>
      <c r="F249" s="191">
        <f>O240</f>
        <v>3.3431811687602222</v>
      </c>
      <c r="G249" s="215" t="s">
        <v>563</v>
      </c>
      <c r="O249" s="228">
        <f>IF($A246&lt;&gt;"",IF($D246="V",$D249,IF($E246="V",$E249,IF($F246="V",$F249,0))),$D249)</f>
        <v>2.6443026500659408</v>
      </c>
      <c r="P249" s="229">
        <f>IF($A246&lt;&gt;"",IF($D246="N",$D250,IF($E246="N",$E250,IF($F246="N",$F250,SUMPRODUCT(D250:F250,D251:F251)))),$D250)</f>
        <v>2.6443026500659408</v>
      </c>
    </row>
    <row r="250" spans="1:19" hidden="1" outlineLevel="2" x14ac:dyDescent="0.25">
      <c r="C250" s="185" t="s">
        <v>13</v>
      </c>
      <c r="D250" s="191">
        <f>$E$206*E250+$F$206*F250</f>
        <v>2.6443026500659408</v>
      </c>
      <c r="E250" s="191">
        <f>P245</f>
        <v>2.4695830203923705</v>
      </c>
      <c r="F250" s="191">
        <f>P240</f>
        <v>3.3431811687602222</v>
      </c>
      <c r="G250" s="174" t="s">
        <v>564</v>
      </c>
    </row>
    <row r="251" spans="1:19" hidden="1" outlineLevel="2" x14ac:dyDescent="0.25">
      <c r="C251" s="185"/>
      <c r="D251" s="218">
        <f>IF(D246="V",1,0)</f>
        <v>0</v>
      </c>
      <c r="E251" s="218">
        <f t="shared" ref="E251:F251" si="10">IF(E246="V",1,0)</f>
        <v>0</v>
      </c>
      <c r="F251" s="218">
        <f t="shared" si="10"/>
        <v>0</v>
      </c>
      <c r="G251" s="218"/>
      <c r="H251" s="174"/>
    </row>
    <row r="252" spans="1:19" hidden="1" outlineLevel="2" x14ac:dyDescent="0.25">
      <c r="B252" s="174" t="s">
        <v>420</v>
      </c>
      <c r="C252" s="185" t="s">
        <v>368</v>
      </c>
      <c r="D252" s="191">
        <f>$E$206*E252+$F$206*F252</f>
        <v>9.9535275384942175</v>
      </c>
      <c r="E252" s="191">
        <f>O235</f>
        <v>9.8921359866713967</v>
      </c>
      <c r="F252" s="191">
        <f>O227</f>
        <v>10.199093745785508</v>
      </c>
      <c r="G252" s="215" t="s">
        <v>563</v>
      </c>
      <c r="O252" s="226">
        <f>IF($A246&lt;&gt;"",IF($D246="V",$D252,IF($E246="V",$E252,IF($F246="V",$F252,0))),$D252)</f>
        <v>9.9535275384942175</v>
      </c>
      <c r="P252" s="227">
        <f>IF($A246&lt;&gt;"",IF($D246="N",$D253,IF($E246="N",$E253,IF($F246="N",$F253,SUMPRODUCT(D253:F253,D254:F254)))),$D253)</f>
        <v>9.9535275384942175</v>
      </c>
    </row>
    <row r="253" spans="1:19" hidden="1" outlineLevel="2" x14ac:dyDescent="0.25">
      <c r="C253" s="185" t="s">
        <v>368</v>
      </c>
      <c r="D253" s="191">
        <f>$E$206*E253+$F$206*F253</f>
        <v>9.9535275384942175</v>
      </c>
      <c r="E253" s="191">
        <f>P235</f>
        <v>9.8921359866713967</v>
      </c>
      <c r="F253" s="191">
        <f>P227</f>
        <v>10.199093745785508</v>
      </c>
      <c r="G253" s="174" t="s">
        <v>564</v>
      </c>
    </row>
    <row r="254" spans="1:19" hidden="1" outlineLevel="2" x14ac:dyDescent="0.25">
      <c r="C254" s="185"/>
      <c r="D254" s="218">
        <f>IF(D246="V",1,0)</f>
        <v>0</v>
      </c>
      <c r="E254" s="218">
        <f t="shared" ref="E254:F254" si="11">IF(E246="V",1,0)</f>
        <v>0</v>
      </c>
      <c r="F254" s="218">
        <f t="shared" si="11"/>
        <v>0</v>
      </c>
      <c r="G254" s="218"/>
      <c r="H254" s="174"/>
    </row>
    <row r="255" spans="1:19" s="162" customFormat="1" hidden="1" outlineLevel="2" x14ac:dyDescent="0.25">
      <c r="B255" s="163" t="s">
        <v>495</v>
      </c>
      <c r="O255" s="164"/>
      <c r="P255" s="165"/>
      <c r="R255" s="164"/>
      <c r="S255" s="165"/>
    </row>
    <row r="256" spans="1:19" s="170" customFormat="1" hidden="1" outlineLevel="2" x14ac:dyDescent="0.25">
      <c r="A256" s="166"/>
      <c r="B256" s="167"/>
      <c r="C256" s="166"/>
      <c r="D256" s="166"/>
      <c r="E256" s="166"/>
      <c r="F256" s="166"/>
      <c r="G256" s="166"/>
      <c r="H256" s="166"/>
      <c r="J256" s="166"/>
      <c r="K256" s="166"/>
      <c r="L256" s="166"/>
      <c r="M256" s="166"/>
      <c r="N256" s="166"/>
      <c r="O256" s="168" t="s">
        <v>319</v>
      </c>
      <c r="P256" s="169" t="s">
        <v>332</v>
      </c>
      <c r="R256" s="171"/>
      <c r="S256" s="172"/>
    </row>
    <row r="257" spans="1:19" hidden="1" outlineLevel="2" x14ac:dyDescent="0.25">
      <c r="B257" s="174" t="s">
        <v>426</v>
      </c>
      <c r="C257" s="185" t="s">
        <v>64</v>
      </c>
      <c r="D257" s="219">
        <f>Daten_ALLG!$D$8</f>
        <v>10.60602185258848</v>
      </c>
      <c r="E257" s="230"/>
    </row>
    <row r="258" spans="1:19" hidden="1" outlineLevel="2" x14ac:dyDescent="0.25">
      <c r="B258" s="174" t="s">
        <v>407</v>
      </c>
      <c r="C258" s="185" t="s">
        <v>64</v>
      </c>
      <c r="D258" s="214">
        <f>Daten_ALLG!$D$37</f>
        <v>55</v>
      </c>
      <c r="E258" s="220"/>
    </row>
    <row r="259" spans="1:19" hidden="1" outlineLevel="2" x14ac:dyDescent="0.25">
      <c r="B259" s="174" t="s">
        <v>491</v>
      </c>
      <c r="C259" s="185" t="s">
        <v>13</v>
      </c>
      <c r="O259" s="228">
        <f>(273+D258+Daten_ALLG!$D$128)/(D258-D257+Daten_ALLG!$D$128-Daten_ALLG!$D$127)*Daten_ALLG!$M$136</f>
        <v>2.1414674733100632</v>
      </c>
      <c r="P259" s="229">
        <f>(273+D258+Daten_ALLG!$D$128)/(D258-D257+Daten_ALLG!$D$128-Daten_ALLG!$D$127)*Daten_ALLG!$M$136</f>
        <v>2.1414674733100632</v>
      </c>
    </row>
    <row r="260" spans="1:19" s="159" customFormat="1" ht="14.25" customHeight="1" collapsed="1" x14ac:dyDescent="0.25">
      <c r="A260" s="156" t="s">
        <v>428</v>
      </c>
      <c r="B260" s="157"/>
      <c r="C260" s="157"/>
      <c r="D260" s="158"/>
      <c r="O260" s="160"/>
      <c r="P260" s="161"/>
      <c r="R260" s="160"/>
      <c r="S260" s="161"/>
    </row>
    <row r="261" spans="1:19" s="162" customFormat="1" hidden="1" outlineLevel="2" x14ac:dyDescent="0.25">
      <c r="B261" s="163" t="s">
        <v>429</v>
      </c>
      <c r="O261" s="164"/>
      <c r="P261" s="165"/>
      <c r="R261" s="164"/>
      <c r="S261" s="165"/>
    </row>
    <row r="262" spans="1:19" s="170" customFormat="1" hidden="1" outlineLevel="2" x14ac:dyDescent="0.25">
      <c r="A262" s="166"/>
      <c r="B262" s="167"/>
      <c r="C262" s="166"/>
      <c r="D262" s="166"/>
      <c r="E262" s="166"/>
      <c r="F262" s="166"/>
      <c r="G262" s="166"/>
      <c r="H262" s="166"/>
      <c r="J262" s="166"/>
      <c r="K262" s="166"/>
      <c r="L262" s="166"/>
      <c r="M262" s="166"/>
      <c r="N262" s="166"/>
      <c r="O262" s="168" t="s">
        <v>319</v>
      </c>
      <c r="P262" s="169" t="s">
        <v>332</v>
      </c>
      <c r="R262" s="171"/>
      <c r="S262" s="172"/>
    </row>
    <row r="263" spans="1:19" hidden="1" outlineLevel="2" x14ac:dyDescent="0.25">
      <c r="B263" s="173" t="s">
        <v>21</v>
      </c>
      <c r="C263" s="185" t="s">
        <v>13</v>
      </c>
      <c r="O263" s="231">
        <f>Daten_ALLG!$M116</f>
        <v>0.7</v>
      </c>
      <c r="P263" s="232">
        <f>Daten_ALLG!$M116</f>
        <v>0.7</v>
      </c>
    </row>
    <row r="264" spans="1:19" hidden="1" outlineLevel="2" x14ac:dyDescent="0.25">
      <c r="B264" s="173" t="s">
        <v>402</v>
      </c>
      <c r="C264" s="185" t="s">
        <v>13</v>
      </c>
      <c r="O264" s="231">
        <f>Daten_ALLG!$M117</f>
        <v>0.75</v>
      </c>
      <c r="P264" s="232">
        <f>Daten_ALLG!$M117</f>
        <v>0.75</v>
      </c>
    </row>
    <row r="265" spans="1:19" hidden="1" outlineLevel="2" x14ac:dyDescent="0.25">
      <c r="B265" s="173" t="s">
        <v>403</v>
      </c>
      <c r="C265" s="185" t="s">
        <v>13</v>
      </c>
      <c r="O265" s="231">
        <f>Daten_ALLG!$M118</f>
        <v>0.88</v>
      </c>
      <c r="P265" s="232">
        <f>Daten_ALLG!$M118</f>
        <v>0.88</v>
      </c>
    </row>
    <row r="266" spans="1:19" hidden="1" outlineLevel="2" x14ac:dyDescent="0.25">
      <c r="B266" s="173" t="s">
        <v>8</v>
      </c>
      <c r="C266" s="185" t="s">
        <v>13</v>
      </c>
      <c r="O266" s="231">
        <f>Daten_ALLG!$M119</f>
        <v>0.98</v>
      </c>
      <c r="P266" s="232">
        <f>Daten_ALLG!$M119</f>
        <v>0.98</v>
      </c>
    </row>
    <row r="267" spans="1:19" hidden="1" outlineLevel="2" x14ac:dyDescent="0.25">
      <c r="B267" s="173" t="s">
        <v>7</v>
      </c>
      <c r="C267" s="185" t="s">
        <v>13</v>
      </c>
      <c r="O267" s="231">
        <f>Daten_ALLG!$M120</f>
        <v>1</v>
      </c>
      <c r="P267" s="232">
        <f>Daten_ALLG!$M120</f>
        <v>1</v>
      </c>
    </row>
    <row r="268" spans="1:19" s="162" customFormat="1" hidden="1" outlineLevel="2" x14ac:dyDescent="0.25">
      <c r="B268" s="163" t="s">
        <v>448</v>
      </c>
      <c r="O268" s="164"/>
      <c r="P268" s="165"/>
      <c r="R268" s="164"/>
      <c r="S268" s="165"/>
    </row>
    <row r="269" spans="1:19" s="170" customFormat="1" hidden="1" outlineLevel="2" x14ac:dyDescent="0.25">
      <c r="A269" s="166"/>
      <c r="B269" s="167"/>
      <c r="C269" s="166"/>
      <c r="D269" s="166"/>
      <c r="E269" s="166"/>
      <c r="F269" s="166"/>
      <c r="G269" s="166"/>
      <c r="H269" s="166"/>
      <c r="J269" s="166"/>
      <c r="K269" s="166"/>
      <c r="L269" s="166"/>
      <c r="M269" s="166"/>
      <c r="N269" s="166"/>
      <c r="O269" s="168" t="s">
        <v>319</v>
      </c>
      <c r="P269" s="169" t="s">
        <v>332</v>
      </c>
      <c r="R269" s="171"/>
      <c r="S269" s="172"/>
    </row>
    <row r="270" spans="1:19" hidden="1" outlineLevel="2" x14ac:dyDescent="0.25">
      <c r="B270" s="173" t="s">
        <v>21</v>
      </c>
      <c r="C270" s="185" t="s">
        <v>368</v>
      </c>
      <c r="O270" s="198">
        <f>MAX($O$100,Daten_ALLG!$D$111)</f>
        <v>9.7269264431139781</v>
      </c>
      <c r="P270" s="199">
        <f>MAX($P$100,Daten_ALLG!$D$111)</f>
        <v>9.7269264431139781</v>
      </c>
    </row>
    <row r="271" spans="1:19" hidden="1" outlineLevel="2" x14ac:dyDescent="0.25">
      <c r="B271" s="173" t="s">
        <v>402</v>
      </c>
      <c r="C271" s="185" t="s">
        <v>368</v>
      </c>
      <c r="O271" s="198">
        <f>MAX($O$100,Daten_ALLG!$D$112)</f>
        <v>10</v>
      </c>
      <c r="P271" s="199">
        <f>MAX($P$100,Daten_ALLG!$D$112)</f>
        <v>10</v>
      </c>
    </row>
    <row r="272" spans="1:19" hidden="1" outlineLevel="2" x14ac:dyDescent="0.25">
      <c r="B272" s="173" t="s">
        <v>403</v>
      </c>
      <c r="C272" s="185" t="s">
        <v>368</v>
      </c>
      <c r="O272" s="198">
        <f>MAX($O$100,Daten_ALLG!$D$113)</f>
        <v>10</v>
      </c>
      <c r="P272" s="199">
        <f>MAX($P$100,Daten_ALLG!$D$113)</f>
        <v>10</v>
      </c>
    </row>
    <row r="273" spans="1:19" hidden="1" outlineLevel="2" x14ac:dyDescent="0.25">
      <c r="B273" s="173" t="s">
        <v>8</v>
      </c>
      <c r="C273" s="185" t="s">
        <v>368</v>
      </c>
      <c r="O273" s="198">
        <f>$O$100</f>
        <v>9.7269264431139781</v>
      </c>
      <c r="P273" s="199">
        <f>$P$100</f>
        <v>9.7269264431139781</v>
      </c>
    </row>
    <row r="274" spans="1:19" hidden="1" outlineLevel="2" x14ac:dyDescent="0.25">
      <c r="B274" s="173" t="s">
        <v>7</v>
      </c>
      <c r="C274" s="185" t="s">
        <v>368</v>
      </c>
      <c r="O274" s="198">
        <f>$O$100</f>
        <v>9.7269264431139781</v>
      </c>
      <c r="P274" s="199">
        <f>$P$100</f>
        <v>9.7269264431139781</v>
      </c>
    </row>
    <row r="275" spans="1:19" s="159" customFormat="1" ht="14.25" customHeight="1" thickBot="1" x14ac:dyDescent="0.3">
      <c r="A275" s="156" t="s">
        <v>451</v>
      </c>
      <c r="B275" s="157"/>
      <c r="C275" s="157"/>
      <c r="D275" s="158"/>
      <c r="O275" s="160"/>
      <c r="P275" s="161"/>
      <c r="R275" s="160"/>
      <c r="S275" s="161"/>
    </row>
    <row r="276" spans="1:19" s="162" customFormat="1" ht="15.75" outlineLevel="1" thickBot="1" x14ac:dyDescent="0.3">
      <c r="A276" s="335" t="str">
        <f>IF(Bil_EZFH_mQS!A276="","",Bil_EZFH_mQS!A276)</f>
        <v/>
      </c>
      <c r="B276" s="163" t="s">
        <v>566</v>
      </c>
      <c r="D276" s="335" t="str">
        <f>IF(Bil_EZFH_mQS!D276="","",Bil_EZFH_mQS!D276)</f>
        <v/>
      </c>
      <c r="E276" s="335" t="str">
        <f>IF(Bil_EZFH_mQS!E276="","",Bil_EZFH_mQS!E276)</f>
        <v/>
      </c>
      <c r="F276" s="335" t="str">
        <f>IF(Bil_EZFH_mQS!F276="","",Bil_EZFH_mQS!F276)</f>
        <v/>
      </c>
      <c r="G276" s="335" t="str">
        <f>IF(Bil_EZFH_mQS!G276="","",Bil_EZFH_mQS!G276)</f>
        <v/>
      </c>
      <c r="H276" s="335" t="str">
        <f>IF(Bil_EZFH_mQS!H276="","",Bil_EZFH_mQS!H276)</f>
        <v/>
      </c>
      <c r="I276" s="335" t="str">
        <f>IF(Bil_EZFH_mQS!I276="","",Bil_EZFH_mQS!I276)</f>
        <v/>
      </c>
      <c r="J276" s="335" t="str">
        <f>IF(Bil_EZFH_mQS!J276="","",Bil_EZFH_mQS!J276)</f>
        <v/>
      </c>
      <c r="K276" s="335" t="str">
        <f>IF(Bil_EZFH_mQS!K276="","",Bil_EZFH_mQS!K276)</f>
        <v/>
      </c>
      <c r="L276" s="335" t="str">
        <f>IF(Bil_EZFH_mQS!L276="","",Bil_EZFH_mQS!L276)</f>
        <v/>
      </c>
      <c r="M276" s="335" t="str">
        <f>IF(Bil_EZFH_mQS!M276="","",Bil_EZFH_mQS!M276)</f>
        <v/>
      </c>
      <c r="O276" s="164"/>
      <c r="P276" s="165"/>
      <c r="R276" s="164" t="s">
        <v>457</v>
      </c>
      <c r="S276" s="165"/>
    </row>
    <row r="277" spans="1:19" s="170" customFormat="1" ht="15.75" outlineLevel="1" collapsed="1" thickBot="1" x14ac:dyDescent="0.3">
      <c r="A277" s="166"/>
      <c r="B277" s="167"/>
      <c r="C277" s="166"/>
      <c r="D277" s="166" t="s">
        <v>389</v>
      </c>
      <c r="E277" s="166" t="s">
        <v>6</v>
      </c>
      <c r="F277" s="166" t="s">
        <v>431</v>
      </c>
      <c r="G277" s="166" t="s">
        <v>432</v>
      </c>
      <c r="H277" s="166" t="s">
        <v>433</v>
      </c>
      <c r="I277" s="166" t="s">
        <v>434</v>
      </c>
      <c r="J277" s="166" t="s">
        <v>435</v>
      </c>
      <c r="K277" s="166" t="s">
        <v>7</v>
      </c>
      <c r="L277" s="166" t="s">
        <v>436</v>
      </c>
      <c r="M277" s="166" t="s">
        <v>437</v>
      </c>
      <c r="N277" s="166"/>
      <c r="O277" s="168" t="s">
        <v>319</v>
      </c>
      <c r="P277" s="169" t="s">
        <v>332</v>
      </c>
      <c r="R277" s="233" t="s">
        <v>455</v>
      </c>
      <c r="S277" s="172" t="s">
        <v>456</v>
      </c>
    </row>
    <row r="278" spans="1:19" ht="15.75" hidden="1" outlineLevel="2" thickBot="1" x14ac:dyDescent="0.3">
      <c r="B278" s="174" t="s">
        <v>178</v>
      </c>
      <c r="C278" s="234" t="s">
        <v>13</v>
      </c>
      <c r="E278" s="191">
        <f>Daten_EZFH!$D$82</f>
        <v>6.0999999999999999E-2</v>
      </c>
      <c r="F278" s="191">
        <f>Daten_EZFH!$D$83</f>
        <v>0.27531343283582088</v>
      </c>
      <c r="G278" s="191">
        <f>Daten_EZFH!$D$84</f>
        <v>0.2498818181818182</v>
      </c>
      <c r="H278" s="191">
        <f>Daten_EZFH!$D$85</f>
        <v>0.24118656716417913</v>
      </c>
      <c r="I278" s="191">
        <f>Daten_EZFH!$D$86</f>
        <v>3.8818181818181814E-2</v>
      </c>
      <c r="J278" s="191">
        <f>Daten_EZFH!$D$87</f>
        <v>0.04</v>
      </c>
      <c r="K278" s="191">
        <f>Daten_EZFH!$D$88</f>
        <v>3.3000000000000002E-2</v>
      </c>
      <c r="L278" s="191">
        <f>Daten_EZFH!$D$89</f>
        <v>3.7696000000000007E-2</v>
      </c>
      <c r="M278" s="191">
        <f>Daten_EZFH!$D$90</f>
        <v>2.3104000000000006E-2</v>
      </c>
    </row>
    <row r="279" spans="1:19" ht="15.75" hidden="1" outlineLevel="2" thickBot="1" x14ac:dyDescent="0.3">
      <c r="B279" s="174" t="s">
        <v>764</v>
      </c>
      <c r="C279" s="234" t="s">
        <v>13</v>
      </c>
      <c r="D279" s="191">
        <f>1/(E278/E279+F278/F279+G278/G279+H278/H279+I278/I279+J278/J279+K278/K279+L278/L279+M278/M279)</f>
        <v>0.82908004423927362</v>
      </c>
      <c r="E279" s="191">
        <f>O263</f>
        <v>0.7</v>
      </c>
      <c r="F279" s="191">
        <f>O264</f>
        <v>0.75</v>
      </c>
      <c r="G279" s="191">
        <f>O264</f>
        <v>0.75</v>
      </c>
      <c r="H279" s="191">
        <f>O265</f>
        <v>0.88</v>
      </c>
      <c r="I279" s="191">
        <f>O265</f>
        <v>0.88</v>
      </c>
      <c r="J279" s="191">
        <f>O266</f>
        <v>0.98</v>
      </c>
      <c r="K279" s="191">
        <f>O267</f>
        <v>1</v>
      </c>
      <c r="L279" s="191">
        <f>IF(AND(A129="x",G129="V"),1,O207)</f>
        <v>2.0928097309139297</v>
      </c>
      <c r="M279" s="191">
        <f>IF(AND(A129="x",G129="V"),1,O249)</f>
        <v>2.6443026500659408</v>
      </c>
      <c r="N279" s="215" t="s">
        <v>563</v>
      </c>
      <c r="O279" s="235">
        <f>IF($A$276&lt;&gt;"",IF($D276="V",$D279,IF($E276="V",$E279,IF($F276="V",$F279,IF($G276="V",$G279,IF($H276="V",$H279,IF($I276="V",$I279,IF($J276="V",$J279,IF($K276="V",$K279,IF($L276="V",$L279,IF($M276="V",$M279,"")))))))))),$D279)</f>
        <v>0.82908004423927362</v>
      </c>
      <c r="P279" s="236">
        <f>IF($A$276&lt;&gt;"",IF($D276="N",D280,IF($E276="N",$E280,IF($F276="N",$F280,IF($G276="N",$G280,IF($H276="N",$H280,IF($I276="N",$I280,IF($J276="N",$J280,IF($K276="N",$K280,IF($L276="N",$L280,IF($M276="N",$M280,SUMPRODUCT(D281:M281,D280:M280))))))))))),$D280)</f>
        <v>0.82908004423927362</v>
      </c>
    </row>
    <row r="280" spans="1:19" ht="15.75" hidden="1" outlineLevel="2" thickBot="1" x14ac:dyDescent="0.3">
      <c r="C280" s="234" t="s">
        <v>13</v>
      </c>
      <c r="D280" s="191">
        <f>1/(E278/E280+F278/F280+G278/G280+H278/H280+I278/I280+J278/J280+K278/K280+L278/L280+M278/M280)</f>
        <v>0.82908004423927362</v>
      </c>
      <c r="E280" s="191">
        <f>P263</f>
        <v>0.7</v>
      </c>
      <c r="F280" s="191">
        <f>P264</f>
        <v>0.75</v>
      </c>
      <c r="G280" s="191">
        <f>P264</f>
        <v>0.75</v>
      </c>
      <c r="H280" s="191">
        <f>P265</f>
        <v>0.88</v>
      </c>
      <c r="I280" s="191">
        <f>P265</f>
        <v>0.88</v>
      </c>
      <c r="J280" s="191">
        <f>P266</f>
        <v>0.98</v>
      </c>
      <c r="K280" s="191">
        <f>P267</f>
        <v>1</v>
      </c>
      <c r="L280" s="191">
        <f>IF(AND(A129="x",OR(G129="V",G129="N"),D129="",E129="",F129=""),1,P207)</f>
        <v>2.0928097309139297</v>
      </c>
      <c r="M280" s="191">
        <f>IF(AND(A129="x",OR(G129="V",G129="N"),D129="",E129="",F129=""),1,P249)</f>
        <v>2.6443026500659408</v>
      </c>
      <c r="N280" s="174" t="s">
        <v>564</v>
      </c>
    </row>
    <row r="281" spans="1:19" ht="15.75" hidden="1" outlineLevel="2" thickBot="1" x14ac:dyDescent="0.3">
      <c r="C281" s="185"/>
      <c r="D281" s="218">
        <f>IF(D276="V",1,0)</f>
        <v>0</v>
      </c>
      <c r="E281" s="218">
        <f t="shared" ref="E281:M281" si="12">IF(E276="V",1,0)</f>
        <v>0</v>
      </c>
      <c r="F281" s="218">
        <f t="shared" si="12"/>
        <v>0</v>
      </c>
      <c r="G281" s="218">
        <f t="shared" si="12"/>
        <v>0</v>
      </c>
      <c r="H281" s="218">
        <f t="shared" si="12"/>
        <v>0</v>
      </c>
      <c r="I281" s="218">
        <f t="shared" si="12"/>
        <v>0</v>
      </c>
      <c r="J281" s="218">
        <f t="shared" si="12"/>
        <v>0</v>
      </c>
      <c r="K281" s="218">
        <f t="shared" si="12"/>
        <v>0</v>
      </c>
      <c r="L281" s="218">
        <f t="shared" si="12"/>
        <v>0</v>
      </c>
      <c r="M281" s="218">
        <f t="shared" si="12"/>
        <v>0</v>
      </c>
    </row>
    <row r="282" spans="1:19" ht="15.75" hidden="1" outlineLevel="2" thickBot="1" x14ac:dyDescent="0.3">
      <c r="B282" s="174" t="s">
        <v>420</v>
      </c>
      <c r="C282" s="185" t="s">
        <v>368</v>
      </c>
      <c r="D282" s="191">
        <f>SUMPRODUCT(E278:M278,E282:M282)</f>
        <v>9.8415836644358716</v>
      </c>
      <c r="E282" s="191">
        <f>O270</f>
        <v>9.7269264431139781</v>
      </c>
      <c r="F282" s="191">
        <f>O271</f>
        <v>10</v>
      </c>
      <c r="G282" s="191">
        <f>O271</f>
        <v>10</v>
      </c>
      <c r="H282" s="191">
        <f>O272</f>
        <v>10</v>
      </c>
      <c r="I282" s="191">
        <f>O272</f>
        <v>10</v>
      </c>
      <c r="J282" s="191">
        <f>O273</f>
        <v>9.7269264431139781</v>
      </c>
      <c r="K282" s="191">
        <f>O274</f>
        <v>9.7269264431139781</v>
      </c>
      <c r="L282" s="191">
        <f>O210</f>
        <v>6.7967216895486455</v>
      </c>
      <c r="M282" s="191">
        <f>O252</f>
        <v>9.9535275384942175</v>
      </c>
      <c r="N282" s="215" t="s">
        <v>563</v>
      </c>
      <c r="O282" s="226">
        <f>IF($A$276&lt;&gt;"",IF($D276="V",$D282,IF($E276="V",$E282,IF($F276="V",$F282,IF($G276="V",$G282,IF($H276="V",$H282,IF($I276="V",$I282,IF($J276="V",$J282,IF($K276="V",$K282,IF($L276="V",$L282,IF($M276="V",$M282,"")))))))))),$D282)</f>
        <v>9.8415836644358716</v>
      </c>
      <c r="P282" s="227">
        <f>IF($A$276&lt;&gt;"",IF($D276="N",D283,IF($E276="N",$E283,IF($F276="N",$F283,IF($G276="N",$G283,IF($H276="N",$H283,IF($I276="N",$I283,IF($J276="N",$J283,IF($K276="N",$K283,IF($L276="N",$L283,IF($M276="N",$M283,SUMPRODUCT(D284:M284,D283:M283))))))))))),$D283)</f>
        <v>9.8415836644358716</v>
      </c>
      <c r="Q282" s="185" t="s">
        <v>368</v>
      </c>
      <c r="R282" s="228">
        <f>P282</f>
        <v>9.8415836644358716</v>
      </c>
      <c r="S282" s="229">
        <f>H283</f>
        <v>10</v>
      </c>
    </row>
    <row r="283" spans="1:19" ht="15.75" hidden="1" outlineLevel="2" thickBot="1" x14ac:dyDescent="0.3">
      <c r="C283" s="185" t="s">
        <v>368</v>
      </c>
      <c r="D283" s="191">
        <f>SUMPRODUCT(E278:M278,E283:M283)</f>
        <v>9.8415836644358716</v>
      </c>
      <c r="E283" s="191">
        <f>P270</f>
        <v>9.7269264431139781</v>
      </c>
      <c r="F283" s="191">
        <f>P271</f>
        <v>10</v>
      </c>
      <c r="G283" s="191">
        <f>P271</f>
        <v>10</v>
      </c>
      <c r="H283" s="191">
        <f>P272</f>
        <v>10</v>
      </c>
      <c r="I283" s="191">
        <f>P272</f>
        <v>10</v>
      </c>
      <c r="J283" s="191">
        <f>P273</f>
        <v>9.7269264431139781</v>
      </c>
      <c r="K283" s="191">
        <f>P274</f>
        <v>9.7269264431139781</v>
      </c>
      <c r="L283" s="191">
        <f>P210</f>
        <v>6.7967216895486455</v>
      </c>
      <c r="M283" s="191">
        <f>P252</f>
        <v>9.9535275384942175</v>
      </c>
      <c r="N283" s="174" t="s">
        <v>564</v>
      </c>
    </row>
    <row r="284" spans="1:19" ht="15.75" hidden="1" outlineLevel="2" thickBot="1" x14ac:dyDescent="0.3">
      <c r="C284" s="185"/>
      <c r="D284" s="218">
        <f>IF(D276="V",1,0)</f>
        <v>0</v>
      </c>
      <c r="E284" s="218">
        <f t="shared" ref="E284:M284" si="13">IF(E276="V",1,0)</f>
        <v>0</v>
      </c>
      <c r="F284" s="218">
        <f t="shared" si="13"/>
        <v>0</v>
      </c>
      <c r="G284" s="218">
        <f t="shared" si="13"/>
        <v>0</v>
      </c>
      <c r="H284" s="218">
        <f t="shared" si="13"/>
        <v>0</v>
      </c>
      <c r="I284" s="218">
        <f t="shared" si="13"/>
        <v>0</v>
      </c>
      <c r="J284" s="218">
        <f t="shared" si="13"/>
        <v>0</v>
      </c>
      <c r="K284" s="218">
        <f t="shared" si="13"/>
        <v>0</v>
      </c>
      <c r="L284" s="218">
        <f t="shared" si="13"/>
        <v>0</v>
      </c>
      <c r="M284" s="218">
        <f t="shared" si="13"/>
        <v>0</v>
      </c>
    </row>
    <row r="285" spans="1:19" s="162" customFormat="1" ht="15.75" hidden="1" outlineLevel="2" thickBot="1" x14ac:dyDescent="0.3">
      <c r="B285" s="163" t="s">
        <v>673</v>
      </c>
      <c r="O285" s="164"/>
      <c r="P285" s="165"/>
      <c r="R285" s="164"/>
      <c r="S285" s="165"/>
    </row>
    <row r="286" spans="1:19" s="170" customFormat="1" ht="15.75" hidden="1" outlineLevel="2" thickBot="1" x14ac:dyDescent="0.3">
      <c r="A286" s="166"/>
      <c r="B286" s="167"/>
      <c r="C286" s="166"/>
      <c r="D286" s="166" t="s">
        <v>389</v>
      </c>
      <c r="E286" s="166" t="s">
        <v>6</v>
      </c>
      <c r="F286" s="166" t="s">
        <v>431</v>
      </c>
      <c r="G286" s="166" t="s">
        <v>432</v>
      </c>
      <c r="H286" s="166" t="s">
        <v>433</v>
      </c>
      <c r="I286" s="170" t="s">
        <v>434</v>
      </c>
      <c r="J286" s="166" t="s">
        <v>435</v>
      </c>
      <c r="K286" s="166" t="s">
        <v>7</v>
      </c>
      <c r="L286" s="166" t="s">
        <v>436</v>
      </c>
      <c r="M286" s="166" t="s">
        <v>437</v>
      </c>
      <c r="N286" s="166"/>
      <c r="O286" s="168" t="s">
        <v>319</v>
      </c>
      <c r="P286" s="169" t="s">
        <v>332</v>
      </c>
      <c r="R286" s="171"/>
      <c r="S286" s="172"/>
    </row>
    <row r="287" spans="1:19" ht="15.75" hidden="1" outlineLevel="2" thickBot="1" x14ac:dyDescent="0.3">
      <c r="B287" s="174" t="s">
        <v>570</v>
      </c>
      <c r="C287" s="234" t="s">
        <v>13</v>
      </c>
      <c r="D287" s="192"/>
      <c r="E287" s="191">
        <f>Daten_ALLG!$D$186</f>
        <v>0.2</v>
      </c>
      <c r="F287" s="191">
        <f>Daten_ALLG!$D$182</f>
        <v>1.1000000000000001</v>
      </c>
      <c r="G287" s="191">
        <f>Daten_ALLG!$D$183</f>
        <v>1.1000000000000001</v>
      </c>
      <c r="H287" s="191">
        <f>Daten_ALLG!$D$182</f>
        <v>1.1000000000000001</v>
      </c>
      <c r="I287" s="191">
        <f>Daten_ALLG!$D$183</f>
        <v>1.1000000000000001</v>
      </c>
      <c r="J287" s="191">
        <f>Daten_ALLG!$D$188</f>
        <v>0.8</v>
      </c>
      <c r="K287" s="191">
        <f>Daten_ALLG!$D$187</f>
        <v>1.8</v>
      </c>
      <c r="L287" s="191">
        <f>Daten_ALLG!$D$187</f>
        <v>1.8</v>
      </c>
      <c r="M287" s="191">
        <f>Daten_ALLG!$D$187</f>
        <v>1.8</v>
      </c>
    </row>
    <row r="288" spans="1:19" ht="15.75" hidden="1" outlineLevel="2" thickBot="1" x14ac:dyDescent="0.3">
      <c r="B288" s="174" t="s">
        <v>573</v>
      </c>
      <c r="C288" s="234" t="s">
        <v>13</v>
      </c>
      <c r="D288" s="191">
        <f>SUMPRODUCT(E278:M278,E288:M288)</f>
        <v>1.2779229000198828</v>
      </c>
      <c r="E288" s="191">
        <f>E$287/E279</f>
        <v>0.28571428571428575</v>
      </c>
      <c r="F288" s="191">
        <f>F$287/F279</f>
        <v>1.4666666666666668</v>
      </c>
      <c r="G288" s="191">
        <f>G$287/G279</f>
        <v>1.4666666666666668</v>
      </c>
      <c r="H288" s="191">
        <f>H$287/H279</f>
        <v>1.25</v>
      </c>
      <c r="I288" s="191">
        <f t="shared" ref="F288:M289" si="14">I$287/I279</f>
        <v>1.25</v>
      </c>
      <c r="J288" s="191">
        <f t="shared" si="14"/>
        <v>0.81632653061224492</v>
      </c>
      <c r="K288" s="191">
        <f t="shared" si="14"/>
        <v>1.8</v>
      </c>
      <c r="L288" s="191">
        <f t="shared" si="14"/>
        <v>0.86008774396033616</v>
      </c>
      <c r="M288" s="191">
        <f t="shared" si="14"/>
        <v>0.68070876832313942</v>
      </c>
      <c r="N288" s="215" t="s">
        <v>563</v>
      </c>
      <c r="O288" s="235">
        <f>IF($A$276&lt;&gt;"",IF($D276="V",$D288,IF($E276="V",$E288,IF($F276="V",$F288,IF($G276="V",$G288,IF($H276="V",$H288,IF($I276="V",$I288,IF($J276="V",$J288,IF($K276="V",$K288,IF($L276="V",$L288,IF($M276="V",$M288,"")))))))))),$D288)</f>
        <v>1.2779229000198828</v>
      </c>
      <c r="P288" s="236">
        <f>IF($A$276&lt;&gt;"",IF($D276="N",D289,IF($E276="N",$E289,IF($F276="N",$F289,IF($G276="N",$G289,IF($H276="N",$H289,IF($I276="N",$I289,IF($J276="N",$J289,IF($K276="N",$K289,IF($L276="N",$L289,IF($M276="N",$M289,SUMPRODUCT(D290:M290,D289:M289))))))))))),$D289)</f>
        <v>1.2779229000198828</v>
      </c>
    </row>
    <row r="289" spans="1:19" ht="15.75" hidden="1" outlineLevel="2" thickBot="1" x14ac:dyDescent="0.3">
      <c r="C289" s="234" t="s">
        <v>13</v>
      </c>
      <c r="D289" s="191">
        <f>SUMPRODUCT(E278:M278,E289:M289)</f>
        <v>1.2779229000198828</v>
      </c>
      <c r="E289" s="191">
        <f>E$287/E280</f>
        <v>0.28571428571428575</v>
      </c>
      <c r="F289" s="191">
        <f t="shared" si="14"/>
        <v>1.4666666666666668</v>
      </c>
      <c r="G289" s="191">
        <f t="shared" si="14"/>
        <v>1.4666666666666668</v>
      </c>
      <c r="H289" s="191">
        <f t="shared" si="14"/>
        <v>1.25</v>
      </c>
      <c r="I289" s="191">
        <f t="shared" si="14"/>
        <v>1.25</v>
      </c>
      <c r="J289" s="191">
        <f t="shared" si="14"/>
        <v>0.81632653061224492</v>
      </c>
      <c r="K289" s="191">
        <f t="shared" si="14"/>
        <v>1.8</v>
      </c>
      <c r="L289" s="191">
        <f t="shared" si="14"/>
        <v>0.86008774396033616</v>
      </c>
      <c r="M289" s="191">
        <f t="shared" si="14"/>
        <v>0.68070876832313942</v>
      </c>
      <c r="N289" s="174" t="s">
        <v>564</v>
      </c>
    </row>
    <row r="290" spans="1:19" ht="15.75" hidden="1" outlineLevel="2" thickBot="1" x14ac:dyDescent="0.3">
      <c r="C290" s="185"/>
      <c r="D290" s="218">
        <f>IF(D276="V",1,0)</f>
        <v>0</v>
      </c>
      <c r="E290" s="218">
        <f t="shared" ref="E290:M290" si="15">IF(E276="V",1,0)</f>
        <v>0</v>
      </c>
      <c r="F290" s="218">
        <f t="shared" si="15"/>
        <v>0</v>
      </c>
      <c r="G290" s="218">
        <f t="shared" si="15"/>
        <v>0</v>
      </c>
      <c r="H290" s="218">
        <f t="shared" si="15"/>
        <v>0</v>
      </c>
      <c r="I290" s="218">
        <f t="shared" si="15"/>
        <v>0</v>
      </c>
      <c r="J290" s="218">
        <f t="shared" si="15"/>
        <v>0</v>
      </c>
      <c r="K290" s="218">
        <f t="shared" si="15"/>
        <v>0</v>
      </c>
      <c r="L290" s="218">
        <f t="shared" si="15"/>
        <v>0</v>
      </c>
      <c r="M290" s="218">
        <f t="shared" si="15"/>
        <v>0</v>
      </c>
    </row>
    <row r="291" spans="1:19" s="162" customFormat="1" ht="15.75" hidden="1" outlineLevel="2" thickBot="1" x14ac:dyDescent="0.3">
      <c r="B291" s="163" t="s">
        <v>674</v>
      </c>
      <c r="O291" s="164"/>
      <c r="P291" s="165"/>
      <c r="R291" s="164"/>
      <c r="S291" s="165"/>
    </row>
    <row r="292" spans="1:19" s="170" customFormat="1" ht="15.75" hidden="1" outlineLevel="2" thickBot="1" x14ac:dyDescent="0.3">
      <c r="A292" s="166"/>
      <c r="B292" s="167"/>
      <c r="C292" s="166"/>
      <c r="D292" s="166" t="s">
        <v>389</v>
      </c>
      <c r="E292" s="166" t="s">
        <v>6</v>
      </c>
      <c r="F292" s="166" t="s">
        <v>431</v>
      </c>
      <c r="G292" s="166" t="s">
        <v>432</v>
      </c>
      <c r="H292" s="166" t="s">
        <v>433</v>
      </c>
      <c r="I292" s="166" t="s">
        <v>434</v>
      </c>
      <c r="J292" s="166" t="s">
        <v>435</v>
      </c>
      <c r="K292" s="166" t="s">
        <v>7</v>
      </c>
      <c r="L292" s="166" t="s">
        <v>436</v>
      </c>
      <c r="M292" s="166" t="s">
        <v>437</v>
      </c>
      <c r="N292" s="166"/>
      <c r="O292" s="168" t="s">
        <v>319</v>
      </c>
      <c r="P292" s="169" t="s">
        <v>332</v>
      </c>
      <c r="R292" s="171"/>
      <c r="S292" s="172"/>
    </row>
    <row r="293" spans="1:19" ht="15.75" hidden="1" outlineLevel="2" thickBot="1" x14ac:dyDescent="0.3">
      <c r="B293" s="174" t="s">
        <v>571</v>
      </c>
      <c r="C293" s="234" t="s">
        <v>227</v>
      </c>
      <c r="D293" s="192"/>
      <c r="E293" s="214">
        <f>Daten_ALLG!$D$208</f>
        <v>15</v>
      </c>
      <c r="F293" s="214">
        <f>Daten_ALLG!$D$204</f>
        <v>208</v>
      </c>
      <c r="G293" s="214">
        <f>Daten_ALLG!$D$205</f>
        <v>292</v>
      </c>
      <c r="H293" s="214">
        <f>Daten_ALLG!$D$204</f>
        <v>208</v>
      </c>
      <c r="I293" s="214">
        <f>Daten_ALLG!$D$205</f>
        <v>292</v>
      </c>
      <c r="J293" s="214">
        <f>Daten_ALLG!$D$210</f>
        <v>240</v>
      </c>
      <c r="K293" s="214">
        <f>Daten_ALLG!$D$209</f>
        <v>444</v>
      </c>
      <c r="L293" s="214">
        <f>Daten_ALLG!$D$209</f>
        <v>444</v>
      </c>
      <c r="M293" s="214">
        <f>Daten_ALLG!$D$209</f>
        <v>444</v>
      </c>
    </row>
    <row r="294" spans="1:19" ht="15.75" hidden="1" outlineLevel="2" thickBot="1" x14ac:dyDescent="0.3">
      <c r="B294" s="174" t="s">
        <v>572</v>
      </c>
      <c r="C294" s="234" t="s">
        <v>13</v>
      </c>
      <c r="D294" s="214">
        <f>SUMPRODUCT(E278:M278,E294:M294)</f>
        <v>281.16103124744757</v>
      </c>
      <c r="E294" s="214">
        <f t="shared" ref="E294:M295" si="16">E$293/E279</f>
        <v>21.428571428571431</v>
      </c>
      <c r="F294" s="214">
        <f t="shared" si="16"/>
        <v>277.33333333333331</v>
      </c>
      <c r="G294" s="214">
        <f t="shared" si="16"/>
        <v>389.33333333333331</v>
      </c>
      <c r="H294" s="214">
        <f t="shared" si="16"/>
        <v>236.36363636363637</v>
      </c>
      <c r="I294" s="214">
        <f t="shared" si="16"/>
        <v>331.81818181818181</v>
      </c>
      <c r="J294" s="214">
        <f t="shared" si="16"/>
        <v>244.89795918367346</v>
      </c>
      <c r="K294" s="214">
        <f t="shared" si="16"/>
        <v>444</v>
      </c>
      <c r="L294" s="214">
        <f t="shared" si="16"/>
        <v>212.15497684354958</v>
      </c>
      <c r="M294" s="214">
        <f t="shared" si="16"/>
        <v>167.90816285304103</v>
      </c>
      <c r="N294" s="215" t="s">
        <v>563</v>
      </c>
      <c r="O294" s="216">
        <f>IF($A$276&lt;&gt;"",IF($D276="V",$D294,IF($E276="V",$E294,IF($F276="V",$F294,IF($G276="V",$G294,IF($H276="V",$H294,IF($I276="V",$I294,IF($J276="V",$J294,IF($K276="V",$K294,IF($L276="V",$L294,IF($M276="V",$M294,"")))))))))),$D294)</f>
        <v>281.16103124744757</v>
      </c>
      <c r="P294" s="217">
        <f>IF($A$276&lt;&gt;"",IF($D276="N",D295,IF($E276="N",$E295,IF($F276="N",$F295,IF($G276="N",$G295,IF($H276="N",$H295,IF($I276="N",$I295,IF($J276="N",$J295,IF($K276="N",$K295,IF($L276="N",$L295,IF($M276="N",$M295,SUMPRODUCT(D296:M296,D295:M295))))))))))),$D295)</f>
        <v>281.16103124744757</v>
      </c>
    </row>
    <row r="295" spans="1:19" ht="15.75" hidden="1" outlineLevel="2" thickBot="1" x14ac:dyDescent="0.3">
      <c r="C295" s="234" t="s">
        <v>13</v>
      </c>
      <c r="D295" s="214">
        <f>SUMPRODUCT(E278:M278,E295:M295)</f>
        <v>281.16103124744757</v>
      </c>
      <c r="E295" s="214">
        <f t="shared" si="16"/>
        <v>21.428571428571431</v>
      </c>
      <c r="F295" s="214">
        <f t="shared" si="16"/>
        <v>277.33333333333331</v>
      </c>
      <c r="G295" s="214">
        <f t="shared" si="16"/>
        <v>389.33333333333331</v>
      </c>
      <c r="H295" s="214">
        <f t="shared" si="16"/>
        <v>236.36363636363637</v>
      </c>
      <c r="I295" s="214">
        <f t="shared" si="16"/>
        <v>331.81818181818181</v>
      </c>
      <c r="J295" s="214">
        <f t="shared" si="16"/>
        <v>244.89795918367346</v>
      </c>
      <c r="K295" s="214">
        <f t="shared" si="16"/>
        <v>444</v>
      </c>
      <c r="L295" s="214">
        <f t="shared" si="16"/>
        <v>212.15497684354958</v>
      </c>
      <c r="M295" s="214">
        <f t="shared" si="16"/>
        <v>167.90816285304103</v>
      </c>
      <c r="N295" s="174" t="s">
        <v>564</v>
      </c>
    </row>
    <row r="296" spans="1:19" ht="15.75" hidden="1" outlineLevel="2" thickBot="1" x14ac:dyDescent="0.3">
      <c r="C296" s="185"/>
      <c r="D296" s="218">
        <f>IF(D276="V",1,0)</f>
        <v>0</v>
      </c>
      <c r="E296" s="218">
        <f t="shared" ref="E296:M296" si="17">IF(E276="V",1,0)</f>
        <v>0</v>
      </c>
      <c r="F296" s="218">
        <f t="shared" si="17"/>
        <v>0</v>
      </c>
      <c r="G296" s="218">
        <f t="shared" si="17"/>
        <v>0</v>
      </c>
      <c r="H296" s="218">
        <f t="shared" si="17"/>
        <v>0</v>
      </c>
      <c r="I296" s="218">
        <f t="shared" si="17"/>
        <v>0</v>
      </c>
      <c r="J296" s="218">
        <f t="shared" si="17"/>
        <v>0</v>
      </c>
      <c r="K296" s="218">
        <f t="shared" si="17"/>
        <v>0</v>
      </c>
      <c r="L296" s="218">
        <f t="shared" si="17"/>
        <v>0</v>
      </c>
      <c r="M296" s="218">
        <f t="shared" si="17"/>
        <v>0</v>
      </c>
    </row>
    <row r="297" spans="1:19" s="162" customFormat="1" ht="15.75" hidden="1" outlineLevel="2" thickBot="1" x14ac:dyDescent="0.3">
      <c r="B297" s="163" t="s">
        <v>675</v>
      </c>
      <c r="O297" s="164"/>
      <c r="P297" s="165"/>
      <c r="R297" s="164"/>
      <c r="S297" s="165"/>
    </row>
    <row r="298" spans="1:19" s="170" customFormat="1" ht="15.75" hidden="1" outlineLevel="2" thickBot="1" x14ac:dyDescent="0.3">
      <c r="A298" s="166"/>
      <c r="B298" s="167"/>
      <c r="C298" s="166"/>
      <c r="D298" s="166" t="s">
        <v>389</v>
      </c>
      <c r="E298" s="166" t="s">
        <v>6</v>
      </c>
      <c r="F298" s="166" t="s">
        <v>431</v>
      </c>
      <c r="G298" s="166" t="s">
        <v>432</v>
      </c>
      <c r="H298" s="166" t="s">
        <v>433</v>
      </c>
      <c r="I298" s="166" t="s">
        <v>434</v>
      </c>
      <c r="J298" s="166" t="s">
        <v>435</v>
      </c>
      <c r="K298" s="166" t="s">
        <v>7</v>
      </c>
      <c r="L298" s="166" t="s">
        <v>436</v>
      </c>
      <c r="M298" s="166" t="s">
        <v>437</v>
      </c>
      <c r="N298" s="166"/>
      <c r="O298" s="168" t="s">
        <v>319</v>
      </c>
      <c r="P298" s="169" t="s">
        <v>332</v>
      </c>
      <c r="R298" s="171"/>
      <c r="S298" s="172"/>
    </row>
    <row r="299" spans="1:19" ht="15.75" hidden="1" outlineLevel="2" thickBot="1" x14ac:dyDescent="0.3">
      <c r="B299" s="174" t="s">
        <v>671</v>
      </c>
      <c r="C299" s="234" t="s">
        <v>31</v>
      </c>
      <c r="D299" s="192"/>
      <c r="E299" s="237">
        <f>Daten_ALLG!$D$281</f>
        <v>0.05</v>
      </c>
      <c r="F299" s="237">
        <f>Daten_ALLG!$D$276</f>
        <v>8.6999999999999994E-2</v>
      </c>
      <c r="G299" s="237">
        <f>Daten_ALLG!$D$277</f>
        <v>0.122</v>
      </c>
      <c r="H299" s="237">
        <f>Daten_ALLG!$D$276</f>
        <v>8.6999999999999994E-2</v>
      </c>
      <c r="I299" s="237">
        <f>Daten_ALLG!$D$277</f>
        <v>0.122</v>
      </c>
      <c r="J299" s="237">
        <f>Daten_ALLG!$D$280</f>
        <v>0.10199999999999999</v>
      </c>
      <c r="K299" s="237">
        <f>Daten_ALLG!$D$278</f>
        <v>0.186</v>
      </c>
      <c r="L299" s="237">
        <f>Daten_ALLG!$D$279</f>
        <v>0.186</v>
      </c>
      <c r="M299" s="237">
        <f>Daten_ALLG!$D$279</f>
        <v>0.186</v>
      </c>
    </row>
    <row r="300" spans="1:19" ht="15.75" hidden="1" outlineLevel="2" thickBot="1" x14ac:dyDescent="0.3">
      <c r="B300" s="174" t="s">
        <v>677</v>
      </c>
      <c r="C300" s="234" t="s">
        <v>13</v>
      </c>
      <c r="D300" s="237">
        <f>SUMPRODUCT(E278:M278,E300:M300)</f>
        <v>0.12144379427985626</v>
      </c>
      <c r="E300" s="237">
        <f>E$299/E279</f>
        <v>7.1428571428571438E-2</v>
      </c>
      <c r="F300" s="237">
        <f t="shared" ref="F300:M301" si="18">F$299/F279</f>
        <v>0.11599999999999999</v>
      </c>
      <c r="G300" s="237">
        <f t="shared" si="18"/>
        <v>0.16266666666666665</v>
      </c>
      <c r="H300" s="237">
        <f t="shared" si="18"/>
        <v>9.8863636363636362E-2</v>
      </c>
      <c r="I300" s="237">
        <f t="shared" si="18"/>
        <v>0.13863636363636364</v>
      </c>
      <c r="J300" s="237">
        <f t="shared" si="18"/>
        <v>0.10408163265306122</v>
      </c>
      <c r="K300" s="237">
        <f t="shared" si="18"/>
        <v>0.186</v>
      </c>
      <c r="L300" s="237">
        <f t="shared" si="18"/>
        <v>8.8875733542568072E-2</v>
      </c>
      <c r="M300" s="237">
        <f t="shared" si="18"/>
        <v>7.033990606005773E-2</v>
      </c>
      <c r="N300" s="215" t="s">
        <v>563</v>
      </c>
      <c r="O300" s="235">
        <f>IF($A$276&lt;&gt;"",IF($D276="V",$D300,IF($E276="V",$E300,IF($F276="V",$F300,IF($G276="V",$G300,IF($H276="V",$H300,IF($I276="V",$I300,IF($J276="V",$J300,IF($K276="V",$K300,IF($L276="V",$L300,IF($M276="V",$M300,"")))))))))),$D300)</f>
        <v>0.12144379427985626</v>
      </c>
      <c r="P300" s="236">
        <f>IF($A$276&lt;&gt;"",IF($D276="N",D301,IF($E276="N",$E301,IF($F276="N",$F301,IF($G276="N",$G301,IF($H276="N",$H301,IF($I276="N",$I301,IF($J276="N",$J301,IF($K276="N",$K301,IF($L276="N",$L301,IF($M276="N",$M301,SUMPRODUCT(D302:M302,D301:M301))))))))))),$D301)</f>
        <v>0.12144379427985626</v>
      </c>
    </row>
    <row r="301" spans="1:19" ht="15.75" hidden="1" outlineLevel="2" thickBot="1" x14ac:dyDescent="0.3">
      <c r="C301" s="234" t="s">
        <v>13</v>
      </c>
      <c r="D301" s="237">
        <f>SUMPRODUCT(E278:M278,E301:M301)</f>
        <v>0.12144379427985626</v>
      </c>
      <c r="E301" s="237">
        <f>E$299/E280</f>
        <v>7.1428571428571438E-2</v>
      </c>
      <c r="F301" s="237">
        <f t="shared" si="18"/>
        <v>0.11599999999999999</v>
      </c>
      <c r="G301" s="237">
        <f t="shared" si="18"/>
        <v>0.16266666666666665</v>
      </c>
      <c r="H301" s="237">
        <f t="shared" si="18"/>
        <v>9.8863636363636362E-2</v>
      </c>
      <c r="I301" s="237">
        <f t="shared" si="18"/>
        <v>0.13863636363636364</v>
      </c>
      <c r="J301" s="237">
        <f t="shared" si="18"/>
        <v>0.10408163265306122</v>
      </c>
      <c r="K301" s="237">
        <f t="shared" si="18"/>
        <v>0.186</v>
      </c>
      <c r="L301" s="237">
        <f t="shared" si="18"/>
        <v>8.8875733542568072E-2</v>
      </c>
      <c r="M301" s="237">
        <f t="shared" si="18"/>
        <v>7.033990606005773E-2</v>
      </c>
      <c r="N301" s="174" t="s">
        <v>564</v>
      </c>
    </row>
    <row r="302" spans="1:19" ht="15.75" hidden="1" outlineLevel="2" thickBot="1" x14ac:dyDescent="0.3">
      <c r="C302" s="185"/>
      <c r="D302" s="218">
        <f>IF(D276="V",1,0)</f>
        <v>0</v>
      </c>
      <c r="E302" s="218">
        <f t="shared" ref="E302:M302" si="19">IF(E276="V",1,0)</f>
        <v>0</v>
      </c>
      <c r="F302" s="218">
        <f t="shared" si="19"/>
        <v>0</v>
      </c>
      <c r="G302" s="218">
        <f t="shared" si="19"/>
        <v>0</v>
      </c>
      <c r="H302" s="218">
        <f t="shared" si="19"/>
        <v>0</v>
      </c>
      <c r="I302" s="218">
        <f t="shared" si="19"/>
        <v>0</v>
      </c>
      <c r="J302" s="218">
        <f t="shared" si="19"/>
        <v>0</v>
      </c>
      <c r="K302" s="218">
        <f t="shared" si="19"/>
        <v>0</v>
      </c>
      <c r="L302" s="218">
        <f t="shared" si="19"/>
        <v>0</v>
      </c>
      <c r="M302" s="218">
        <f t="shared" si="19"/>
        <v>0</v>
      </c>
    </row>
    <row r="303" spans="1:19" s="162" customFormat="1" ht="15.75" outlineLevel="1" thickBot="1" x14ac:dyDescent="0.3">
      <c r="A303" s="335" t="str">
        <f>IF(Bil_EZFH_mQS!A303="","",Bil_EZFH_mQS!A303)</f>
        <v/>
      </c>
      <c r="B303" s="163" t="s">
        <v>567</v>
      </c>
      <c r="D303" s="335" t="str">
        <f>IF(Bil_EZFH_mQS!D303="","",Bil_EZFH_mQS!D303)</f>
        <v/>
      </c>
      <c r="E303" s="335" t="str">
        <f>IF(Bil_EZFH_mQS!E303="","",Bil_EZFH_mQS!E303)</f>
        <v/>
      </c>
      <c r="F303" s="335" t="str">
        <f>IF(Bil_EZFH_mQS!F303="","",Bil_EZFH_mQS!F303)</f>
        <v/>
      </c>
      <c r="G303" s="335" t="str">
        <f>IF(Bil_EZFH_mQS!G303="","",Bil_EZFH_mQS!G303)</f>
        <v/>
      </c>
      <c r="H303" s="335" t="str">
        <f>IF(Bil_EZFH_mQS!H303="","",Bil_EZFH_mQS!H303)</f>
        <v/>
      </c>
      <c r="I303" s="335" t="str">
        <f>IF(Bil_EZFH_mQS!I303="","",Bil_EZFH_mQS!I303)</f>
        <v/>
      </c>
      <c r="J303" s="335" t="str">
        <f>IF(Bil_EZFH_mQS!J303="","",Bil_EZFH_mQS!J303)</f>
        <v/>
      </c>
      <c r="K303" s="335" t="str">
        <f>IF(Bil_EZFH_mQS!K303="","",Bil_EZFH_mQS!K303)</f>
        <v/>
      </c>
      <c r="L303" s="335" t="str">
        <f>IF(Bil_EZFH_mQS!L303="","",Bil_EZFH_mQS!L303)</f>
        <v/>
      </c>
      <c r="M303" s="335" t="str">
        <f>IF(Bil_EZFH_mQS!M303="","",Bil_EZFH_mQS!M303)</f>
        <v/>
      </c>
      <c r="O303" s="164"/>
      <c r="P303" s="165"/>
      <c r="R303" s="164" t="s">
        <v>457</v>
      </c>
      <c r="S303" s="165"/>
    </row>
    <row r="304" spans="1:19" s="170" customFormat="1" outlineLevel="1" collapsed="1" x14ac:dyDescent="0.25">
      <c r="A304" s="166"/>
      <c r="B304" s="167"/>
      <c r="C304" s="166"/>
      <c r="D304" s="166" t="s">
        <v>389</v>
      </c>
      <c r="E304" s="166" t="s">
        <v>6</v>
      </c>
      <c r="F304" s="166" t="s">
        <v>431</v>
      </c>
      <c r="G304" s="166" t="s">
        <v>432</v>
      </c>
      <c r="H304" s="166" t="s">
        <v>433</v>
      </c>
      <c r="I304" s="166" t="s">
        <v>434</v>
      </c>
      <c r="J304" s="166" t="s">
        <v>435</v>
      </c>
      <c r="K304" s="166" t="s">
        <v>7</v>
      </c>
      <c r="L304" s="166" t="s">
        <v>436</v>
      </c>
      <c r="M304" s="166" t="s">
        <v>437</v>
      </c>
      <c r="N304" s="166"/>
      <c r="O304" s="168" t="s">
        <v>319</v>
      </c>
      <c r="P304" s="169" t="s">
        <v>332</v>
      </c>
      <c r="R304" s="233" t="s">
        <v>455</v>
      </c>
      <c r="S304" s="172" t="s">
        <v>456</v>
      </c>
    </row>
    <row r="305" spans="1:19" hidden="1" outlineLevel="2" x14ac:dyDescent="0.25">
      <c r="B305" s="174" t="s">
        <v>178</v>
      </c>
      <c r="C305" s="234" t="s">
        <v>13</v>
      </c>
      <c r="E305" s="191">
        <f>Daten_EZFH!$D$93</f>
        <v>6.0999999999999999E-2</v>
      </c>
      <c r="F305" s="191">
        <f>Daten_EZFH!$D$94</f>
        <v>0.24689679702699455</v>
      </c>
      <c r="G305" s="191">
        <f>Daten_EZFH!$D$95</f>
        <v>0.22409012124433336</v>
      </c>
      <c r="H305" s="191">
        <f>Daten_EZFH!$D$96</f>
        <v>0.21629235560868043</v>
      </c>
      <c r="I305" s="191">
        <f>Daten_EZFH!$D$97</f>
        <v>3.4811540645152371E-2</v>
      </c>
      <c r="J305" s="191">
        <f>Daten_EZFH!$D$98</f>
        <v>0.04</v>
      </c>
      <c r="K305" s="191">
        <f>Daten_EZFH!$D$99</f>
        <v>0.12</v>
      </c>
      <c r="L305" s="191">
        <f>Daten_EZFH!$D$100</f>
        <v>3.3805185474839121E-2</v>
      </c>
      <c r="M305" s="191">
        <f>Daten_EZFH!$D$101</f>
        <v>2.3104000000000006E-2</v>
      </c>
    </row>
    <row r="306" spans="1:19" hidden="1" outlineLevel="2" x14ac:dyDescent="0.25">
      <c r="B306" s="174" t="s">
        <v>485</v>
      </c>
      <c r="C306" s="234" t="s">
        <v>13</v>
      </c>
      <c r="D306" s="191">
        <f>1/(E305/E306+F305/F306+G305/G306+H305/H306+I305/I306+J305/J306+K305/K306+L305/L306+M305/M306)</f>
        <v>0.83941907986087871</v>
      </c>
      <c r="E306" s="191">
        <f>O263</f>
        <v>0.7</v>
      </c>
      <c r="F306" s="191">
        <f>O264</f>
        <v>0.75</v>
      </c>
      <c r="G306" s="191">
        <f>O264</f>
        <v>0.75</v>
      </c>
      <c r="H306" s="191">
        <f>O265</f>
        <v>0.88</v>
      </c>
      <c r="I306" s="191">
        <f>O265</f>
        <v>0.88</v>
      </c>
      <c r="J306" s="191">
        <f>O266</f>
        <v>0.98</v>
      </c>
      <c r="K306" s="191">
        <f>O267</f>
        <v>1</v>
      </c>
      <c r="L306" s="191">
        <f>O218</f>
        <v>1.7584778061168285</v>
      </c>
      <c r="M306" s="191">
        <f>O259</f>
        <v>2.1414674733100632</v>
      </c>
      <c r="N306" s="215" t="s">
        <v>563</v>
      </c>
      <c r="O306" s="235">
        <f>IF($A$303&lt;&gt;"",IF($D303="V",$D306,IF($E303="V",$E306,IF($F303="V",$F306,IF($G303="V",$G306,IF($H303="V",$H306,IF($I303="V",$I306,IF($J303="V",$J306,IF($K303="V",$K306,IF($L303="V",$L306,IF($M303="V",$M306,"")))))))))),$D306)</f>
        <v>0.83941907986087871</v>
      </c>
      <c r="P306" s="236">
        <f>IF($A$303&lt;&gt;"",IF($D303="N",D307,IF($E303="N",$E307,IF($F303="N",$F307,IF($G303="N",$G307,IF($H303="N",$H307,IF($I303="N",$I307,IF($J303="N",$J307,IF($K303="N",$K307,IF($L303="N",$L307,IF($M303="N",$M307,SUMPRODUCT(D308:M308,D307:M307))))))))))),$D307)</f>
        <v>0.83941907986087871</v>
      </c>
      <c r="Q306" s="185" t="s">
        <v>48</v>
      </c>
      <c r="R306" s="228">
        <f>IF(K303="N",Daten_EZFH!$D$17,0)</f>
        <v>0</v>
      </c>
    </row>
    <row r="307" spans="1:19" hidden="1" outlineLevel="2" x14ac:dyDescent="0.25">
      <c r="C307" s="234" t="s">
        <v>13</v>
      </c>
      <c r="D307" s="191">
        <f>1/(E305/E307+F305/F307+G305/G307+H305/H307+I305/I307+J305/J307+K305/K307+L305/L307+M305/M307)</f>
        <v>0.83941907986087871</v>
      </c>
      <c r="E307" s="191">
        <f>P263</f>
        <v>0.7</v>
      </c>
      <c r="F307" s="191">
        <f>P264</f>
        <v>0.75</v>
      </c>
      <c r="G307" s="191">
        <f>P264</f>
        <v>0.75</v>
      </c>
      <c r="H307" s="191">
        <f>P265</f>
        <v>0.88</v>
      </c>
      <c r="I307" s="191">
        <f>P265</f>
        <v>0.88</v>
      </c>
      <c r="J307" s="191">
        <f>P266</f>
        <v>0.98</v>
      </c>
      <c r="K307" s="191">
        <f>P267</f>
        <v>1</v>
      </c>
      <c r="L307" s="191">
        <f>P218</f>
        <v>1.7584778061168285</v>
      </c>
      <c r="M307" s="191">
        <f>P259</f>
        <v>2.1414674733100632</v>
      </c>
      <c r="N307" s="174" t="s">
        <v>564</v>
      </c>
    </row>
    <row r="308" spans="1:19" hidden="1" outlineLevel="2" x14ac:dyDescent="0.25">
      <c r="C308" s="185"/>
      <c r="D308" s="218">
        <f>IF(D303="V",1,0)</f>
        <v>0</v>
      </c>
      <c r="E308" s="218">
        <f t="shared" ref="E308:M308" si="20">IF(E303="V",1,0)</f>
        <v>0</v>
      </c>
      <c r="F308" s="218">
        <f t="shared" si="20"/>
        <v>0</v>
      </c>
      <c r="G308" s="218">
        <f t="shared" si="20"/>
        <v>0</v>
      </c>
      <c r="H308" s="218">
        <f t="shared" si="20"/>
        <v>0</v>
      </c>
      <c r="I308" s="218">
        <f t="shared" si="20"/>
        <v>0</v>
      </c>
      <c r="J308" s="218">
        <f t="shared" si="20"/>
        <v>0</v>
      </c>
      <c r="K308" s="218">
        <f t="shared" si="20"/>
        <v>0</v>
      </c>
      <c r="L308" s="218">
        <f t="shared" si="20"/>
        <v>0</v>
      </c>
      <c r="M308" s="218">
        <f t="shared" si="20"/>
        <v>0</v>
      </c>
      <c r="N308" s="218"/>
    </row>
    <row r="309" spans="1:19" s="162" customFormat="1" hidden="1" outlineLevel="2" x14ac:dyDescent="0.25">
      <c r="B309" s="163" t="s">
        <v>672</v>
      </c>
      <c r="O309" s="164"/>
      <c r="P309" s="165"/>
      <c r="R309" s="164"/>
      <c r="S309" s="165"/>
    </row>
    <row r="310" spans="1:19" s="170" customFormat="1" hidden="1" outlineLevel="2" x14ac:dyDescent="0.25">
      <c r="A310" s="166"/>
      <c r="B310" s="167"/>
      <c r="C310" s="166"/>
      <c r="D310" s="166" t="s">
        <v>389</v>
      </c>
      <c r="E310" s="166" t="s">
        <v>6</v>
      </c>
      <c r="F310" s="166" t="s">
        <v>431</v>
      </c>
      <c r="G310" s="166" t="s">
        <v>432</v>
      </c>
      <c r="H310" s="166" t="s">
        <v>433</v>
      </c>
      <c r="I310" s="166" t="s">
        <v>434</v>
      </c>
      <c r="J310" s="166" t="s">
        <v>435</v>
      </c>
      <c r="K310" s="166" t="s">
        <v>7</v>
      </c>
      <c r="L310" s="166" t="s">
        <v>436</v>
      </c>
      <c r="M310" s="166" t="s">
        <v>437</v>
      </c>
      <c r="N310" s="166"/>
      <c r="O310" s="168" t="s">
        <v>319</v>
      </c>
      <c r="P310" s="169" t="s">
        <v>332</v>
      </c>
      <c r="R310" s="171"/>
      <c r="S310" s="172"/>
    </row>
    <row r="311" spans="1:19" hidden="1" outlineLevel="2" x14ac:dyDescent="0.25">
      <c r="B311" s="174" t="s">
        <v>570</v>
      </c>
      <c r="C311" s="234" t="s">
        <v>13</v>
      </c>
      <c r="D311" s="192"/>
      <c r="E311" s="191">
        <f>Daten_ALLG!$D$186</f>
        <v>0.2</v>
      </c>
      <c r="F311" s="191">
        <f>Daten_ALLG!$D$182</f>
        <v>1.1000000000000001</v>
      </c>
      <c r="G311" s="191">
        <f>Daten_ALLG!$D$183</f>
        <v>1.1000000000000001</v>
      </c>
      <c r="H311" s="191">
        <f>Daten_ALLG!$D$182</f>
        <v>1.1000000000000001</v>
      </c>
      <c r="I311" s="191">
        <f>Daten_ALLG!$D$183</f>
        <v>1.1000000000000001</v>
      </c>
      <c r="J311" s="191">
        <f>Daten_ALLG!$D$188</f>
        <v>0.8</v>
      </c>
      <c r="K311" s="191">
        <f>Daten_ALLG!$D$187</f>
        <v>1.8</v>
      </c>
      <c r="L311" s="191">
        <f>Daten_ALLG!$D$187</f>
        <v>1.8</v>
      </c>
      <c r="M311" s="191">
        <f>Daten_ALLG!$D$187</f>
        <v>1.8</v>
      </c>
    </row>
    <row r="312" spans="1:19" hidden="1" outlineLevel="2" x14ac:dyDescent="0.25">
      <c r="B312" s="174" t="s">
        <v>576</v>
      </c>
      <c r="C312" s="234" t="s">
        <v>13</v>
      </c>
      <c r="D312" s="191">
        <f>SUMPRODUCT(E305:M305,E312:M312)</f>
        <v>1.3247656835616062</v>
      </c>
      <c r="E312" s="191">
        <f t="shared" ref="E312:M313" si="21">E$311/E306</f>
        <v>0.28571428571428575</v>
      </c>
      <c r="F312" s="191">
        <f t="shared" si="21"/>
        <v>1.4666666666666668</v>
      </c>
      <c r="G312" s="191">
        <f t="shared" si="21"/>
        <v>1.4666666666666668</v>
      </c>
      <c r="H312" s="191">
        <f t="shared" si="21"/>
        <v>1.25</v>
      </c>
      <c r="I312" s="191">
        <f t="shared" si="21"/>
        <v>1.25</v>
      </c>
      <c r="J312" s="191">
        <f t="shared" si="21"/>
        <v>0.81632653061224492</v>
      </c>
      <c r="K312" s="191">
        <f t="shared" si="21"/>
        <v>1.8</v>
      </c>
      <c r="L312" s="191">
        <f t="shared" si="21"/>
        <v>1.0236125777298624</v>
      </c>
      <c r="M312" s="191">
        <f t="shared" si="21"/>
        <v>0.84054510396916871</v>
      </c>
      <c r="N312" s="215" t="s">
        <v>563</v>
      </c>
      <c r="O312" s="235">
        <f>IF($A$303&lt;&gt;"",IF($D303="V",$D312,IF($E303="V",$E312,IF($F303="V",$F312,IF($G303="V",$G312,IF($H303="V",$H312,IF($I303="V",$I312,IF($J303="V",$J312,IF($K303="V",$K312,IF($L303="V",$L312,IF($M303="V",$M312,"")))))))))),$D312)</f>
        <v>1.3247656835616062</v>
      </c>
      <c r="P312" s="236">
        <f>IF($A$303&lt;&gt;"",IF($D303="N",D313,IF($E303="N",$E313,IF($F303="N",$F313,IF($G303="N",$G313,IF($H303="N",$H313,IF($I303="N",$I313,IF($J303="N",$J313,IF($K303="N",$K313,IF($L303="N",$L313,IF($M303="N",$M313,SUMPRODUCT(D314:M314,D313:M313))))))))))),$D313)</f>
        <v>1.3247656835616062</v>
      </c>
    </row>
    <row r="313" spans="1:19" hidden="1" outlineLevel="2" x14ac:dyDescent="0.25">
      <c r="C313" s="234" t="s">
        <v>13</v>
      </c>
      <c r="D313" s="191">
        <f>SUMPRODUCT(E305:M305,E313:M313)</f>
        <v>1.3247656835616062</v>
      </c>
      <c r="E313" s="191">
        <f t="shared" si="21"/>
        <v>0.28571428571428575</v>
      </c>
      <c r="F313" s="191">
        <f t="shared" si="21"/>
        <v>1.4666666666666668</v>
      </c>
      <c r="G313" s="191">
        <f t="shared" si="21"/>
        <v>1.4666666666666668</v>
      </c>
      <c r="H313" s="191">
        <f t="shared" si="21"/>
        <v>1.25</v>
      </c>
      <c r="I313" s="191">
        <f t="shared" si="21"/>
        <v>1.25</v>
      </c>
      <c r="J313" s="191">
        <f t="shared" si="21"/>
        <v>0.81632653061224492</v>
      </c>
      <c r="K313" s="191">
        <f t="shared" si="21"/>
        <v>1.8</v>
      </c>
      <c r="L313" s="191">
        <f t="shared" si="21"/>
        <v>1.0236125777298624</v>
      </c>
      <c r="M313" s="191">
        <f t="shared" si="21"/>
        <v>0.84054510396916871</v>
      </c>
      <c r="N313" s="174" t="s">
        <v>564</v>
      </c>
    </row>
    <row r="314" spans="1:19" hidden="1" outlineLevel="2" x14ac:dyDescent="0.25">
      <c r="C314" s="185"/>
      <c r="D314" s="218">
        <f t="shared" ref="D314:M314" si="22">IF(D303="V",1,0)</f>
        <v>0</v>
      </c>
      <c r="E314" s="218">
        <f t="shared" si="22"/>
        <v>0</v>
      </c>
      <c r="F314" s="218">
        <f t="shared" si="22"/>
        <v>0</v>
      </c>
      <c r="G314" s="218">
        <f t="shared" si="22"/>
        <v>0</v>
      </c>
      <c r="H314" s="218">
        <f t="shared" si="22"/>
        <v>0</v>
      </c>
      <c r="I314" s="218">
        <f t="shared" si="22"/>
        <v>0</v>
      </c>
      <c r="J314" s="218">
        <f t="shared" si="22"/>
        <v>0</v>
      </c>
      <c r="K314" s="218">
        <f t="shared" si="22"/>
        <v>0</v>
      </c>
      <c r="L314" s="218">
        <f t="shared" si="22"/>
        <v>0</v>
      </c>
      <c r="M314" s="218">
        <f t="shared" si="22"/>
        <v>0</v>
      </c>
      <c r="N314" s="218"/>
    </row>
    <row r="315" spans="1:19" s="162" customFormat="1" hidden="1" outlineLevel="2" x14ac:dyDescent="0.25">
      <c r="B315" s="163" t="s">
        <v>676</v>
      </c>
      <c r="O315" s="164"/>
      <c r="P315" s="165"/>
      <c r="R315" s="164"/>
      <c r="S315" s="165"/>
    </row>
    <row r="316" spans="1:19" s="170" customFormat="1" hidden="1" outlineLevel="2" x14ac:dyDescent="0.25">
      <c r="A316" s="166"/>
      <c r="B316" s="167"/>
      <c r="C316" s="166"/>
      <c r="D316" s="166" t="s">
        <v>389</v>
      </c>
      <c r="E316" s="166" t="s">
        <v>6</v>
      </c>
      <c r="F316" s="166" t="s">
        <v>431</v>
      </c>
      <c r="G316" s="166" t="s">
        <v>432</v>
      </c>
      <c r="H316" s="166" t="s">
        <v>433</v>
      </c>
      <c r="I316" s="166" t="s">
        <v>434</v>
      </c>
      <c r="J316" s="166" t="s">
        <v>435</v>
      </c>
      <c r="K316" s="166" t="s">
        <v>7</v>
      </c>
      <c r="L316" s="166" t="s">
        <v>436</v>
      </c>
      <c r="M316" s="166" t="s">
        <v>437</v>
      </c>
      <c r="N316" s="166"/>
      <c r="O316" s="168" t="s">
        <v>319</v>
      </c>
      <c r="P316" s="169" t="s">
        <v>332</v>
      </c>
      <c r="R316" s="171"/>
      <c r="S316" s="172"/>
    </row>
    <row r="317" spans="1:19" hidden="1" outlineLevel="2" x14ac:dyDescent="0.25">
      <c r="B317" s="174" t="s">
        <v>571</v>
      </c>
      <c r="C317" s="234" t="s">
        <v>227</v>
      </c>
      <c r="D317" s="192"/>
      <c r="E317" s="214">
        <f>Daten_ALLG!$D$208</f>
        <v>15</v>
      </c>
      <c r="F317" s="214">
        <f>Daten_ALLG!$D$204</f>
        <v>208</v>
      </c>
      <c r="G317" s="214">
        <f>Daten_ALLG!$D$205</f>
        <v>292</v>
      </c>
      <c r="H317" s="214">
        <f>Daten_ALLG!$D$204</f>
        <v>208</v>
      </c>
      <c r="I317" s="214">
        <f>Daten_ALLG!$D$205</f>
        <v>292</v>
      </c>
      <c r="J317" s="214">
        <f>Daten_ALLG!$D$210</f>
        <v>240</v>
      </c>
      <c r="K317" s="214">
        <f>Daten_ALLG!$D$209</f>
        <v>444</v>
      </c>
      <c r="L317" s="214">
        <f>Daten_ALLG!$D$209</f>
        <v>444</v>
      </c>
      <c r="M317" s="214">
        <f>Daten_ALLG!$D$209</f>
        <v>444</v>
      </c>
    </row>
    <row r="318" spans="1:19" hidden="1" outlineLevel="2" x14ac:dyDescent="0.25">
      <c r="B318" s="174" t="s">
        <v>577</v>
      </c>
      <c r="C318" s="234" t="s">
        <v>13</v>
      </c>
      <c r="D318" s="214">
        <f>SUMPRODUCT(E305:M305,E318:M318)</f>
        <v>296.10204050816321</v>
      </c>
      <c r="E318" s="214">
        <f t="shared" ref="E318:M319" si="23">E$317/E306</f>
        <v>21.428571428571431</v>
      </c>
      <c r="F318" s="214">
        <f t="shared" si="23"/>
        <v>277.33333333333331</v>
      </c>
      <c r="G318" s="214">
        <f t="shared" si="23"/>
        <v>389.33333333333331</v>
      </c>
      <c r="H318" s="214">
        <f t="shared" si="23"/>
        <v>236.36363636363637</v>
      </c>
      <c r="I318" s="214">
        <f t="shared" si="23"/>
        <v>331.81818181818181</v>
      </c>
      <c r="J318" s="214">
        <f t="shared" si="23"/>
        <v>244.89795918367346</v>
      </c>
      <c r="K318" s="214">
        <f t="shared" si="23"/>
        <v>444</v>
      </c>
      <c r="L318" s="214">
        <f t="shared" si="23"/>
        <v>252.49110250669941</v>
      </c>
      <c r="M318" s="214">
        <f t="shared" si="23"/>
        <v>207.33445897906162</v>
      </c>
      <c r="N318" s="215" t="s">
        <v>563</v>
      </c>
      <c r="O318" s="216">
        <f>IF($A$303&lt;&gt;"",IF($D303="V",$D318,IF($E303="V",$E318,IF($F303="V",$F318,IF($G303="V",$G318,IF($H303="V",$H318,IF($I303="V",$I318,IF($J303="V",$J318,IF($K303="V",$K318,IF($L303="V",$L318,IF($M303="V",$M318,"")))))))))),$D318)</f>
        <v>296.10204050816321</v>
      </c>
      <c r="P318" s="217">
        <f>IF($A$303&lt;&gt;"",IF($D303="N",D319,IF($E303="N",$E319,IF($F303="N",$F319,IF($G303="N",$G319,IF($H303="N",$H319,IF($I303="N",$I319,IF($J303="N",$J319,IF($K303="N",$K319,IF($L303="N",$L319,IF($M303="N",$M319,SUMPRODUCT(D320:M320,D319:M319))))))))))),$D319)</f>
        <v>296.10204050816321</v>
      </c>
    </row>
    <row r="319" spans="1:19" hidden="1" outlineLevel="2" x14ac:dyDescent="0.25">
      <c r="C319" s="234" t="s">
        <v>13</v>
      </c>
      <c r="D319" s="214">
        <f>SUMPRODUCT(E305:M305,E319:M319)</f>
        <v>296.10204050816321</v>
      </c>
      <c r="E319" s="214">
        <f t="shared" si="23"/>
        <v>21.428571428571431</v>
      </c>
      <c r="F319" s="214">
        <f t="shared" si="23"/>
        <v>277.33333333333331</v>
      </c>
      <c r="G319" s="214">
        <f t="shared" si="23"/>
        <v>389.33333333333331</v>
      </c>
      <c r="H319" s="214">
        <f t="shared" si="23"/>
        <v>236.36363636363637</v>
      </c>
      <c r="I319" s="214">
        <f t="shared" si="23"/>
        <v>331.81818181818181</v>
      </c>
      <c r="J319" s="214">
        <f t="shared" si="23"/>
        <v>244.89795918367346</v>
      </c>
      <c r="K319" s="214">
        <f t="shared" si="23"/>
        <v>444</v>
      </c>
      <c r="L319" s="214">
        <f t="shared" si="23"/>
        <v>252.49110250669941</v>
      </c>
      <c r="M319" s="214">
        <f t="shared" si="23"/>
        <v>207.33445897906162</v>
      </c>
      <c r="N319" s="174" t="s">
        <v>564</v>
      </c>
    </row>
    <row r="320" spans="1:19" hidden="1" outlineLevel="2" x14ac:dyDescent="0.25">
      <c r="C320" s="185"/>
      <c r="D320" s="218">
        <f t="shared" ref="D320:M320" si="24">IF(D303="V",1,0)</f>
        <v>0</v>
      </c>
      <c r="E320" s="218">
        <f t="shared" si="24"/>
        <v>0</v>
      </c>
      <c r="F320" s="218">
        <f t="shared" si="24"/>
        <v>0</v>
      </c>
      <c r="G320" s="218">
        <f t="shared" si="24"/>
        <v>0</v>
      </c>
      <c r="H320" s="218">
        <f t="shared" si="24"/>
        <v>0</v>
      </c>
      <c r="I320" s="218">
        <f t="shared" si="24"/>
        <v>0</v>
      </c>
      <c r="J320" s="218">
        <f t="shared" si="24"/>
        <v>0</v>
      </c>
      <c r="K320" s="218">
        <f t="shared" si="24"/>
        <v>0</v>
      </c>
      <c r="L320" s="218">
        <f t="shared" si="24"/>
        <v>0</v>
      </c>
      <c r="M320" s="218">
        <f t="shared" si="24"/>
        <v>0</v>
      </c>
    </row>
    <row r="321" spans="1:19" s="162" customFormat="1" hidden="1" outlineLevel="2" x14ac:dyDescent="0.25">
      <c r="B321" s="163" t="s">
        <v>679</v>
      </c>
      <c r="O321" s="164"/>
      <c r="P321" s="165"/>
      <c r="R321" s="164"/>
      <c r="S321" s="165"/>
    </row>
    <row r="322" spans="1:19" s="170" customFormat="1" hidden="1" outlineLevel="2" x14ac:dyDescent="0.25">
      <c r="A322" s="166"/>
      <c r="B322" s="167"/>
      <c r="C322" s="166"/>
      <c r="D322" s="166" t="s">
        <v>389</v>
      </c>
      <c r="E322" s="166" t="s">
        <v>6</v>
      </c>
      <c r="F322" s="166" t="s">
        <v>431</v>
      </c>
      <c r="G322" s="166" t="s">
        <v>432</v>
      </c>
      <c r="H322" s="166" t="s">
        <v>433</v>
      </c>
      <c r="I322" s="166" t="s">
        <v>434</v>
      </c>
      <c r="J322" s="166" t="s">
        <v>435</v>
      </c>
      <c r="K322" s="166" t="s">
        <v>7</v>
      </c>
      <c r="L322" s="166" t="s">
        <v>436</v>
      </c>
      <c r="M322" s="166" t="s">
        <v>437</v>
      </c>
      <c r="N322" s="166"/>
      <c r="O322" s="168" t="s">
        <v>319</v>
      </c>
      <c r="P322" s="169" t="s">
        <v>332</v>
      </c>
      <c r="R322" s="171"/>
      <c r="S322" s="172"/>
    </row>
    <row r="323" spans="1:19" hidden="1" outlineLevel="2" x14ac:dyDescent="0.25">
      <c r="B323" s="174" t="s">
        <v>671</v>
      </c>
      <c r="C323" s="234" t="s">
        <v>227</v>
      </c>
      <c r="E323" s="237">
        <f>Daten_ALLG!$D$281</f>
        <v>0.05</v>
      </c>
      <c r="F323" s="237">
        <f>Daten_ALLG!$D$276</f>
        <v>8.6999999999999994E-2</v>
      </c>
      <c r="G323" s="237">
        <f>Daten_ALLG!$D$277</f>
        <v>0.122</v>
      </c>
      <c r="H323" s="237">
        <f>Daten_ALLG!$D$276</f>
        <v>8.6999999999999994E-2</v>
      </c>
      <c r="I323" s="237">
        <f>Daten_ALLG!$D$277</f>
        <v>0.122</v>
      </c>
      <c r="J323" s="237">
        <f>Daten_ALLG!$D$280</f>
        <v>0.10199999999999999</v>
      </c>
      <c r="K323" s="237">
        <f>Daten_ALLG!$D$278</f>
        <v>0.186</v>
      </c>
      <c r="L323" s="237">
        <f>Daten_ALLG!$D$279</f>
        <v>0.186</v>
      </c>
      <c r="M323" s="237">
        <f>Daten_ALLG!$D$279</f>
        <v>0.186</v>
      </c>
    </row>
    <row r="324" spans="1:19" hidden="1" outlineLevel="2" x14ac:dyDescent="0.25">
      <c r="B324" s="174" t="s">
        <v>678</v>
      </c>
      <c r="C324" s="234" t="s">
        <v>13</v>
      </c>
      <c r="D324" s="237">
        <f>SUMPRODUCT(E305:M305,E324:M324)</f>
        <v>0.12772443847798198</v>
      </c>
      <c r="E324" s="237">
        <f t="shared" ref="E324:M325" si="25">E$323/E306</f>
        <v>7.1428571428571438E-2</v>
      </c>
      <c r="F324" s="237">
        <f t="shared" si="25"/>
        <v>0.11599999999999999</v>
      </c>
      <c r="G324" s="237">
        <f t="shared" si="25"/>
        <v>0.16266666666666665</v>
      </c>
      <c r="H324" s="237">
        <f t="shared" si="25"/>
        <v>9.8863636363636362E-2</v>
      </c>
      <c r="I324" s="237">
        <f t="shared" si="25"/>
        <v>0.13863636363636364</v>
      </c>
      <c r="J324" s="237">
        <f t="shared" si="25"/>
        <v>0.10408163265306122</v>
      </c>
      <c r="K324" s="237">
        <f t="shared" si="25"/>
        <v>0.186</v>
      </c>
      <c r="L324" s="237">
        <f t="shared" si="25"/>
        <v>0.10577329969875245</v>
      </c>
      <c r="M324" s="237">
        <f t="shared" si="25"/>
        <v>8.6856327410147427E-2</v>
      </c>
      <c r="N324" s="215" t="s">
        <v>563</v>
      </c>
      <c r="O324" s="235">
        <f>IF($A$303&lt;&gt;"",IF($D303="V",$D324,IF($E303="V",$E324,IF($F303="V",$F324,IF($G303="V",$G324,IF($H303="V",$H324,IF($I303="V",$I324,IF($J303="V",$J324,IF($K303="V",$K324,IF($L303="V",$L324,IF($M303="V",$M324,"")))))))))),$D324)</f>
        <v>0.12772443847798198</v>
      </c>
      <c r="P324" s="236">
        <f>IF($A$303&lt;&gt;"",IF($D303="N",D325,IF($E303="N",$E325,IF($F303="N",$F325,IF($G303="N",$G325,IF($H303="N",$H325,IF($I303="N",$I325,IF($J303="N",$J325,IF($K303="N",$K325,IF($L303="N",$L325,IF($M303="N",$M325,SUMPRODUCT(D326:M326,D325:M325))))))))))),$D325)</f>
        <v>0.12772443847798198</v>
      </c>
    </row>
    <row r="325" spans="1:19" hidden="1" outlineLevel="2" x14ac:dyDescent="0.25">
      <c r="C325" s="234" t="s">
        <v>13</v>
      </c>
      <c r="D325" s="237">
        <f>SUMPRODUCT(E305:M305,E325:M325)</f>
        <v>0.12772443847798198</v>
      </c>
      <c r="E325" s="237">
        <f t="shared" si="25"/>
        <v>7.1428571428571438E-2</v>
      </c>
      <c r="F325" s="237">
        <f t="shared" si="25"/>
        <v>0.11599999999999999</v>
      </c>
      <c r="G325" s="237">
        <f t="shared" si="25"/>
        <v>0.16266666666666665</v>
      </c>
      <c r="H325" s="237">
        <f t="shared" si="25"/>
        <v>9.8863636363636362E-2</v>
      </c>
      <c r="I325" s="237">
        <f t="shared" si="25"/>
        <v>0.13863636363636364</v>
      </c>
      <c r="J325" s="237">
        <f t="shared" si="25"/>
        <v>0.10408163265306122</v>
      </c>
      <c r="K325" s="237">
        <f t="shared" si="25"/>
        <v>0.186</v>
      </c>
      <c r="L325" s="237">
        <f t="shared" si="25"/>
        <v>0.10577329969875245</v>
      </c>
      <c r="M325" s="237">
        <f t="shared" si="25"/>
        <v>8.6856327410147427E-2</v>
      </c>
      <c r="N325" s="174" t="s">
        <v>564</v>
      </c>
    </row>
    <row r="326" spans="1:19" hidden="1" outlineLevel="2" x14ac:dyDescent="0.25">
      <c r="C326" s="185"/>
      <c r="D326" s="218">
        <f t="shared" ref="D326:M326" si="26">IF(D303="V",1,0)</f>
        <v>0</v>
      </c>
      <c r="E326" s="218">
        <f t="shared" si="26"/>
        <v>0</v>
      </c>
      <c r="F326" s="218">
        <f t="shared" si="26"/>
        <v>0</v>
      </c>
      <c r="G326" s="218">
        <f t="shared" si="26"/>
        <v>0</v>
      </c>
      <c r="H326" s="218">
        <f t="shared" si="26"/>
        <v>0</v>
      </c>
      <c r="I326" s="218">
        <f t="shared" si="26"/>
        <v>0</v>
      </c>
      <c r="J326" s="218">
        <f t="shared" si="26"/>
        <v>0</v>
      </c>
      <c r="K326" s="218">
        <f t="shared" si="26"/>
        <v>0</v>
      </c>
      <c r="L326" s="218">
        <f t="shared" si="26"/>
        <v>0</v>
      </c>
      <c r="M326" s="218">
        <f t="shared" si="26"/>
        <v>0</v>
      </c>
    </row>
    <row r="327" spans="1:19" s="159" customFormat="1" ht="14.25" customHeight="1" collapsed="1" x14ac:dyDescent="0.25">
      <c r="A327" s="156" t="s">
        <v>465</v>
      </c>
      <c r="B327" s="157"/>
      <c r="C327" s="157"/>
      <c r="D327" s="158"/>
      <c r="O327" s="160"/>
      <c r="P327" s="161"/>
      <c r="R327" s="160"/>
      <c r="S327" s="161"/>
    </row>
    <row r="328" spans="1:19" s="162" customFormat="1" hidden="1" outlineLevel="2" x14ac:dyDescent="0.25">
      <c r="A328" s="212" t="str">
        <f>IF(A276="","",A276)</f>
        <v/>
      </c>
      <c r="B328" s="163" t="s">
        <v>461</v>
      </c>
      <c r="D328" s="212" t="str">
        <f t="shared" ref="D328:M328" si="27">IF(D276="","",D276)</f>
        <v/>
      </c>
      <c r="E328" s="212" t="str">
        <f t="shared" si="27"/>
        <v/>
      </c>
      <c r="F328" s="212" t="str">
        <f t="shared" si="27"/>
        <v/>
      </c>
      <c r="G328" s="212" t="str">
        <f t="shared" si="27"/>
        <v/>
      </c>
      <c r="H328" s="212" t="str">
        <f t="shared" si="27"/>
        <v/>
      </c>
      <c r="I328" s="212" t="str">
        <f t="shared" si="27"/>
        <v/>
      </c>
      <c r="J328" s="212" t="str">
        <f t="shared" si="27"/>
        <v/>
      </c>
      <c r="K328" s="212" t="str">
        <f t="shared" si="27"/>
        <v/>
      </c>
      <c r="L328" s="212" t="str">
        <f t="shared" si="27"/>
        <v/>
      </c>
      <c r="M328" s="212" t="str">
        <f t="shared" si="27"/>
        <v/>
      </c>
      <c r="O328" s="164"/>
      <c r="P328" s="165"/>
      <c r="R328" s="164" t="s">
        <v>457</v>
      </c>
      <c r="S328" s="165"/>
    </row>
    <row r="329" spans="1:19" s="170" customFormat="1" hidden="1" outlineLevel="2" x14ac:dyDescent="0.25">
      <c r="A329" s="166"/>
      <c r="B329" s="167"/>
      <c r="C329" s="166"/>
      <c r="D329" s="166" t="s">
        <v>389</v>
      </c>
      <c r="E329" s="166" t="s">
        <v>6</v>
      </c>
      <c r="F329" s="166" t="s">
        <v>431</v>
      </c>
      <c r="G329" s="166" t="s">
        <v>432</v>
      </c>
      <c r="H329" s="166" t="s">
        <v>433</v>
      </c>
      <c r="I329" s="170" t="s">
        <v>434</v>
      </c>
      <c r="J329" s="166" t="s">
        <v>435</v>
      </c>
      <c r="K329" s="166" t="s">
        <v>7</v>
      </c>
      <c r="L329" s="166" t="s">
        <v>436</v>
      </c>
      <c r="M329" s="166" t="s">
        <v>437</v>
      </c>
      <c r="N329" s="166"/>
      <c r="O329" s="168" t="s">
        <v>319</v>
      </c>
      <c r="P329" s="169" t="s">
        <v>332</v>
      </c>
      <c r="R329" s="171" t="s">
        <v>446</v>
      </c>
      <c r="S329" s="172" t="s">
        <v>456</v>
      </c>
    </row>
    <row r="330" spans="1:19" hidden="1" outlineLevel="2" x14ac:dyDescent="0.25">
      <c r="B330" s="174" t="s">
        <v>444</v>
      </c>
      <c r="C330" s="234" t="s">
        <v>427</v>
      </c>
      <c r="D330" s="214">
        <f>SUMPRODUCT(E278:M278,E330:M330)</f>
        <v>53.975901704427443</v>
      </c>
      <c r="E330" s="214">
        <f>E282*Daten_ALLG!$D$98</f>
        <v>486.34632215569889</v>
      </c>
      <c r="L330" s="214">
        <f>L282*Daten_ALLG!$D$98</f>
        <v>339.83608447743228</v>
      </c>
      <c r="M330" s="214">
        <f>M282*Daten_ALLG!$D$98</f>
        <v>497.67637692471089</v>
      </c>
      <c r="N330" s="215" t="s">
        <v>563</v>
      </c>
    </row>
    <row r="331" spans="1:19" hidden="1" outlineLevel="2" x14ac:dyDescent="0.25">
      <c r="C331" s="234" t="s">
        <v>427</v>
      </c>
      <c r="D331" s="214">
        <f>SUMPRODUCT(E278:M278,E331:M331)</f>
        <v>53.975901704427443</v>
      </c>
      <c r="E331" s="214">
        <f>E283*Daten_ALLG!$D$98</f>
        <v>486.34632215569889</v>
      </c>
      <c r="L331" s="214">
        <f>L283*Daten_ALLG!$D$98</f>
        <v>339.83608447743228</v>
      </c>
      <c r="M331" s="214">
        <f>M283*Daten_ALLG!$D$98</f>
        <v>497.67637692471089</v>
      </c>
      <c r="N331" s="174" t="s">
        <v>564</v>
      </c>
      <c r="O331" s="193">
        <f>IF($A$328&lt;&gt;"",IF($D328="V",$D330,IF($E328="V",$E330,IF($F328="V",$F330,IF($G328="V",$G330,IF($H328="V",$H330,IF($I328="V",$I330,IF($J328="V",$J330,IF($K328="V",$K330,IF($L328="V",$L330,IF($M328="V",$M330,"")))))))))),$D330)</f>
        <v>53.975901704427443</v>
      </c>
      <c r="P331" s="194">
        <f>IF($A$328&lt;&gt;"",IF($D328="N",D331,IF($E328="N",$E331,IF($F328="N",$F331,IF($G328="N",$G331,IF($H328="N",$H331,IF($I328="N",$I331,IF($J328="N",$J331,IF($K328="N",$K331,IF($L328="N",$L331,IF($M328="N",$M331,SUMPRODUCT(D332:M332,D331:M331))))))))))),$D331)</f>
        <v>53.975901704427443</v>
      </c>
      <c r="Q331" s="185" t="s">
        <v>427</v>
      </c>
      <c r="R331" s="180">
        <f>IF(A328&lt;&gt;"",IF(OR(L328="n",M328="n",E328="n"),P331,0),0)</f>
        <v>0</v>
      </c>
    </row>
    <row r="332" spans="1:19" hidden="1" outlineLevel="2" x14ac:dyDescent="0.25">
      <c r="C332" s="185"/>
      <c r="D332" s="218">
        <f>IF(D328="V",1,0)</f>
        <v>0</v>
      </c>
      <c r="E332" s="218">
        <f t="shared" ref="E332:M332" si="28">IF(E328="V",1,0)</f>
        <v>0</v>
      </c>
      <c r="F332" s="218">
        <f t="shared" si="28"/>
        <v>0</v>
      </c>
      <c r="G332" s="218">
        <f t="shared" si="28"/>
        <v>0</v>
      </c>
      <c r="H332" s="218">
        <f t="shared" si="28"/>
        <v>0</v>
      </c>
      <c r="I332" s="218">
        <f t="shared" si="28"/>
        <v>0</v>
      </c>
      <c r="J332" s="218">
        <f t="shared" si="28"/>
        <v>0</v>
      </c>
      <c r="K332" s="218">
        <f t="shared" si="28"/>
        <v>0</v>
      </c>
      <c r="L332" s="218">
        <f t="shared" si="28"/>
        <v>0</v>
      </c>
      <c r="M332" s="218">
        <f t="shared" si="28"/>
        <v>0</v>
      </c>
    </row>
    <row r="333" spans="1:19" s="162" customFormat="1" hidden="1" outlineLevel="2" x14ac:dyDescent="0.25">
      <c r="B333" s="163" t="s">
        <v>443</v>
      </c>
      <c r="O333" s="164"/>
      <c r="P333" s="165"/>
      <c r="R333" s="164"/>
      <c r="S333" s="165"/>
    </row>
    <row r="334" spans="1:19" s="170" customFormat="1" hidden="1" outlineLevel="2" x14ac:dyDescent="0.25">
      <c r="A334" s="166"/>
      <c r="B334" s="167"/>
      <c r="C334" s="166"/>
      <c r="D334" s="166"/>
      <c r="E334" s="166"/>
      <c r="F334" s="166"/>
      <c r="G334" s="166"/>
      <c r="H334" s="166"/>
      <c r="J334" s="166"/>
      <c r="K334" s="166"/>
      <c r="L334" s="166"/>
      <c r="M334" s="166"/>
      <c r="N334" s="166"/>
      <c r="O334" s="168" t="s">
        <v>319</v>
      </c>
      <c r="P334" s="169" t="s">
        <v>332</v>
      </c>
      <c r="R334" s="171"/>
      <c r="S334" s="172"/>
    </row>
    <row r="335" spans="1:19" hidden="1" outlineLevel="2" x14ac:dyDescent="0.25">
      <c r="B335" s="174" t="s">
        <v>447</v>
      </c>
      <c r="C335" s="234" t="s">
        <v>355</v>
      </c>
      <c r="D335" s="214">
        <f>Daten_ALLG!$M$105*O331^Daten_ALLG!$M$107*(O134-O26)</f>
        <v>20.541357550356402</v>
      </c>
      <c r="E335" s="214">
        <f>Daten_ALLG!$M$105*P331^Daten_ALLG!$M$107*(P134-P26)</f>
        <v>20.541357550356402</v>
      </c>
      <c r="O335" s="238"/>
      <c r="P335" s="239"/>
    </row>
    <row r="336" spans="1:19" hidden="1" outlineLevel="2" x14ac:dyDescent="0.25">
      <c r="B336" s="174" t="s">
        <v>478</v>
      </c>
      <c r="C336" s="234" t="s">
        <v>348</v>
      </c>
      <c r="O336" s="216">
        <f>D335*O18*24/1000</f>
        <v>137.98961305524915</v>
      </c>
      <c r="P336" s="217">
        <f>E335*P18*24/1000</f>
        <v>137.98961305524915</v>
      </c>
    </row>
    <row r="337" spans="1:19" s="162" customFormat="1" hidden="1" outlineLevel="2" x14ac:dyDescent="0.25">
      <c r="A337" s="212" t="str">
        <f>IF(A349="","",A349)</f>
        <v/>
      </c>
      <c r="B337" s="163" t="s">
        <v>462</v>
      </c>
      <c r="D337" s="212" t="str">
        <f>IF(D349="","",D349)</f>
        <v/>
      </c>
      <c r="E337" s="212" t="str">
        <f>IF(E349="","",E349)</f>
        <v/>
      </c>
      <c r="F337" s="212" t="str">
        <f>IF(F349="","",F349)</f>
        <v/>
      </c>
      <c r="G337" s="212"/>
      <c r="H337" s="212"/>
      <c r="I337" s="212"/>
      <c r="J337" s="212"/>
      <c r="K337" s="212"/>
      <c r="L337" s="212"/>
      <c r="M337" s="212"/>
      <c r="O337" s="164"/>
      <c r="P337" s="165"/>
      <c r="R337" s="164" t="s">
        <v>457</v>
      </c>
      <c r="S337" s="165"/>
    </row>
    <row r="338" spans="1:19" s="170" customFormat="1" hidden="1" outlineLevel="2" x14ac:dyDescent="0.25">
      <c r="A338" s="166"/>
      <c r="B338" s="167"/>
      <c r="C338" s="166"/>
      <c r="D338" s="166" t="s">
        <v>389</v>
      </c>
      <c r="E338" s="166" t="s">
        <v>180</v>
      </c>
      <c r="F338" s="166" t="s">
        <v>23</v>
      </c>
      <c r="H338" s="166"/>
      <c r="J338" s="166"/>
      <c r="K338" s="166"/>
      <c r="L338" s="166"/>
      <c r="M338" s="166"/>
      <c r="N338" s="166"/>
      <c r="O338" s="168" t="s">
        <v>319</v>
      </c>
      <c r="P338" s="169" t="s">
        <v>332</v>
      </c>
      <c r="R338" s="171" t="s">
        <v>446</v>
      </c>
      <c r="S338" s="172" t="s">
        <v>456</v>
      </c>
    </row>
    <row r="339" spans="1:19" hidden="1" outlineLevel="2" x14ac:dyDescent="0.25">
      <c r="B339" s="174" t="s">
        <v>444</v>
      </c>
      <c r="C339" s="234" t="s">
        <v>427</v>
      </c>
      <c r="D339" s="214">
        <f>E351*E339+F351*F339</f>
        <v>141.26977628485218</v>
      </c>
      <c r="E339" s="214">
        <f>Daten_ALLG!$D$101*Daten_EZFH!$D$18+Daten_ALLG!$F$101</f>
        <v>114.86457428520717</v>
      </c>
      <c r="F339" s="214">
        <f>Daten_ALLG!$D$102*F353</f>
        <v>246.89058428343225</v>
      </c>
      <c r="L339" s="220"/>
      <c r="M339" s="220"/>
      <c r="O339" s="193">
        <f>IF($A337&lt;&gt;"",IF($D337="V",$D339,IF($E337="V",$E339,IF($F337="V",F339,""))),$D339)</f>
        <v>141.26977628485218</v>
      </c>
      <c r="P339" s="194">
        <f>IF($A337&lt;&gt;"",IF($D337="N",$D339,IF($E337="N",$E339,IF($F337="N",F339,O339))),$D339)</f>
        <v>141.26977628485218</v>
      </c>
      <c r="Q339" s="185" t="s">
        <v>427</v>
      </c>
      <c r="R339" s="180">
        <f>IF(A303="",0,IF(F349="N",F339,IF(E349="N",E339,0)))</f>
        <v>0</v>
      </c>
      <c r="S339" s="181">
        <f>IF(A303="",0,IF(R339=0,0,E339))</f>
        <v>0</v>
      </c>
    </row>
    <row r="340" spans="1:19" s="162" customFormat="1" hidden="1" outlineLevel="2" x14ac:dyDescent="0.25">
      <c r="B340" s="163" t="s">
        <v>464</v>
      </c>
      <c r="O340" s="164"/>
      <c r="P340" s="165"/>
      <c r="R340" s="164"/>
      <c r="S340" s="165"/>
    </row>
    <row r="341" spans="1:19" s="170" customFormat="1" hidden="1" outlineLevel="2" x14ac:dyDescent="0.25">
      <c r="A341" s="166"/>
      <c r="B341" s="167"/>
      <c r="C341" s="166"/>
      <c r="D341" s="166"/>
      <c r="E341" s="166"/>
      <c r="F341" s="166"/>
      <c r="G341" s="166"/>
      <c r="H341" s="166"/>
      <c r="J341" s="166"/>
      <c r="K341" s="166"/>
      <c r="L341" s="166"/>
      <c r="M341" s="166"/>
      <c r="N341" s="166"/>
      <c r="O341" s="168" t="s">
        <v>319</v>
      </c>
      <c r="P341" s="169" t="s">
        <v>332</v>
      </c>
      <c r="R341" s="171"/>
      <c r="S341" s="172"/>
    </row>
    <row r="342" spans="1:19" hidden="1" outlineLevel="2" x14ac:dyDescent="0.25">
      <c r="B342" s="174" t="s">
        <v>447</v>
      </c>
      <c r="C342" s="234" t="s">
        <v>355</v>
      </c>
      <c r="D342" s="214">
        <f>Daten_ALLG!$M$105*O339^Daten_ALLG!$M$107*(Daten_ALLG!$D$37-O26)</f>
        <v>64.871134002781858</v>
      </c>
      <c r="E342" s="214">
        <f>Daten_ALLG!$M$105*P339^Daten_ALLG!$M$107*(Daten_ALLG!$D$37-P26)</f>
        <v>64.871134002781858</v>
      </c>
      <c r="O342" s="238"/>
      <c r="P342" s="239"/>
    </row>
    <row r="343" spans="1:19" hidden="1" outlineLevel="2" x14ac:dyDescent="0.25">
      <c r="B343" s="174" t="s">
        <v>479</v>
      </c>
      <c r="C343" s="234" t="s">
        <v>348</v>
      </c>
      <c r="O343" s="216">
        <f>D342*8760/1000</f>
        <v>568.27113386436918</v>
      </c>
      <c r="P343" s="217">
        <f>E342*8760/1000</f>
        <v>568.27113386436918</v>
      </c>
    </row>
    <row r="344" spans="1:19" s="159" customFormat="1" ht="14.25" customHeight="1" collapsed="1" x14ac:dyDescent="0.25">
      <c r="A344" s="156" t="s">
        <v>190</v>
      </c>
      <c r="B344" s="157"/>
      <c r="C344" s="157"/>
      <c r="D344" s="158"/>
      <c r="O344" s="160"/>
      <c r="P344" s="161"/>
      <c r="R344" s="160"/>
      <c r="S344" s="161"/>
    </row>
    <row r="345" spans="1:19" s="162" customFormat="1" hidden="1" outlineLevel="2" x14ac:dyDescent="0.25">
      <c r="B345" s="163" t="s">
        <v>365</v>
      </c>
      <c r="O345" s="164"/>
      <c r="P345" s="165"/>
      <c r="R345" s="164"/>
      <c r="S345" s="165"/>
    </row>
    <row r="346" spans="1:19" s="170" customFormat="1" hidden="1" outlineLevel="2" x14ac:dyDescent="0.25">
      <c r="A346" s="166"/>
      <c r="B346" s="167"/>
      <c r="C346" s="166"/>
      <c r="D346" s="166"/>
      <c r="E346" s="166"/>
      <c r="F346" s="166"/>
      <c r="G346" s="166"/>
      <c r="H346" s="166"/>
      <c r="J346" s="166"/>
      <c r="K346" s="166"/>
      <c r="L346" s="166"/>
      <c r="M346" s="166"/>
      <c r="N346" s="166"/>
      <c r="O346" s="168" t="s">
        <v>319</v>
      </c>
      <c r="P346" s="169" t="s">
        <v>332</v>
      </c>
      <c r="R346" s="171"/>
      <c r="S346" s="172"/>
    </row>
    <row r="347" spans="1:19" hidden="1" outlineLevel="2" x14ac:dyDescent="0.25">
      <c r="B347" s="174" t="s">
        <v>467</v>
      </c>
      <c r="C347" s="185" t="s">
        <v>348</v>
      </c>
      <c r="O347" s="216">
        <f>(Daten_ALLG!$M$166*O94^Daten_ALLG!$M$168)*Daten_EZFH!$D$16</f>
        <v>329.26563182485677</v>
      </c>
      <c r="P347" s="217">
        <f>(Daten_ALLG!$M$166*P94^Daten_ALLG!$M$168)*Daten_EZFH!$D$16</f>
        <v>329.26563182485677</v>
      </c>
    </row>
    <row r="348" spans="1:19" s="159" customFormat="1" ht="14.25" customHeight="1" thickBot="1" x14ac:dyDescent="0.3">
      <c r="A348" s="156" t="s">
        <v>458</v>
      </c>
      <c r="B348" s="157"/>
      <c r="C348" s="157"/>
      <c r="D348" s="158"/>
      <c r="O348" s="160"/>
      <c r="P348" s="161"/>
      <c r="R348" s="160"/>
      <c r="S348" s="161"/>
    </row>
    <row r="349" spans="1:19" s="162" customFormat="1" ht="15.75" outlineLevel="1" thickBot="1" x14ac:dyDescent="0.3">
      <c r="A349" s="335" t="str">
        <f>IF(Bil_EZFH_mQS!A349="","",Bil_EZFH_mQS!A349)</f>
        <v/>
      </c>
      <c r="B349" s="163" t="s">
        <v>453</v>
      </c>
      <c r="D349" s="335" t="str">
        <f>IF(Bil_EZFH_mQS!D349="","",Bil_EZFH_mQS!D349)</f>
        <v/>
      </c>
      <c r="E349" s="335" t="str">
        <f>IF(Bil_EZFH_mQS!E349="","",Bil_EZFH_mQS!E349)</f>
        <v/>
      </c>
      <c r="F349" s="335" t="str">
        <f>IF(Bil_EZFH_mQS!F349="","",Bil_EZFH_mQS!F349)</f>
        <v/>
      </c>
      <c r="O349" s="164"/>
      <c r="P349" s="165"/>
      <c r="R349" s="164" t="s">
        <v>457</v>
      </c>
      <c r="S349" s="165"/>
    </row>
    <row r="350" spans="1:19" s="170" customFormat="1" ht="15.75" outlineLevel="1" collapsed="1" thickBot="1" x14ac:dyDescent="0.3">
      <c r="A350" s="166"/>
      <c r="B350" s="167"/>
      <c r="C350" s="166"/>
      <c r="D350" s="166" t="s">
        <v>389</v>
      </c>
      <c r="E350" s="166" t="s">
        <v>191</v>
      </c>
      <c r="F350" s="166" t="s">
        <v>45</v>
      </c>
      <c r="G350" s="166"/>
      <c r="H350" s="166"/>
      <c r="J350" s="166"/>
      <c r="K350" s="166"/>
      <c r="L350" s="166"/>
      <c r="M350" s="166"/>
      <c r="N350" s="166"/>
      <c r="O350" s="168" t="s">
        <v>319</v>
      </c>
      <c r="P350" s="169" t="s">
        <v>332</v>
      </c>
      <c r="R350" s="171" t="s">
        <v>454</v>
      </c>
      <c r="S350" s="172" t="s">
        <v>456</v>
      </c>
    </row>
    <row r="351" spans="1:19" ht="15.75" hidden="1" outlineLevel="2" thickBot="1" x14ac:dyDescent="0.3">
      <c r="B351" s="174" t="s">
        <v>157</v>
      </c>
      <c r="C351" s="185" t="s">
        <v>13</v>
      </c>
      <c r="E351" s="191">
        <f>1-F351</f>
        <v>0.8</v>
      </c>
      <c r="F351" s="191">
        <f>Daten_EZFH!$D$105</f>
        <v>0.2</v>
      </c>
      <c r="J351" s="197"/>
      <c r="K351" s="197"/>
      <c r="L351" s="197"/>
      <c r="M351" s="197"/>
      <c r="N351" s="197"/>
    </row>
    <row r="352" spans="1:19" ht="15.75" hidden="1" outlineLevel="2" thickBot="1" x14ac:dyDescent="0.3">
      <c r="B352" s="174" t="s">
        <v>480</v>
      </c>
      <c r="C352" s="234" t="s">
        <v>348</v>
      </c>
      <c r="D352" s="187">
        <f>F351*F352</f>
        <v>263.3499565689944</v>
      </c>
      <c r="E352" s="187">
        <v>0</v>
      </c>
      <c r="F352" s="184">
        <f>F353*Daten_ALLG!$M$147</f>
        <v>1316.7497828449721</v>
      </c>
      <c r="G352" s="197"/>
      <c r="H352" s="197"/>
      <c r="O352" s="216">
        <f>IF($A349&lt;&gt;"",IF($D349="V",$D352,IF($E349="V",$E352,IF($F349="V",F352,""))),$D352)</f>
        <v>263.3499565689944</v>
      </c>
      <c r="P352" s="217">
        <f>IF($A349&lt;&gt;"",IF($D349="N",$D352,IF($E349="N",$E352,IF($F349="N",F352,O352))),$D352)</f>
        <v>263.3499565689944</v>
      </c>
      <c r="Q352" s="185" t="s">
        <v>50</v>
      </c>
      <c r="R352" s="200">
        <f>IF(F349="n",F353,0)</f>
        <v>0</v>
      </c>
    </row>
    <row r="353" spans="1:19" ht="15.75" hidden="1" outlineLevel="2" thickBot="1" x14ac:dyDescent="0.3">
      <c r="B353" s="174" t="s">
        <v>452</v>
      </c>
      <c r="C353" s="175" t="s">
        <v>50</v>
      </c>
      <c r="D353" s="207">
        <f>F351*F353</f>
        <v>0.82296861427810752</v>
      </c>
      <c r="E353" s="223">
        <v>0</v>
      </c>
      <c r="F353" s="213">
        <f>Daten_EZFH!$D$18*Daten_ALLG!$D$144</f>
        <v>4.1148430713905375</v>
      </c>
    </row>
    <row r="354" spans="1:19" s="162" customFormat="1" ht="15.75" outlineLevel="1" thickBot="1" x14ac:dyDescent="0.3">
      <c r="A354" s="335" t="str">
        <f>IF(Bil_EZFH_mQS!A354="","",Bil_EZFH_mQS!A354)</f>
        <v/>
      </c>
      <c r="B354" s="163" t="s">
        <v>459</v>
      </c>
      <c r="D354" s="335" t="str">
        <f>IF(Bil_EZFH_mQS!D354="","",Bil_EZFH_mQS!D354)</f>
        <v/>
      </c>
      <c r="E354" s="335" t="str">
        <f>IF(Bil_EZFH_mQS!E354="","",Bil_EZFH_mQS!E354)</f>
        <v/>
      </c>
      <c r="F354" s="335" t="str">
        <f>IF(Bil_EZFH_mQS!F354="","",Bil_EZFH_mQS!F354)</f>
        <v/>
      </c>
      <c r="O354" s="164"/>
      <c r="P354" s="165"/>
      <c r="R354" s="164" t="s">
        <v>457</v>
      </c>
      <c r="S354" s="165"/>
    </row>
    <row r="355" spans="1:19" s="170" customFormat="1" outlineLevel="1" collapsed="1" x14ac:dyDescent="0.25">
      <c r="A355" s="166"/>
      <c r="B355" s="167"/>
      <c r="C355" s="166"/>
      <c r="D355" s="166" t="s">
        <v>65</v>
      </c>
      <c r="E355" s="166" t="s">
        <v>191</v>
      </c>
      <c r="F355" s="166" t="s">
        <v>45</v>
      </c>
      <c r="G355" s="166"/>
      <c r="H355" s="166"/>
      <c r="J355" s="166"/>
      <c r="K355" s="166"/>
      <c r="L355" s="166"/>
      <c r="M355" s="166"/>
      <c r="N355" s="166"/>
      <c r="O355" s="168" t="s">
        <v>319</v>
      </c>
      <c r="P355" s="169" t="s">
        <v>332</v>
      </c>
      <c r="R355" s="171" t="s">
        <v>460</v>
      </c>
      <c r="S355" s="172" t="s">
        <v>456</v>
      </c>
    </row>
    <row r="356" spans="1:19" hidden="1" outlineLevel="2" x14ac:dyDescent="0.25">
      <c r="B356" s="174" t="s">
        <v>157</v>
      </c>
      <c r="C356" s="185" t="s">
        <v>13</v>
      </c>
      <c r="D356" s="230"/>
      <c r="E356" s="191">
        <f>1-F356</f>
        <v>0.86</v>
      </c>
      <c r="F356" s="191">
        <f>Daten_EZFH!$D$108</f>
        <v>0.14000000000000001</v>
      </c>
      <c r="G356" s="192"/>
      <c r="H356" s="192"/>
      <c r="J356" s="192"/>
      <c r="K356" s="192"/>
      <c r="L356" s="192"/>
      <c r="M356" s="192"/>
      <c r="N356" s="192"/>
    </row>
    <row r="357" spans="1:19" hidden="1" outlineLevel="2" x14ac:dyDescent="0.25">
      <c r="B357" s="174" t="s">
        <v>372</v>
      </c>
      <c r="C357" s="185" t="s">
        <v>348</v>
      </c>
      <c r="D357" s="214">
        <f>E356*E357+F356*F357</f>
        <v>1090.3401419872075</v>
      </c>
      <c r="E357" s="223">
        <v>0</v>
      </c>
      <c r="F357" s="214">
        <f>F358*Daten_ALLG!$D$154</f>
        <v>7788.1438713371963</v>
      </c>
      <c r="G357" s="185"/>
      <c r="H357" s="185"/>
      <c r="J357" s="220"/>
      <c r="K357" s="220"/>
      <c r="L357" s="220"/>
      <c r="M357" s="220"/>
      <c r="N357" s="220"/>
      <c r="O357" s="216">
        <f>IF($A354&lt;&gt;"",IF($D354="V",$D357,IF($E354="V",$E357,IF($F354="V",F357,""))),$D357)</f>
        <v>1090.3401419872075</v>
      </c>
      <c r="P357" s="217">
        <f>IF($A354&lt;&gt;"",IF($D354="N",$D357,IF($E354="N",$E357,IF($F354="N",F357,O357))),$D357)</f>
        <v>1090.3401419872075</v>
      </c>
      <c r="Q357" s="185" t="s">
        <v>368</v>
      </c>
      <c r="R357" s="200">
        <f>IF(F354="N",F358,0)</f>
        <v>0</v>
      </c>
    </row>
    <row r="358" spans="1:19" hidden="1" outlineLevel="2" x14ac:dyDescent="0.25">
      <c r="B358" s="174" t="s">
        <v>370</v>
      </c>
      <c r="C358" s="185" t="s">
        <v>368</v>
      </c>
      <c r="D358" s="207">
        <f>F356*F358</f>
        <v>1.0903401419872076</v>
      </c>
      <c r="E358" s="223">
        <v>0</v>
      </c>
      <c r="F358" s="202">
        <f>F359/Daten_ALLG!$D$151</f>
        <v>7.788143871337196</v>
      </c>
    </row>
    <row r="359" spans="1:19" hidden="1" outlineLevel="2" x14ac:dyDescent="0.25">
      <c r="B359" s="174" t="s">
        <v>371</v>
      </c>
      <c r="C359" s="185" t="s">
        <v>50</v>
      </c>
      <c r="F359" s="214">
        <f>Daten_EZFH!$D$25*Daten_ALLG!$D$150</f>
        <v>38.940719356685982</v>
      </c>
    </row>
    <row r="360" spans="1:19" s="159" customFormat="1" ht="14.25" customHeight="1" collapsed="1" x14ac:dyDescent="0.25">
      <c r="A360" s="156" t="s">
        <v>706</v>
      </c>
      <c r="B360" s="157"/>
      <c r="C360" s="157"/>
      <c r="D360" s="158"/>
      <c r="O360" s="160"/>
      <c r="P360" s="161"/>
      <c r="R360" s="160"/>
      <c r="S360" s="161"/>
    </row>
    <row r="361" spans="1:19" s="162" customFormat="1" hidden="1" outlineLevel="2" x14ac:dyDescent="0.25">
      <c r="B361" s="163" t="s">
        <v>770</v>
      </c>
      <c r="O361" s="164"/>
      <c r="P361" s="165"/>
      <c r="R361" s="164"/>
      <c r="S361" s="165"/>
    </row>
    <row r="362" spans="1:19" s="170" customFormat="1" hidden="1" outlineLevel="2" x14ac:dyDescent="0.25">
      <c r="A362" s="166"/>
      <c r="B362" s="167"/>
      <c r="C362" s="166"/>
      <c r="D362" s="166"/>
      <c r="E362" s="166"/>
      <c r="F362" s="166"/>
      <c r="G362" s="166"/>
      <c r="H362" s="166"/>
      <c r="J362" s="166"/>
      <c r="K362" s="166"/>
      <c r="L362" s="166"/>
      <c r="M362" s="166"/>
      <c r="N362" s="166"/>
      <c r="O362" s="168" t="s">
        <v>319</v>
      </c>
      <c r="P362" s="169" t="s">
        <v>332</v>
      </c>
      <c r="R362" s="171"/>
      <c r="S362" s="172"/>
    </row>
    <row r="363" spans="1:19" hidden="1" outlineLevel="2" x14ac:dyDescent="0.25">
      <c r="B363" s="174" t="s">
        <v>691</v>
      </c>
      <c r="C363" s="174" t="s">
        <v>694</v>
      </c>
      <c r="D363" s="185"/>
      <c r="F363" s="192" t="s">
        <v>348</v>
      </c>
      <c r="J363" s="197"/>
      <c r="K363" s="197"/>
      <c r="L363" s="197"/>
      <c r="M363" s="197"/>
      <c r="N363" s="197"/>
      <c r="O363" s="221">
        <f>IF($A354&lt;&gt;"",IF($D354="V",0,IF($E354="V",0,IF($F354="V",F357,0))),0)</f>
        <v>0</v>
      </c>
      <c r="P363" s="222">
        <f>IF($A354&lt;&gt;"",IF($D354="n",0,IF($E354="n",0,IF($F354="n",F357,O363))),0)</f>
        <v>0</v>
      </c>
    </row>
    <row r="364" spans="1:19" hidden="1" outlineLevel="2" x14ac:dyDescent="0.25">
      <c r="B364" s="174" t="s">
        <v>692</v>
      </c>
      <c r="C364" s="174" t="s">
        <v>694</v>
      </c>
      <c r="D364" s="185"/>
      <c r="F364" s="192" t="s">
        <v>348</v>
      </c>
      <c r="J364" s="197"/>
      <c r="K364" s="197"/>
      <c r="L364" s="197"/>
      <c r="M364" s="197"/>
      <c r="N364" s="197"/>
      <c r="O364" s="180">
        <f>IF($A354&lt;&gt;"",IF($D354="V",$D357,IF($E354="V",0,IF($F354="V",0,0))),D357)</f>
        <v>1090.3401419872075</v>
      </c>
      <c r="P364" s="181">
        <f>IF($A354&lt;&gt;"",IF($D354="n",$D357,IF($E354="n",0,IF($F354="n",0,O364))),D357)</f>
        <v>1090.3401419872075</v>
      </c>
    </row>
    <row r="365" spans="1:19" s="162" customFormat="1" hidden="1" outlineLevel="2" x14ac:dyDescent="0.25">
      <c r="B365" s="163" t="s">
        <v>774</v>
      </c>
      <c r="O365" s="164"/>
      <c r="P365" s="165"/>
      <c r="R365" s="164"/>
      <c r="S365" s="165"/>
    </row>
    <row r="366" spans="1:19" s="170" customFormat="1" hidden="1" outlineLevel="2" x14ac:dyDescent="0.25">
      <c r="A366" s="166"/>
      <c r="B366" s="167"/>
      <c r="C366" s="166"/>
      <c r="D366" s="166"/>
      <c r="E366" s="166"/>
      <c r="F366" s="166"/>
      <c r="G366" s="166"/>
      <c r="H366" s="166"/>
      <c r="J366" s="166"/>
      <c r="K366" s="166"/>
      <c r="L366" s="166"/>
      <c r="M366" s="166"/>
      <c r="N366" s="166"/>
      <c r="O366" s="168" t="s">
        <v>319</v>
      </c>
      <c r="P366" s="169" t="s">
        <v>332</v>
      </c>
      <c r="R366" s="171"/>
      <c r="S366" s="172"/>
    </row>
    <row r="367" spans="1:19" hidden="1" outlineLevel="2" x14ac:dyDescent="0.25">
      <c r="B367" s="174" t="s">
        <v>691</v>
      </c>
      <c r="D367" s="174" t="s">
        <v>686</v>
      </c>
      <c r="E367" s="185" t="s">
        <v>654</v>
      </c>
      <c r="F367" s="192"/>
      <c r="J367" s="197"/>
      <c r="K367" s="197"/>
      <c r="L367" s="197"/>
      <c r="M367" s="197"/>
      <c r="N367" s="197"/>
      <c r="O367" s="221">
        <v>1</v>
      </c>
      <c r="P367" s="222">
        <v>1</v>
      </c>
    </row>
    <row r="368" spans="1:19" hidden="1" outlineLevel="2" x14ac:dyDescent="0.25">
      <c r="D368" s="174" t="s">
        <v>688</v>
      </c>
      <c r="E368" s="185" t="s">
        <v>654</v>
      </c>
      <c r="F368" s="192"/>
      <c r="J368" s="197"/>
      <c r="K368" s="197"/>
      <c r="L368" s="197"/>
      <c r="M368" s="197"/>
      <c r="N368" s="197"/>
      <c r="O368" s="221">
        <f>IF($A$276="",0,IF($D276="V",0,IF($E276="V",0,IF($F276="V",0,IF($G276="V",0,IF($H276="V",0,IF($I276="V",0,IF($J276="V",0,IF($K276="V",1,IF($L276="V",1,IF($M276="V",1,0)))))))))))</f>
        <v>0</v>
      </c>
      <c r="P368" s="222">
        <f>IF($A$276="",0,IF($D276="N",0,IF($E276="N",0,IF($F276="N",0,IF($G276="N",0,IF($H276="N",0,IF($I276="N",0,IF($J276="N",0,IF($K276="N",1,IF($L276="N",1,IF($M276="N",1,O368)))))))))))</f>
        <v>0</v>
      </c>
    </row>
    <row r="369" spans="1:19" hidden="1" outlineLevel="2" x14ac:dyDescent="0.25">
      <c r="D369" s="174" t="s">
        <v>687</v>
      </c>
      <c r="E369" s="185" t="s">
        <v>654</v>
      </c>
      <c r="F369" s="192"/>
      <c r="J369" s="197"/>
      <c r="K369" s="197"/>
      <c r="L369" s="197"/>
      <c r="M369" s="197"/>
      <c r="N369" s="197"/>
      <c r="O369" s="221">
        <f>IF($A$303="",0,IF($D303="V",0,IF($E303="V",0,IF($F303="V",0,IF($G303="V",0,IF($H303="V",0,IF($I303="V",0,IF($J303="V",0,IF($K303="V",1,IF($L303="V",1,IF($M303="V",1,0)))))))))))</f>
        <v>0</v>
      </c>
      <c r="P369" s="222">
        <f>IF($A$303="",0,IF($D303="N",0,IF($E303="N",0,IF($F303="N",0,IF($G303="N",0,IF($H303="N",0,IF($I303="N",0,IF($J303="N",0,IF($K303="N",1,IF($L303="N",1,IF($M303="N",1,O369)))))))))))</f>
        <v>0</v>
      </c>
    </row>
    <row r="370" spans="1:19" s="162" customFormat="1" hidden="1" outlineLevel="2" x14ac:dyDescent="0.25">
      <c r="B370" s="163" t="s">
        <v>771</v>
      </c>
      <c r="O370" s="164"/>
      <c r="P370" s="165"/>
      <c r="R370" s="164"/>
      <c r="S370" s="165"/>
    </row>
    <row r="371" spans="1:19" s="170" customFormat="1" hidden="1" outlineLevel="2" x14ac:dyDescent="0.25">
      <c r="A371" s="166"/>
      <c r="B371" s="167"/>
      <c r="C371" s="166"/>
      <c r="D371" s="166"/>
      <c r="E371" s="166"/>
      <c r="F371" s="166"/>
      <c r="G371" s="166"/>
      <c r="H371" s="166"/>
      <c r="J371" s="166"/>
      <c r="K371" s="166"/>
      <c r="L371" s="166"/>
      <c r="M371" s="166"/>
      <c r="N371" s="166"/>
      <c r="O371" s="168" t="s">
        <v>319</v>
      </c>
      <c r="P371" s="169" t="s">
        <v>332</v>
      </c>
      <c r="R371" s="171"/>
      <c r="S371" s="172"/>
    </row>
    <row r="372" spans="1:19" hidden="1" outlineLevel="2" x14ac:dyDescent="0.25">
      <c r="B372" s="174" t="s">
        <v>691</v>
      </c>
      <c r="C372" s="174" t="s">
        <v>689</v>
      </c>
      <c r="D372" s="185"/>
      <c r="F372" s="192" t="s">
        <v>348</v>
      </c>
      <c r="J372" s="197"/>
      <c r="K372" s="197"/>
      <c r="L372" s="197"/>
      <c r="M372" s="197"/>
      <c r="N372" s="197"/>
      <c r="O372" s="221">
        <f>O37*O367</f>
        <v>3437.4176527894888</v>
      </c>
      <c r="P372" s="222">
        <f>P37*P367</f>
        <v>3437.4176527894888</v>
      </c>
    </row>
    <row r="373" spans="1:19" hidden="1" outlineLevel="2" x14ac:dyDescent="0.25">
      <c r="C373" s="174" t="s">
        <v>690</v>
      </c>
      <c r="D373" s="185"/>
      <c r="F373" s="192" t="s">
        <v>348</v>
      </c>
      <c r="J373" s="197"/>
      <c r="K373" s="197"/>
      <c r="L373" s="197"/>
      <c r="M373" s="197"/>
      <c r="N373" s="197"/>
      <c r="O373" s="221">
        <f>IF(O368=0,0,O368*O409)</f>
        <v>0</v>
      </c>
      <c r="P373" s="222">
        <f>IF(P368=0,0,P368*P409)</f>
        <v>0</v>
      </c>
    </row>
    <row r="374" spans="1:19" hidden="1" outlineLevel="2" x14ac:dyDescent="0.25">
      <c r="C374" s="174" t="s">
        <v>685</v>
      </c>
      <c r="D374" s="185"/>
      <c r="F374" s="192" t="s">
        <v>348</v>
      </c>
      <c r="J374" s="197"/>
      <c r="K374" s="197"/>
      <c r="L374" s="197"/>
      <c r="M374" s="197"/>
      <c r="N374" s="197"/>
      <c r="O374" s="221">
        <f>IF(O369=0,0,O369*O417)</f>
        <v>0</v>
      </c>
      <c r="P374" s="222">
        <f>IF(P369=0,0,P369*P417)</f>
        <v>0</v>
      </c>
    </row>
    <row r="375" spans="1:19" s="162" customFormat="1" hidden="1" outlineLevel="2" x14ac:dyDescent="0.25">
      <c r="B375" s="163" t="s">
        <v>772</v>
      </c>
      <c r="O375" s="164"/>
      <c r="P375" s="165"/>
      <c r="R375" s="164"/>
      <c r="S375" s="165"/>
    </row>
    <row r="376" spans="1:19" s="170" customFormat="1" hidden="1" outlineLevel="2" x14ac:dyDescent="0.25">
      <c r="A376" s="166"/>
      <c r="B376" s="167"/>
      <c r="C376" s="166"/>
      <c r="D376" s="166"/>
      <c r="E376" s="166"/>
      <c r="F376" s="166"/>
      <c r="G376" s="166"/>
      <c r="H376" s="166"/>
      <c r="J376" s="166"/>
      <c r="K376" s="166"/>
      <c r="L376" s="166"/>
      <c r="M376" s="166"/>
      <c r="N376" s="166"/>
      <c r="O376" s="168" t="s">
        <v>319</v>
      </c>
      <c r="P376" s="169" t="s">
        <v>332</v>
      </c>
      <c r="R376" s="171"/>
      <c r="S376" s="172"/>
    </row>
    <row r="377" spans="1:19" hidden="1" outlineLevel="2" x14ac:dyDescent="0.25">
      <c r="B377" s="174" t="s">
        <v>698</v>
      </c>
      <c r="C377" s="185"/>
      <c r="E377" s="192" t="s">
        <v>13</v>
      </c>
      <c r="F377" s="192"/>
      <c r="J377" s="197"/>
      <c r="K377" s="197"/>
      <c r="L377" s="197"/>
      <c r="M377" s="197"/>
      <c r="N377" s="197"/>
      <c r="O377" s="205">
        <f>IF(O363=0,0,Daten_ALLG!$D$157*LN(F358/(O372+O374))+Daten_ALLG!$F$157)</f>
        <v>0</v>
      </c>
      <c r="P377" s="206">
        <f>IF(P363=0,0,Daten_ALLG!$D$157*LN(F358/(P372+P374))+Daten_ALLG!$F$157)</f>
        <v>0</v>
      </c>
    </row>
    <row r="378" spans="1:19" hidden="1" outlineLevel="2" x14ac:dyDescent="0.25">
      <c r="B378" s="174" t="s">
        <v>818</v>
      </c>
      <c r="E378" s="173" t="s">
        <v>348</v>
      </c>
      <c r="O378" s="193">
        <f>O377*O363</f>
        <v>0</v>
      </c>
      <c r="P378" s="194">
        <f>P377*P363</f>
        <v>0</v>
      </c>
    </row>
    <row r="379" spans="1:19" hidden="1" outlineLevel="2" x14ac:dyDescent="0.25">
      <c r="B379" s="174" t="s">
        <v>819</v>
      </c>
      <c r="O379" s="180">
        <f>IF(O363=0,0,O378*O374/(O374+O372))</f>
        <v>0</v>
      </c>
      <c r="P379" s="181">
        <f>P378*P374/(P374+P372)</f>
        <v>0</v>
      </c>
    </row>
    <row r="380" spans="1:19" hidden="1" outlineLevel="2" x14ac:dyDescent="0.25">
      <c r="B380" s="174" t="s">
        <v>820</v>
      </c>
      <c r="O380" s="180">
        <f>IF(O363=0,0,O378-O379)</f>
        <v>0</v>
      </c>
      <c r="P380" s="181">
        <f>P378-P379</f>
        <v>0</v>
      </c>
    </row>
    <row r="381" spans="1:19" hidden="1" outlineLevel="2" x14ac:dyDescent="0.25">
      <c r="B381" s="174" t="s">
        <v>741</v>
      </c>
      <c r="E381" s="173" t="s">
        <v>348</v>
      </c>
      <c r="O381" s="221">
        <f>O363-O378</f>
        <v>0</v>
      </c>
      <c r="P381" s="222">
        <f>P363-P378</f>
        <v>0</v>
      </c>
    </row>
    <row r="382" spans="1:19" s="162" customFormat="1" hidden="1" outlineLevel="2" x14ac:dyDescent="0.25">
      <c r="B382" s="163" t="s">
        <v>773</v>
      </c>
      <c r="O382" s="164"/>
      <c r="P382" s="165"/>
      <c r="R382" s="164"/>
      <c r="S382" s="165"/>
    </row>
    <row r="383" spans="1:19" s="170" customFormat="1" hidden="1" outlineLevel="2" x14ac:dyDescent="0.25">
      <c r="A383" s="166"/>
      <c r="B383" s="167"/>
      <c r="C383" s="166"/>
      <c r="D383" s="166"/>
      <c r="E383" s="166"/>
      <c r="F383" s="166"/>
      <c r="G383" s="166"/>
      <c r="H383" s="166"/>
      <c r="J383" s="166"/>
      <c r="K383" s="166"/>
      <c r="L383" s="166"/>
      <c r="M383" s="166"/>
      <c r="N383" s="166"/>
      <c r="O383" s="168" t="s">
        <v>319</v>
      </c>
      <c r="P383" s="169" t="s">
        <v>332</v>
      </c>
      <c r="R383" s="171"/>
      <c r="S383" s="172"/>
    </row>
    <row r="384" spans="1:19" hidden="1" outlineLevel="2" x14ac:dyDescent="0.25">
      <c r="B384" s="146" t="s">
        <v>700</v>
      </c>
      <c r="C384" s="185"/>
      <c r="E384" s="240" t="s">
        <v>699</v>
      </c>
      <c r="F384" s="146"/>
      <c r="G384" s="146"/>
      <c r="H384" s="241"/>
      <c r="I384" s="146"/>
      <c r="J384" s="146"/>
      <c r="K384" s="241"/>
      <c r="L384" s="197"/>
      <c r="M384" s="197"/>
      <c r="N384" s="197"/>
      <c r="O384" s="242">
        <f>-2*O373/(O18*24)^2</f>
        <v>0</v>
      </c>
      <c r="P384" s="243">
        <f>-2*P373/(P18*24)^2</f>
        <v>0</v>
      </c>
    </row>
    <row r="385" spans="1:19" hidden="1" outlineLevel="2" x14ac:dyDescent="0.25">
      <c r="B385" s="125" t="s">
        <v>701</v>
      </c>
      <c r="C385" s="185"/>
      <c r="E385" s="240" t="s">
        <v>368</v>
      </c>
      <c r="I385" s="146"/>
      <c r="L385" s="197"/>
      <c r="M385" s="197"/>
      <c r="N385" s="197"/>
      <c r="O385" s="205">
        <f>2*O373/(O18*24)</f>
        <v>0</v>
      </c>
      <c r="P385" s="206">
        <f>2*P373/(P18*24)</f>
        <v>0</v>
      </c>
    </row>
    <row r="386" spans="1:19" hidden="1" outlineLevel="2" x14ac:dyDescent="0.25">
      <c r="B386" s="125" t="s">
        <v>703</v>
      </c>
      <c r="C386" s="185"/>
      <c r="E386" s="241" t="s">
        <v>702</v>
      </c>
      <c r="F386" s="146"/>
      <c r="G386" s="146"/>
      <c r="I386" s="146"/>
      <c r="L386" s="197"/>
      <c r="M386" s="197"/>
      <c r="N386" s="197"/>
      <c r="O386" s="244">
        <f>IF(O381=0,0,O385/(O381/8760^2-O384))</f>
        <v>0</v>
      </c>
      <c r="P386" s="245">
        <f>IF(P381=0,0,P385/(P381/8760^2-P384))</f>
        <v>0</v>
      </c>
    </row>
    <row r="387" spans="1:19" hidden="1" outlineLevel="2" x14ac:dyDescent="0.25">
      <c r="B387" s="125" t="s">
        <v>704</v>
      </c>
      <c r="C387" s="185"/>
      <c r="E387" s="240" t="s">
        <v>368</v>
      </c>
      <c r="F387" s="146"/>
      <c r="G387" s="146"/>
      <c r="I387" s="146"/>
      <c r="L387" s="197"/>
      <c r="M387" s="197"/>
      <c r="N387" s="197"/>
      <c r="O387" s="246">
        <f>2*O363/8760^2*O386</f>
        <v>0</v>
      </c>
      <c r="P387" s="247">
        <f>2*P363/8760^2*P386</f>
        <v>0</v>
      </c>
    </row>
    <row r="388" spans="1:19" hidden="1" outlineLevel="2" x14ac:dyDescent="0.25">
      <c r="B388" s="125" t="s">
        <v>821</v>
      </c>
      <c r="C388" s="185"/>
      <c r="E388" s="241" t="s">
        <v>348</v>
      </c>
      <c r="F388" s="146"/>
      <c r="G388" s="146"/>
      <c r="I388" s="146"/>
      <c r="L388" s="197"/>
      <c r="M388" s="197"/>
      <c r="N388" s="197"/>
      <c r="O388" s="180">
        <f>IF(O367=0,0,MIN(0.5*O387*(O18*24),O373))</f>
        <v>0</v>
      </c>
      <c r="P388" s="181">
        <f>IF(P367=0,0,MIN(0.5*P387*(P18*24),P373))</f>
        <v>0</v>
      </c>
    </row>
    <row r="389" spans="1:19" hidden="1" outlineLevel="2" x14ac:dyDescent="0.25">
      <c r="B389" s="125" t="s">
        <v>822</v>
      </c>
      <c r="C389" s="185"/>
      <c r="E389" s="241" t="s">
        <v>348</v>
      </c>
      <c r="F389" s="146"/>
      <c r="G389" s="146"/>
      <c r="I389" s="146"/>
      <c r="L389" s="197"/>
      <c r="M389" s="197"/>
      <c r="N389" s="197"/>
      <c r="O389" s="180">
        <f>IF(O367=0,0,O363-O379-O380-O388)</f>
        <v>0</v>
      </c>
      <c r="P389" s="181">
        <f>IF(P367=0,0,P363-P379-P380-P388)</f>
        <v>0</v>
      </c>
    </row>
    <row r="390" spans="1:19" s="162" customFormat="1" hidden="1" outlineLevel="2" x14ac:dyDescent="0.25">
      <c r="B390" s="163" t="s">
        <v>775</v>
      </c>
      <c r="O390" s="164"/>
      <c r="P390" s="165"/>
      <c r="R390" s="164"/>
      <c r="S390" s="165"/>
    </row>
    <row r="391" spans="1:19" s="170" customFormat="1" hidden="1" outlineLevel="2" x14ac:dyDescent="0.25">
      <c r="A391" s="166"/>
      <c r="B391" s="167"/>
      <c r="C391" s="166"/>
      <c r="D391" s="166"/>
      <c r="E391" s="166"/>
      <c r="F391" s="166"/>
      <c r="G391" s="166"/>
      <c r="H391" s="166"/>
      <c r="J391" s="166"/>
      <c r="K391" s="166"/>
      <c r="L391" s="166"/>
      <c r="M391" s="166"/>
      <c r="N391" s="166"/>
      <c r="O391" s="168" t="s">
        <v>319</v>
      </c>
      <c r="P391" s="169" t="s">
        <v>332</v>
      </c>
      <c r="R391" s="171"/>
      <c r="S391" s="172"/>
    </row>
    <row r="392" spans="1:19" hidden="1" outlineLevel="2" x14ac:dyDescent="0.25">
      <c r="B392" s="125" t="s">
        <v>705</v>
      </c>
      <c r="C392" s="185"/>
      <c r="E392" s="241" t="s">
        <v>348</v>
      </c>
      <c r="F392" s="192"/>
      <c r="G392" s="192"/>
      <c r="H392" s="192"/>
      <c r="I392" s="146"/>
      <c r="J392" s="146"/>
      <c r="K392" s="146"/>
      <c r="L392" s="197"/>
      <c r="M392" s="197"/>
      <c r="N392" s="197"/>
      <c r="O392" s="180">
        <f>O364*Daten_EZFH!$D$109</f>
        <v>109.03401419872075</v>
      </c>
      <c r="P392" s="181">
        <f>P364*Daten_EZFH!$D$109</f>
        <v>109.03401419872075</v>
      </c>
    </row>
    <row r="393" spans="1:19" hidden="1" outlineLevel="2" x14ac:dyDescent="0.25">
      <c r="B393" s="125" t="s">
        <v>822</v>
      </c>
      <c r="C393" s="185"/>
      <c r="E393" s="241" t="s">
        <v>348</v>
      </c>
      <c r="F393" s="146"/>
      <c r="G393" s="146"/>
      <c r="I393" s="146"/>
      <c r="L393" s="197"/>
      <c r="M393" s="197"/>
      <c r="N393" s="197"/>
      <c r="O393" s="180">
        <f>O364*(1-Daten_EZFH!$D$109)</f>
        <v>981.30612778848683</v>
      </c>
      <c r="P393" s="181">
        <f>P364*(1-Daten_EZFH!$D$109)</f>
        <v>981.30612778848683</v>
      </c>
    </row>
    <row r="394" spans="1:19" s="159" customFormat="1" ht="14.25" customHeight="1" collapsed="1" x14ac:dyDescent="0.25">
      <c r="A394" s="156" t="s">
        <v>466</v>
      </c>
      <c r="B394" s="157"/>
      <c r="C394" s="157"/>
      <c r="D394" s="158"/>
      <c r="O394" s="160"/>
      <c r="P394" s="161"/>
      <c r="R394" s="160"/>
      <c r="S394" s="161"/>
    </row>
    <row r="395" spans="1:19" s="162" customFormat="1" hidden="1" outlineLevel="2" x14ac:dyDescent="0.25">
      <c r="B395" s="163" t="s">
        <v>510</v>
      </c>
      <c r="O395" s="164"/>
      <c r="P395" s="165"/>
      <c r="R395" s="164"/>
      <c r="S395" s="165"/>
    </row>
    <row r="396" spans="1:19" s="170" customFormat="1" hidden="1" outlineLevel="2" x14ac:dyDescent="0.25">
      <c r="A396" s="166"/>
      <c r="B396" s="167"/>
      <c r="C396" s="166"/>
      <c r="D396" s="166"/>
      <c r="E396" s="166"/>
      <c r="F396" s="166"/>
      <c r="G396" s="166"/>
      <c r="H396" s="166"/>
      <c r="J396" s="166"/>
      <c r="K396" s="166"/>
      <c r="L396" s="166"/>
      <c r="M396" s="166"/>
      <c r="N396" s="166"/>
      <c r="O396" s="168" t="s">
        <v>319</v>
      </c>
      <c r="P396" s="169" t="s">
        <v>332</v>
      </c>
      <c r="R396" s="171"/>
      <c r="S396" s="172"/>
    </row>
    <row r="397" spans="1:19" hidden="1" outlineLevel="2" x14ac:dyDescent="0.25">
      <c r="I397" s="173" t="s">
        <v>337</v>
      </c>
      <c r="L397" s="174" t="s">
        <v>309</v>
      </c>
      <c r="M397" s="234" t="s">
        <v>348</v>
      </c>
      <c r="O397" s="248">
        <f>O95</f>
        <v>21060.944864541521</v>
      </c>
      <c r="P397" s="249">
        <f>P95</f>
        <v>21060.944864541521</v>
      </c>
    </row>
    <row r="398" spans="1:19" hidden="1" outlineLevel="2" x14ac:dyDescent="0.25">
      <c r="I398" s="173" t="s">
        <v>53</v>
      </c>
      <c r="L398" s="174" t="s">
        <v>349</v>
      </c>
      <c r="M398" s="234" t="s">
        <v>348</v>
      </c>
      <c r="O398" s="248">
        <f>O96</f>
        <v>3837.2312003972793</v>
      </c>
      <c r="P398" s="249">
        <f>P96</f>
        <v>3837.2312003972793</v>
      </c>
    </row>
    <row r="399" spans="1:19" hidden="1" outlineLevel="2" x14ac:dyDescent="0.25">
      <c r="I399" s="173" t="s">
        <v>501</v>
      </c>
      <c r="L399" s="174" t="s">
        <v>364</v>
      </c>
      <c r="M399" s="234" t="s">
        <v>348</v>
      </c>
      <c r="O399" s="248">
        <f>O108</f>
        <v>2762.1031466484228</v>
      </c>
      <c r="P399" s="249">
        <f>P108</f>
        <v>2762.1031466484228</v>
      </c>
    </row>
    <row r="400" spans="1:19" hidden="1" outlineLevel="2" x14ac:dyDescent="0.25">
      <c r="I400" s="173" t="s">
        <v>502</v>
      </c>
      <c r="L400" s="174" t="s">
        <v>475</v>
      </c>
      <c r="M400" s="234" t="s">
        <v>348</v>
      </c>
      <c r="O400" s="248">
        <f>O166</f>
        <v>662.48535785802289</v>
      </c>
      <c r="P400" s="249">
        <f>P166</f>
        <v>662.48535785802289</v>
      </c>
    </row>
    <row r="401" spans="6:16" hidden="1" outlineLevel="2" x14ac:dyDescent="0.25">
      <c r="I401" s="173" t="s">
        <v>360</v>
      </c>
      <c r="L401" s="174" t="s">
        <v>361</v>
      </c>
      <c r="M401" s="234" t="s">
        <v>348</v>
      </c>
      <c r="O401" s="248">
        <f>O105</f>
        <v>3759.6924676072717</v>
      </c>
      <c r="P401" s="249">
        <f>P105</f>
        <v>3759.6924676072717</v>
      </c>
    </row>
    <row r="402" spans="6:16" hidden="1" outlineLevel="2" x14ac:dyDescent="0.25">
      <c r="H402" s="174" t="s">
        <v>469</v>
      </c>
      <c r="L402" s="174" t="s">
        <v>396</v>
      </c>
      <c r="M402" s="234" t="s">
        <v>348</v>
      </c>
      <c r="O402" s="250">
        <f>O397+O398-O399-O400-O401</f>
        <v>17713.895092825085</v>
      </c>
      <c r="P402" s="251">
        <f>P397+P398-P399-P400-P401</f>
        <v>17713.895092825085</v>
      </c>
    </row>
    <row r="403" spans="6:16" hidden="1" outlineLevel="2" x14ac:dyDescent="0.25">
      <c r="H403" s="173" t="s">
        <v>365</v>
      </c>
      <c r="L403" s="174" t="s">
        <v>467</v>
      </c>
      <c r="M403" s="234" t="s">
        <v>348</v>
      </c>
      <c r="O403" s="250">
        <f>O347</f>
        <v>329.26563182485677</v>
      </c>
      <c r="P403" s="251">
        <f>P347</f>
        <v>329.26563182485677</v>
      </c>
    </row>
    <row r="404" spans="6:16" hidden="1" outlineLevel="2" x14ac:dyDescent="0.25">
      <c r="H404" s="174" t="s">
        <v>503</v>
      </c>
      <c r="L404" s="174" t="s">
        <v>397</v>
      </c>
      <c r="M404" s="234" t="s">
        <v>348</v>
      </c>
      <c r="O404" s="250">
        <f>O131</f>
        <v>643.80988589093829</v>
      </c>
      <c r="P404" s="251">
        <f>P131</f>
        <v>643.80988589093829</v>
      </c>
    </row>
    <row r="405" spans="6:16" hidden="1" outlineLevel="2" x14ac:dyDescent="0.25">
      <c r="H405" s="174" t="s">
        <v>504</v>
      </c>
      <c r="L405" s="174" t="s">
        <v>478</v>
      </c>
      <c r="M405" s="234" t="s">
        <v>348</v>
      </c>
      <c r="O405" s="250">
        <f>O336</f>
        <v>137.98961305524915</v>
      </c>
      <c r="P405" s="251">
        <f>P336</f>
        <v>137.98961305524915</v>
      </c>
    </row>
    <row r="406" spans="6:16" hidden="1" outlineLevel="2" x14ac:dyDescent="0.25">
      <c r="G406" s="174" t="s">
        <v>508</v>
      </c>
      <c r="L406" s="174" t="s">
        <v>481</v>
      </c>
      <c r="M406" s="234" t="s">
        <v>348</v>
      </c>
      <c r="O406" s="252">
        <f>O402+O403+O404+O405</f>
        <v>18824.960223596128</v>
      </c>
      <c r="P406" s="253">
        <f>P402+P403+P404+P405</f>
        <v>18824.960223596128</v>
      </c>
    </row>
    <row r="407" spans="6:16" hidden="1" outlineLevel="2" x14ac:dyDescent="0.25">
      <c r="G407" s="174" t="s">
        <v>536</v>
      </c>
      <c r="L407" s="174" t="s">
        <v>537</v>
      </c>
      <c r="M407" s="234" t="s">
        <v>348</v>
      </c>
      <c r="O407" s="252">
        <f>O409-O406</f>
        <v>3880.8814552601762</v>
      </c>
      <c r="P407" s="253">
        <f>P409-P406</f>
        <v>3880.8814552601762</v>
      </c>
    </row>
    <row r="408" spans="6:16" hidden="1" outlineLevel="2" x14ac:dyDescent="0.25">
      <c r="G408" s="174" t="s">
        <v>499</v>
      </c>
      <c r="L408" s="174" t="s">
        <v>578</v>
      </c>
      <c r="M408" s="234" t="s">
        <v>13</v>
      </c>
      <c r="O408" s="254">
        <f>O279</f>
        <v>0.82908004423927362</v>
      </c>
      <c r="P408" s="255">
        <f>P279</f>
        <v>0.82908004423927362</v>
      </c>
    </row>
    <row r="409" spans="6:16" hidden="1" outlineLevel="2" x14ac:dyDescent="0.25">
      <c r="F409" s="174" t="s">
        <v>498</v>
      </c>
      <c r="L409" s="173" t="s">
        <v>471</v>
      </c>
      <c r="M409" s="234" t="s">
        <v>348</v>
      </c>
      <c r="O409" s="256">
        <f>O406/O408</f>
        <v>22705.841678856304</v>
      </c>
      <c r="P409" s="257">
        <f>P406/P408</f>
        <v>22705.841678856304</v>
      </c>
    </row>
    <row r="410" spans="6:16" hidden="1" outlineLevel="2" x14ac:dyDescent="0.25">
      <c r="H410" s="174" t="s">
        <v>74</v>
      </c>
      <c r="L410" s="174" t="s">
        <v>468</v>
      </c>
      <c r="M410" s="234" t="s">
        <v>348</v>
      </c>
      <c r="O410" s="258">
        <f>O30</f>
        <v>1546.8855777178603</v>
      </c>
      <c r="P410" s="259">
        <f>P30</f>
        <v>1546.8855777178603</v>
      </c>
    </row>
    <row r="411" spans="6:16" hidden="1" outlineLevel="2" x14ac:dyDescent="0.25">
      <c r="H411" s="174" t="s">
        <v>505</v>
      </c>
      <c r="L411" s="174" t="s">
        <v>477</v>
      </c>
      <c r="M411" s="234" t="s">
        <v>348</v>
      </c>
      <c r="O411" s="258">
        <f>O163</f>
        <v>1623.1572521092467</v>
      </c>
      <c r="P411" s="259">
        <f>P163</f>
        <v>1623.1572521092467</v>
      </c>
    </row>
    <row r="412" spans="6:16" hidden="1" outlineLevel="2" x14ac:dyDescent="0.25">
      <c r="H412" s="174" t="s">
        <v>506</v>
      </c>
      <c r="L412" s="174" t="s">
        <v>479</v>
      </c>
      <c r="M412" s="234" t="s">
        <v>348</v>
      </c>
      <c r="O412" s="258">
        <f>O343</f>
        <v>568.27113386436918</v>
      </c>
      <c r="P412" s="259">
        <f>P343</f>
        <v>568.27113386436918</v>
      </c>
    </row>
    <row r="413" spans="6:16" hidden="1" outlineLevel="2" x14ac:dyDescent="0.25">
      <c r="H413" s="174" t="s">
        <v>472</v>
      </c>
      <c r="L413" s="174" t="s">
        <v>480</v>
      </c>
      <c r="M413" s="234" t="s">
        <v>348</v>
      </c>
      <c r="O413" s="258">
        <f>O352</f>
        <v>263.3499565689944</v>
      </c>
      <c r="P413" s="259">
        <f>P352</f>
        <v>263.3499565689944</v>
      </c>
    </row>
    <row r="414" spans="6:16" hidden="1" outlineLevel="2" x14ac:dyDescent="0.25">
      <c r="G414" s="174" t="s">
        <v>509</v>
      </c>
      <c r="I414" s="174"/>
      <c r="L414" s="174" t="s">
        <v>482</v>
      </c>
      <c r="M414" s="234" t="s">
        <v>348</v>
      </c>
      <c r="O414" s="260">
        <f>O410+O411+O412-O413</f>
        <v>3474.9640071224821</v>
      </c>
      <c r="P414" s="261">
        <f>P410+P411+P412-P413</f>
        <v>3474.9640071224821</v>
      </c>
    </row>
    <row r="415" spans="6:16" hidden="1" outlineLevel="2" x14ac:dyDescent="0.25">
      <c r="G415" s="174" t="s">
        <v>538</v>
      </c>
      <c r="L415" s="174" t="s">
        <v>539</v>
      </c>
      <c r="M415" s="234" t="s">
        <v>348</v>
      </c>
      <c r="O415" s="260">
        <f>O417-O414</f>
        <v>664.76082221831166</v>
      </c>
      <c r="P415" s="261">
        <f>P417-P414</f>
        <v>664.76082221831166</v>
      </c>
    </row>
    <row r="416" spans="6:16" hidden="1" outlineLevel="2" x14ac:dyDescent="0.25">
      <c r="G416" s="174" t="s">
        <v>500</v>
      </c>
      <c r="L416" s="174" t="s">
        <v>579</v>
      </c>
      <c r="M416" s="234" t="s">
        <v>13</v>
      </c>
      <c r="O416" s="262">
        <f>O306</f>
        <v>0.83941907986087871</v>
      </c>
      <c r="P416" s="263">
        <f>P306</f>
        <v>0.83941907986087871</v>
      </c>
    </row>
    <row r="417" spans="1:19" hidden="1" outlineLevel="2" x14ac:dyDescent="0.25">
      <c r="F417" s="174" t="s">
        <v>294</v>
      </c>
      <c r="I417" s="174"/>
      <c r="L417" s="173" t="s">
        <v>470</v>
      </c>
      <c r="M417" s="234" t="s">
        <v>348</v>
      </c>
      <c r="N417" s="264"/>
      <c r="O417" s="265">
        <f>O414/O416</f>
        <v>4139.7248293407938</v>
      </c>
      <c r="P417" s="266">
        <f>P414/P416</f>
        <v>4139.7248293407938</v>
      </c>
    </row>
    <row r="418" spans="1:19" hidden="1" outlineLevel="2" x14ac:dyDescent="0.25">
      <c r="H418" s="174" t="s">
        <v>279</v>
      </c>
      <c r="L418" s="174" t="s">
        <v>484</v>
      </c>
      <c r="M418" s="234" t="s">
        <v>348</v>
      </c>
      <c r="O418" s="267">
        <f>O402+O403+O410</f>
        <v>19590.046302367802</v>
      </c>
      <c r="P418" s="268">
        <f>P402+P403+P410</f>
        <v>19590.046302367802</v>
      </c>
    </row>
    <row r="419" spans="1:19" hidden="1" outlineLevel="2" x14ac:dyDescent="0.25">
      <c r="G419" s="174" t="s">
        <v>507</v>
      </c>
      <c r="L419" s="174" t="s">
        <v>483</v>
      </c>
      <c r="M419" s="234" t="s">
        <v>348</v>
      </c>
      <c r="O419" s="269">
        <f>O406+O414</f>
        <v>22299.92423071861</v>
      </c>
      <c r="P419" s="270">
        <f>P406+P414</f>
        <v>22299.92423071861</v>
      </c>
    </row>
    <row r="420" spans="1:19" hidden="1" outlineLevel="2" x14ac:dyDescent="0.25">
      <c r="G420" s="174" t="s">
        <v>569</v>
      </c>
      <c r="L420" s="174" t="s">
        <v>580</v>
      </c>
      <c r="M420" s="234" t="s">
        <v>13</v>
      </c>
      <c r="O420" s="271">
        <f>(O414+O406)/O421</f>
        <v>0.83067437686254419</v>
      </c>
      <c r="P420" s="272">
        <f>(P414+P406)/P421</f>
        <v>0.83067437686254419</v>
      </c>
    </row>
    <row r="421" spans="1:19" hidden="1" outlineLevel="2" x14ac:dyDescent="0.25">
      <c r="F421" s="174" t="s">
        <v>473</v>
      </c>
      <c r="I421" s="174"/>
      <c r="L421" s="173" t="s">
        <v>497</v>
      </c>
      <c r="M421" s="234" t="s">
        <v>348</v>
      </c>
      <c r="N421" s="264" t="s">
        <v>736</v>
      </c>
      <c r="O421" s="273">
        <f>O409+O417</f>
        <v>26845.566508197098</v>
      </c>
      <c r="P421" s="274">
        <f>P409+P417</f>
        <v>26845.566508197098</v>
      </c>
    </row>
    <row r="422" spans="1:19" s="275" customFormat="1" hidden="1" outlineLevel="2" x14ac:dyDescent="0.25">
      <c r="B422" s="276"/>
      <c r="F422" s="276"/>
      <c r="G422" s="174" t="s">
        <v>353</v>
      </c>
      <c r="H422" s="173"/>
      <c r="I422" s="174"/>
      <c r="J422" s="173"/>
      <c r="K422" s="173"/>
      <c r="L422" s="173" t="s">
        <v>476</v>
      </c>
      <c r="M422" s="234" t="s">
        <v>348</v>
      </c>
      <c r="N422" s="173"/>
      <c r="O422" s="269">
        <f>O37</f>
        <v>3437.4176527894888</v>
      </c>
      <c r="P422" s="270">
        <f>P37</f>
        <v>3437.4176527894888</v>
      </c>
      <c r="R422" s="277"/>
      <c r="S422" s="278"/>
    </row>
    <row r="423" spans="1:19" s="275" customFormat="1" hidden="1" outlineLevel="2" x14ac:dyDescent="0.25">
      <c r="B423" s="276"/>
      <c r="F423" s="174" t="s">
        <v>474</v>
      </c>
      <c r="G423" s="173"/>
      <c r="H423" s="173"/>
      <c r="I423" s="173"/>
      <c r="J423" s="173"/>
      <c r="K423" s="173"/>
      <c r="L423" s="173" t="s">
        <v>358</v>
      </c>
      <c r="M423" s="234" t="s">
        <v>348</v>
      </c>
      <c r="N423" s="264" t="s">
        <v>736</v>
      </c>
      <c r="O423" s="273">
        <f>O422</f>
        <v>3437.4176527894888</v>
      </c>
      <c r="P423" s="274">
        <f>P422</f>
        <v>3437.4176527894888</v>
      </c>
      <c r="R423" s="277"/>
      <c r="S423" s="278"/>
    </row>
    <row r="424" spans="1:19" hidden="1" outlineLevel="2" x14ac:dyDescent="0.25">
      <c r="F424" s="173" t="s">
        <v>709</v>
      </c>
      <c r="L424" s="173" t="s">
        <v>710</v>
      </c>
      <c r="M424" s="234" t="s">
        <v>348</v>
      </c>
      <c r="O424" s="279">
        <f>O379+O380+O388+O392</f>
        <v>109.03401419872075</v>
      </c>
      <c r="P424" s="280">
        <f>P379+P380+P388+P392</f>
        <v>109.03401419872075</v>
      </c>
    </row>
    <row r="425" spans="1:19" hidden="1" outlineLevel="2" x14ac:dyDescent="0.25">
      <c r="F425" s="174" t="s">
        <v>711</v>
      </c>
      <c r="L425" s="173" t="s">
        <v>712</v>
      </c>
      <c r="M425" s="234" t="s">
        <v>348</v>
      </c>
      <c r="O425" s="279">
        <f>O389+O393</f>
        <v>981.30612778848683</v>
      </c>
      <c r="P425" s="280">
        <f>P389+P393</f>
        <v>981.30612778848683</v>
      </c>
    </row>
    <row r="426" spans="1:19" hidden="1" outlineLevel="2" x14ac:dyDescent="0.25">
      <c r="E426" s="173" t="s">
        <v>713</v>
      </c>
      <c r="L426" s="173" t="s">
        <v>372</v>
      </c>
      <c r="M426" s="234" t="s">
        <v>348</v>
      </c>
      <c r="N426" s="264" t="s">
        <v>40</v>
      </c>
      <c r="O426" s="281">
        <f>O357</f>
        <v>1090.3401419872075</v>
      </c>
      <c r="P426" s="282">
        <f>P357</f>
        <v>1090.3401419872075</v>
      </c>
    </row>
    <row r="427" spans="1:19" hidden="1" outlineLevel="2" x14ac:dyDescent="0.25">
      <c r="E427" s="174" t="s">
        <v>765</v>
      </c>
      <c r="L427" s="173" t="s">
        <v>496</v>
      </c>
      <c r="M427" s="234" t="s">
        <v>348</v>
      </c>
      <c r="O427" s="273">
        <f>O421+O423-O426</f>
        <v>29192.644018999381</v>
      </c>
      <c r="P427" s="274">
        <f>P421+P423-P426</f>
        <v>29192.644018999381</v>
      </c>
    </row>
    <row r="428" spans="1:19" s="162" customFormat="1" hidden="1" outlineLevel="2" x14ac:dyDescent="0.25">
      <c r="B428" s="163" t="s">
        <v>511</v>
      </c>
      <c r="O428" s="283"/>
      <c r="P428" s="284"/>
      <c r="R428" s="164"/>
      <c r="S428" s="165"/>
    </row>
    <row r="429" spans="1:19" s="170" customFormat="1" hidden="1" outlineLevel="2" x14ac:dyDescent="0.25">
      <c r="A429" s="166"/>
      <c r="B429" s="167"/>
      <c r="C429" s="166"/>
      <c r="D429" s="166"/>
      <c r="E429" s="166"/>
      <c r="F429" s="166"/>
      <c r="G429" s="166"/>
      <c r="H429" s="166"/>
      <c r="J429" s="166"/>
      <c r="K429" s="166"/>
      <c r="L429" s="166"/>
      <c r="M429" s="166"/>
      <c r="N429" s="166"/>
      <c r="O429" s="168" t="s">
        <v>319</v>
      </c>
      <c r="P429" s="169" t="s">
        <v>332</v>
      </c>
      <c r="R429" s="171"/>
      <c r="S429" s="172"/>
    </row>
    <row r="430" spans="1:19" hidden="1" outlineLevel="2" x14ac:dyDescent="0.25">
      <c r="I430" s="173" t="s">
        <v>337</v>
      </c>
      <c r="L430" s="174" t="s">
        <v>512</v>
      </c>
      <c r="M430" s="234" t="s">
        <v>58</v>
      </c>
      <c r="O430" s="248">
        <f>O397/Daten_EZFH!$D$16</f>
        <v>148.75167636833993</v>
      </c>
      <c r="P430" s="249">
        <f>P397/Daten_EZFH!$D$16</f>
        <v>148.75167636833993</v>
      </c>
    </row>
    <row r="431" spans="1:19" hidden="1" outlineLevel="2" x14ac:dyDescent="0.25">
      <c r="I431" s="173" t="s">
        <v>53</v>
      </c>
      <c r="L431" s="174" t="s">
        <v>513</v>
      </c>
      <c r="M431" s="234" t="s">
        <v>58</v>
      </c>
      <c r="O431" s="248">
        <f>O398/Daten_EZFH!$D$16</f>
        <v>27.102040166915291</v>
      </c>
      <c r="P431" s="249">
        <f>P398/Daten_EZFH!$D$16</f>
        <v>27.102040166915291</v>
      </c>
    </row>
    <row r="432" spans="1:19" hidden="1" outlineLevel="2" x14ac:dyDescent="0.25">
      <c r="I432" s="173" t="s">
        <v>501</v>
      </c>
      <c r="L432" s="174" t="s">
        <v>514</v>
      </c>
      <c r="M432" s="234" t="s">
        <v>58</v>
      </c>
      <c r="O432" s="248">
        <f>O399/Daten_EZFH!$D$16</f>
        <v>19.508501447053373</v>
      </c>
      <c r="P432" s="249">
        <f>P399/Daten_EZFH!$D$16</f>
        <v>19.508501447053373</v>
      </c>
    </row>
    <row r="433" spans="6:16" hidden="1" outlineLevel="2" x14ac:dyDescent="0.25">
      <c r="I433" s="173" t="s">
        <v>502</v>
      </c>
      <c r="L433" s="174" t="s">
        <v>515</v>
      </c>
      <c r="M433" s="234" t="s">
        <v>58</v>
      </c>
      <c r="O433" s="248">
        <f>O400/Daten_EZFH!$D$16</f>
        <v>4.6790781792878384</v>
      </c>
      <c r="P433" s="249">
        <f>P400/Daten_EZFH!$D$16</f>
        <v>4.6790781792878384</v>
      </c>
    </row>
    <row r="434" spans="6:16" hidden="1" outlineLevel="2" x14ac:dyDescent="0.25">
      <c r="I434" s="173" t="s">
        <v>360</v>
      </c>
      <c r="L434" s="174" t="s">
        <v>516</v>
      </c>
      <c r="M434" s="234" t="s">
        <v>58</v>
      </c>
      <c r="O434" s="248">
        <f>O401/Daten_EZFH!$D$16</f>
        <v>26.554390640259477</v>
      </c>
      <c r="P434" s="249">
        <f>P401/Daten_EZFH!$D$16</f>
        <v>26.554390640259477</v>
      </c>
    </row>
    <row r="435" spans="6:16" hidden="1" outlineLevel="2" x14ac:dyDescent="0.25">
      <c r="H435" s="174" t="s">
        <v>469</v>
      </c>
      <c r="L435" s="174" t="s">
        <v>517</v>
      </c>
      <c r="M435" s="234" t="s">
        <v>58</v>
      </c>
      <c r="O435" s="250">
        <f>O402/Daten_EZFH!$D$16</f>
        <v>125.11174626865456</v>
      </c>
      <c r="P435" s="251">
        <f>P402/Daten_EZFH!$D$16</f>
        <v>125.11174626865456</v>
      </c>
    </row>
    <row r="436" spans="6:16" hidden="1" outlineLevel="2" x14ac:dyDescent="0.25">
      <c r="H436" s="173" t="s">
        <v>365</v>
      </c>
      <c r="L436" s="174" t="s">
        <v>518</v>
      </c>
      <c r="M436" s="234" t="s">
        <v>58</v>
      </c>
      <c r="O436" s="250">
        <f>O403/Daten_EZFH!$D$16</f>
        <v>2.325575372778713</v>
      </c>
      <c r="P436" s="251">
        <f>P403/Daten_EZFH!$D$16</f>
        <v>2.325575372778713</v>
      </c>
    </row>
    <row r="437" spans="6:16" hidden="1" outlineLevel="2" x14ac:dyDescent="0.25">
      <c r="H437" s="174" t="s">
        <v>503</v>
      </c>
      <c r="L437" s="174" t="s">
        <v>519</v>
      </c>
      <c r="M437" s="234" t="s">
        <v>58</v>
      </c>
      <c r="O437" s="250">
        <f>O404/Daten_EZFH!$D$16</f>
        <v>4.5471748966981353</v>
      </c>
      <c r="P437" s="251">
        <f>P404/Daten_EZFH!$D$16</f>
        <v>4.5471748966981353</v>
      </c>
    </row>
    <row r="438" spans="6:16" hidden="1" outlineLevel="2" x14ac:dyDescent="0.25">
      <c r="H438" s="174" t="s">
        <v>504</v>
      </c>
      <c r="L438" s="174" t="s">
        <v>520</v>
      </c>
      <c r="M438" s="234" t="s">
        <v>58</v>
      </c>
      <c r="O438" s="250">
        <f>O405/Daten_EZFH!$D$16</f>
        <v>0.97460899287310843</v>
      </c>
      <c r="P438" s="251">
        <f>P405/Daten_EZFH!$D$16</f>
        <v>0.97460899287310843</v>
      </c>
    </row>
    <row r="439" spans="6:16" hidden="1" outlineLevel="2" x14ac:dyDescent="0.25">
      <c r="G439" s="174" t="s">
        <v>508</v>
      </c>
      <c r="L439" s="174" t="s">
        <v>521</v>
      </c>
      <c r="M439" s="234" t="s">
        <v>58</v>
      </c>
      <c r="O439" s="252">
        <f>O406/Daten_EZFH!$D$16</f>
        <v>132.9591055310045</v>
      </c>
      <c r="P439" s="253">
        <f>P406/Daten_EZFH!$D$16</f>
        <v>132.9591055310045</v>
      </c>
    </row>
    <row r="440" spans="6:16" hidden="1" outlineLevel="2" x14ac:dyDescent="0.25">
      <c r="G440" s="174" t="s">
        <v>536</v>
      </c>
      <c r="L440" s="174" t="s">
        <v>540</v>
      </c>
      <c r="M440" s="234" t="s">
        <v>58</v>
      </c>
      <c r="O440" s="252">
        <f>O407/Daten_EZFH!$D$16</f>
        <v>27.410338233622308</v>
      </c>
      <c r="P440" s="253">
        <f>P407/Daten_EZFH!$D$16</f>
        <v>27.410338233622308</v>
      </c>
    </row>
    <row r="441" spans="6:16" hidden="1" outlineLevel="2" x14ac:dyDescent="0.25">
      <c r="G441" s="174" t="s">
        <v>499</v>
      </c>
      <c r="L441" s="174" t="s">
        <v>578</v>
      </c>
      <c r="M441" s="234" t="s">
        <v>13</v>
      </c>
      <c r="O441" s="254">
        <f>O408</f>
        <v>0.82908004423927362</v>
      </c>
      <c r="P441" s="255">
        <f>P408</f>
        <v>0.82908004423927362</v>
      </c>
    </row>
    <row r="442" spans="6:16" hidden="1" outlineLevel="2" x14ac:dyDescent="0.25">
      <c r="F442" s="174" t="s">
        <v>498</v>
      </c>
      <c r="L442" s="173" t="s">
        <v>522</v>
      </c>
      <c r="M442" s="234" t="s">
        <v>58</v>
      </c>
      <c r="O442" s="256">
        <f>O409/Daten_EZFH!$D$16</f>
        <v>160.36944376462682</v>
      </c>
      <c r="P442" s="257">
        <f>P409/Daten_EZFH!$D$16</f>
        <v>160.36944376462682</v>
      </c>
    </row>
    <row r="443" spans="6:16" hidden="1" outlineLevel="2" x14ac:dyDescent="0.25">
      <c r="H443" s="174" t="s">
        <v>74</v>
      </c>
      <c r="L443" s="174" t="s">
        <v>523</v>
      </c>
      <c r="M443" s="234" t="s">
        <v>58</v>
      </c>
      <c r="O443" s="258">
        <f>O410/Daten_EZFH!$D$16</f>
        <v>10.925522302797635</v>
      </c>
      <c r="P443" s="259">
        <f>P410/Daten_EZFH!$D$16</f>
        <v>10.925522302797635</v>
      </c>
    </row>
    <row r="444" spans="6:16" hidden="1" outlineLevel="2" x14ac:dyDescent="0.25">
      <c r="H444" s="174" t="s">
        <v>505</v>
      </c>
      <c r="L444" s="174" t="s">
        <v>524</v>
      </c>
      <c r="M444" s="234" t="s">
        <v>58</v>
      </c>
      <c r="O444" s="258">
        <f>O411/Daten_EZFH!$D$16</f>
        <v>11.464222702903633</v>
      </c>
      <c r="P444" s="259">
        <f>P411/Daten_EZFH!$D$16</f>
        <v>11.464222702903633</v>
      </c>
    </row>
    <row r="445" spans="6:16" hidden="1" outlineLevel="2" x14ac:dyDescent="0.25">
      <c r="H445" s="174" t="s">
        <v>506</v>
      </c>
      <c r="L445" s="174" t="s">
        <v>525</v>
      </c>
      <c r="M445" s="234" t="s">
        <v>58</v>
      </c>
      <c r="O445" s="258">
        <f>O412/Daten_EZFH!$D$16</f>
        <v>4.0136510654078101</v>
      </c>
      <c r="P445" s="259">
        <f>P412/Daten_EZFH!$D$16</f>
        <v>4.0136510654078101</v>
      </c>
    </row>
    <row r="446" spans="6:16" hidden="1" outlineLevel="2" x14ac:dyDescent="0.25">
      <c r="H446" s="174" t="s">
        <v>472</v>
      </c>
      <c r="L446" s="174" t="s">
        <v>526</v>
      </c>
      <c r="M446" s="234" t="s">
        <v>58</v>
      </c>
      <c r="O446" s="258">
        <f>O413/Daten_EZFH!$D$16</f>
        <v>1.8600185206847419</v>
      </c>
      <c r="P446" s="259">
        <f>P413/Daten_EZFH!$D$16</f>
        <v>1.8600185206847419</v>
      </c>
    </row>
    <row r="447" spans="6:16" hidden="1" outlineLevel="2" x14ac:dyDescent="0.25">
      <c r="G447" s="174" t="s">
        <v>509</v>
      </c>
      <c r="I447" s="174"/>
      <c r="L447" s="174" t="s">
        <v>527</v>
      </c>
      <c r="M447" s="234" t="s">
        <v>58</v>
      </c>
      <c r="O447" s="260">
        <f>O414/Daten_EZFH!$D$16</f>
        <v>24.543377550424342</v>
      </c>
      <c r="P447" s="261">
        <f>P414/Daten_EZFH!$D$16</f>
        <v>24.543377550424342</v>
      </c>
    </row>
    <row r="448" spans="6:16" hidden="1" outlineLevel="2" x14ac:dyDescent="0.25">
      <c r="G448" s="174" t="s">
        <v>538</v>
      </c>
      <c r="I448" s="174"/>
      <c r="L448" s="174" t="s">
        <v>541</v>
      </c>
      <c r="M448" s="234" t="s">
        <v>58</v>
      </c>
      <c r="O448" s="260">
        <f>O415/Daten_EZFH!$D$16</f>
        <v>4.6951495920514335</v>
      </c>
      <c r="P448" s="261">
        <f>P415/Daten_EZFH!$D$16</f>
        <v>4.6951495920514335</v>
      </c>
    </row>
    <row r="449" spans="1:19" hidden="1" outlineLevel="2" x14ac:dyDescent="0.25">
      <c r="G449" s="174" t="s">
        <v>500</v>
      </c>
      <c r="L449" s="174" t="s">
        <v>579</v>
      </c>
      <c r="M449" s="234" t="s">
        <v>13</v>
      </c>
      <c r="O449" s="262">
        <f>O416</f>
        <v>0.83941907986087871</v>
      </c>
      <c r="P449" s="263">
        <f>P416</f>
        <v>0.83941907986087871</v>
      </c>
    </row>
    <row r="450" spans="1:19" hidden="1" outlineLevel="2" x14ac:dyDescent="0.25">
      <c r="F450" s="174" t="s">
        <v>294</v>
      </c>
      <c r="I450" s="174"/>
      <c r="L450" s="173" t="s">
        <v>528</v>
      </c>
      <c r="M450" s="234" t="s">
        <v>58</v>
      </c>
      <c r="O450" s="265">
        <f>O417/Daten_EZFH!$D$16</f>
        <v>29.238527142475775</v>
      </c>
      <c r="P450" s="266">
        <f>P417/Daten_EZFH!$D$16</f>
        <v>29.238527142475775</v>
      </c>
    </row>
    <row r="451" spans="1:19" hidden="1" outlineLevel="2" x14ac:dyDescent="0.25">
      <c r="H451" s="174" t="s">
        <v>279</v>
      </c>
      <c r="L451" s="174" t="s">
        <v>529</v>
      </c>
      <c r="M451" s="234" t="s">
        <v>58</v>
      </c>
      <c r="O451" s="267">
        <f>O418/Daten_EZFH!$D$16</f>
        <v>138.36284394423089</v>
      </c>
      <c r="P451" s="268">
        <f>P418/Daten_EZFH!$D$16</f>
        <v>138.36284394423089</v>
      </c>
    </row>
    <row r="452" spans="1:19" hidden="1" outlineLevel="2" x14ac:dyDescent="0.25">
      <c r="G452" s="174" t="s">
        <v>507</v>
      </c>
      <c r="L452" s="174" t="s">
        <v>530</v>
      </c>
      <c r="M452" s="234" t="s">
        <v>58</v>
      </c>
      <c r="O452" s="269">
        <f>O419/Daten_EZFH!$D$16</f>
        <v>157.50248308142884</v>
      </c>
      <c r="P452" s="270">
        <f>P419/Daten_EZFH!$D$16</f>
        <v>157.50248308142884</v>
      </c>
    </row>
    <row r="453" spans="1:19" hidden="1" outlineLevel="2" x14ac:dyDescent="0.25">
      <c r="G453" s="174" t="s">
        <v>569</v>
      </c>
      <c r="L453" s="174" t="s">
        <v>580</v>
      </c>
      <c r="M453" s="234" t="s">
        <v>13</v>
      </c>
      <c r="O453" s="271">
        <f>(O447+O439)/O454</f>
        <v>0.83067437686254408</v>
      </c>
      <c r="P453" s="272">
        <f>(P447+P439)/P454</f>
        <v>0.83067437686254408</v>
      </c>
    </row>
    <row r="454" spans="1:19" hidden="1" outlineLevel="2" x14ac:dyDescent="0.25">
      <c r="F454" s="174" t="s">
        <v>473</v>
      </c>
      <c r="I454" s="174"/>
      <c r="L454" s="173" t="s">
        <v>531</v>
      </c>
      <c r="M454" s="234" t="s">
        <v>58</v>
      </c>
      <c r="N454" s="264" t="s">
        <v>736</v>
      </c>
      <c r="O454" s="273">
        <f>O421/Daten_EZFH!$D$16</f>
        <v>189.60797090710258</v>
      </c>
      <c r="P454" s="274">
        <f>P421/Daten_EZFH!$D$16</f>
        <v>189.60797090710258</v>
      </c>
    </row>
    <row r="455" spans="1:19" hidden="1" outlineLevel="2" x14ac:dyDescent="0.25">
      <c r="G455" s="174" t="s">
        <v>353</v>
      </c>
      <c r="I455" s="174"/>
      <c r="L455" s="173" t="s">
        <v>532</v>
      </c>
      <c r="M455" s="234" t="s">
        <v>58</v>
      </c>
      <c r="O455" s="269">
        <f>O422/Daten_EZFH!$D$16</f>
        <v>24.27819081808758</v>
      </c>
      <c r="P455" s="270">
        <f>P422/Daten_EZFH!$D$16</f>
        <v>24.27819081808758</v>
      </c>
    </row>
    <row r="456" spans="1:19" hidden="1" outlineLevel="2" x14ac:dyDescent="0.25">
      <c r="F456" s="174" t="s">
        <v>474</v>
      </c>
      <c r="L456" s="173" t="s">
        <v>534</v>
      </c>
      <c r="M456" s="234" t="s">
        <v>58</v>
      </c>
      <c r="N456" s="264" t="s">
        <v>736</v>
      </c>
      <c r="O456" s="273">
        <f>O423/Daten_EZFH!$D$16</f>
        <v>24.27819081808758</v>
      </c>
      <c r="P456" s="274">
        <f>P423/Daten_EZFH!$D$16</f>
        <v>24.27819081808758</v>
      </c>
    </row>
    <row r="457" spans="1:19" hidden="1" outlineLevel="2" x14ac:dyDescent="0.25">
      <c r="F457" s="173" t="s">
        <v>709</v>
      </c>
      <c r="L457" s="173" t="s">
        <v>714</v>
      </c>
      <c r="M457" s="234" t="s">
        <v>58</v>
      </c>
      <c r="O457" s="279">
        <f>O424/Daten_EZFH!$D$16</f>
        <v>0.77009804154302675</v>
      </c>
      <c r="P457" s="280">
        <f>P424/Daten_EZFH!$D$16</f>
        <v>0.77009804154302675</v>
      </c>
    </row>
    <row r="458" spans="1:19" hidden="1" outlineLevel="2" x14ac:dyDescent="0.25">
      <c r="F458" s="174" t="s">
        <v>711</v>
      </c>
      <c r="L458" s="173" t="s">
        <v>715</v>
      </c>
      <c r="M458" s="234" t="s">
        <v>58</v>
      </c>
      <c r="O458" s="279">
        <f>O425/Daten_EZFH!$D$16</f>
        <v>6.9308823738872407</v>
      </c>
      <c r="P458" s="280">
        <f>P425/Daten_EZFH!$D$16</f>
        <v>6.9308823738872407</v>
      </c>
    </row>
    <row r="459" spans="1:19" hidden="1" outlineLevel="2" x14ac:dyDescent="0.25">
      <c r="E459" s="173" t="s">
        <v>713</v>
      </c>
      <c r="L459" s="173" t="s">
        <v>533</v>
      </c>
      <c r="M459" s="234" t="s">
        <v>58</v>
      </c>
      <c r="N459" s="264" t="s">
        <v>40</v>
      </c>
      <c r="O459" s="281">
        <f>O426/Daten_EZFH!$D$16</f>
        <v>7.7009804154302666</v>
      </c>
      <c r="P459" s="282">
        <f>P426/Daten_EZFH!$D$16</f>
        <v>7.7009804154302666</v>
      </c>
    </row>
    <row r="460" spans="1:19" hidden="1" outlineLevel="2" x14ac:dyDescent="0.25">
      <c r="E460" s="174" t="s">
        <v>765</v>
      </c>
      <c r="L460" s="173" t="s">
        <v>535</v>
      </c>
      <c r="M460" s="234" t="s">
        <v>58</v>
      </c>
      <c r="O460" s="273">
        <f>O427/Daten_EZFH!$D$16</f>
        <v>206.18518130975991</v>
      </c>
      <c r="P460" s="274">
        <f>P427/Daten_EZFH!$D$16</f>
        <v>206.18518130975991</v>
      </c>
    </row>
    <row r="461" spans="1:19" s="159" customFormat="1" ht="14.25" customHeight="1" collapsed="1" x14ac:dyDescent="0.25">
      <c r="A461" s="156" t="s">
        <v>575</v>
      </c>
      <c r="B461" s="157"/>
      <c r="C461" s="157"/>
      <c r="D461" s="158"/>
      <c r="O461" s="160"/>
      <c r="P461" s="161"/>
      <c r="R461" s="160"/>
      <c r="S461" s="161"/>
    </row>
    <row r="462" spans="1:19" s="162" customFormat="1" hidden="1" outlineLevel="2" x14ac:dyDescent="0.25">
      <c r="B462" s="163" t="s">
        <v>510</v>
      </c>
      <c r="O462" s="164"/>
      <c r="P462" s="165"/>
      <c r="R462" s="164"/>
      <c r="S462" s="165"/>
    </row>
    <row r="463" spans="1:19" s="170" customFormat="1" hidden="1" outlineLevel="2" x14ac:dyDescent="0.25">
      <c r="A463" s="166"/>
      <c r="B463" s="167"/>
      <c r="C463" s="166"/>
      <c r="D463" s="166"/>
      <c r="E463" s="166"/>
      <c r="F463" s="166"/>
      <c r="G463" s="166"/>
      <c r="H463" s="166"/>
      <c r="J463" s="166"/>
      <c r="K463" s="166"/>
      <c r="L463" s="166"/>
      <c r="M463" s="166"/>
      <c r="N463" s="166"/>
      <c r="O463" s="168" t="s">
        <v>319</v>
      </c>
      <c r="P463" s="169" t="s">
        <v>332</v>
      </c>
      <c r="R463" s="171"/>
      <c r="S463" s="172"/>
    </row>
    <row r="464" spans="1:19" hidden="1" outlineLevel="2" x14ac:dyDescent="0.25">
      <c r="G464" s="174" t="s">
        <v>508</v>
      </c>
      <c r="L464" s="174" t="s">
        <v>481</v>
      </c>
      <c r="M464" s="234" t="s">
        <v>348</v>
      </c>
      <c r="O464" s="252">
        <f>O406</f>
        <v>18824.960223596128</v>
      </c>
      <c r="P464" s="253">
        <f>P406</f>
        <v>18824.960223596128</v>
      </c>
    </row>
    <row r="465" spans="1:19" hidden="1" outlineLevel="2" x14ac:dyDescent="0.25">
      <c r="G465" s="174" t="s">
        <v>583</v>
      </c>
      <c r="L465" s="174" t="s">
        <v>581</v>
      </c>
      <c r="M465" s="234" t="s">
        <v>13</v>
      </c>
      <c r="O465" s="285">
        <f>O288</f>
        <v>1.2779229000198828</v>
      </c>
      <c r="P465" s="286">
        <f>P288</f>
        <v>1.2779229000198828</v>
      </c>
    </row>
    <row r="466" spans="1:19" hidden="1" outlineLevel="2" x14ac:dyDescent="0.25">
      <c r="F466" s="174" t="s">
        <v>586</v>
      </c>
      <c r="L466" s="173" t="s">
        <v>585</v>
      </c>
      <c r="M466" s="234" t="s">
        <v>348</v>
      </c>
      <c r="O466" s="256">
        <f>O464*O465</f>
        <v>24056.847761696907</v>
      </c>
      <c r="P466" s="257">
        <f>P464*P465</f>
        <v>24056.847761696907</v>
      </c>
    </row>
    <row r="467" spans="1:19" hidden="1" outlineLevel="2" x14ac:dyDescent="0.25">
      <c r="G467" s="174" t="s">
        <v>509</v>
      </c>
      <c r="I467" s="174"/>
      <c r="L467" s="174" t="s">
        <v>482</v>
      </c>
      <c r="M467" s="234" t="s">
        <v>348</v>
      </c>
      <c r="O467" s="260">
        <f>O414</f>
        <v>3474.9640071224821</v>
      </c>
      <c r="P467" s="261">
        <f>P414</f>
        <v>3474.9640071224821</v>
      </c>
    </row>
    <row r="468" spans="1:19" hidden="1" outlineLevel="2" x14ac:dyDescent="0.25">
      <c r="G468" s="174" t="s">
        <v>584</v>
      </c>
      <c r="L468" s="174" t="s">
        <v>581</v>
      </c>
      <c r="M468" s="234" t="s">
        <v>13</v>
      </c>
      <c r="O468" s="287">
        <f>O312</f>
        <v>1.3247656835616062</v>
      </c>
      <c r="P468" s="288">
        <f>P312</f>
        <v>1.3247656835616062</v>
      </c>
    </row>
    <row r="469" spans="1:19" hidden="1" outlineLevel="2" x14ac:dyDescent="0.25">
      <c r="F469" s="174" t="s">
        <v>587</v>
      </c>
      <c r="G469" s="174"/>
      <c r="L469" s="173" t="s">
        <v>585</v>
      </c>
      <c r="M469" s="234" t="s">
        <v>348</v>
      </c>
      <c r="O469" s="265">
        <f>O467*O468</f>
        <v>4603.5130682475929</v>
      </c>
      <c r="P469" s="266">
        <f>P467*P468</f>
        <v>4603.5130682475929</v>
      </c>
    </row>
    <row r="470" spans="1:19" hidden="1" outlineLevel="2" x14ac:dyDescent="0.25">
      <c r="F470" s="174" t="s">
        <v>588</v>
      </c>
      <c r="I470" s="174"/>
      <c r="L470" s="173" t="s">
        <v>589</v>
      </c>
      <c r="M470" s="234" t="s">
        <v>348</v>
      </c>
      <c r="N470" s="264" t="s">
        <v>736</v>
      </c>
      <c r="O470" s="289">
        <f>O466+O469</f>
        <v>28660.3608299445</v>
      </c>
      <c r="P470" s="290">
        <f>P466+P469</f>
        <v>28660.3608299445</v>
      </c>
    </row>
    <row r="471" spans="1:19" hidden="1" outlineLevel="2" x14ac:dyDescent="0.25">
      <c r="G471" s="174" t="s">
        <v>590</v>
      </c>
      <c r="I471" s="174"/>
      <c r="L471" s="173" t="s">
        <v>412</v>
      </c>
      <c r="M471" s="234" t="s">
        <v>13</v>
      </c>
      <c r="O471" s="291">
        <f>Daten_ALLG!$D$187</f>
        <v>1.8</v>
      </c>
      <c r="P471" s="292">
        <f>Daten_ALLG!$D$187</f>
        <v>1.8</v>
      </c>
    </row>
    <row r="472" spans="1:19" hidden="1" outlineLevel="2" x14ac:dyDescent="0.25">
      <c r="F472" s="174" t="s">
        <v>716</v>
      </c>
      <c r="L472" s="173" t="s">
        <v>592</v>
      </c>
      <c r="M472" s="234" t="s">
        <v>348</v>
      </c>
      <c r="N472" s="264" t="s">
        <v>736</v>
      </c>
      <c r="O472" s="293">
        <f>O$423*O471</f>
        <v>6187.3517750210804</v>
      </c>
      <c r="P472" s="294">
        <f>P$423*P471</f>
        <v>6187.3517750210804</v>
      </c>
    </row>
    <row r="473" spans="1:19" hidden="1" outlineLevel="2" x14ac:dyDescent="0.25">
      <c r="F473" s="173" t="s">
        <v>717</v>
      </c>
      <c r="L473" s="173" t="s">
        <v>718</v>
      </c>
      <c r="M473" s="234" t="s">
        <v>348</v>
      </c>
      <c r="O473" s="279">
        <f>O424*O471</f>
        <v>196.26122555769737</v>
      </c>
      <c r="P473" s="280">
        <f>P424*P471</f>
        <v>196.26122555769737</v>
      </c>
    </row>
    <row r="474" spans="1:19" hidden="1" outlineLevel="2" x14ac:dyDescent="0.25">
      <c r="F474" s="174" t="s">
        <v>738</v>
      </c>
      <c r="L474" s="173" t="s">
        <v>719</v>
      </c>
      <c r="M474" s="234" t="s">
        <v>348</v>
      </c>
      <c r="O474" s="279">
        <f>O425*Daten_ALLG!$D$189</f>
        <v>0</v>
      </c>
      <c r="P474" s="280">
        <f>P425*Daten_ALLG!$D$189</f>
        <v>0</v>
      </c>
    </row>
    <row r="475" spans="1:19" hidden="1" outlineLevel="2" x14ac:dyDescent="0.25">
      <c r="E475" s="173" t="s">
        <v>737</v>
      </c>
      <c r="L475" s="173" t="s">
        <v>720</v>
      </c>
      <c r="M475" s="234" t="s">
        <v>348</v>
      </c>
      <c r="N475" s="264" t="s">
        <v>40</v>
      </c>
      <c r="O475" s="281">
        <f>O473+O474</f>
        <v>196.26122555769737</v>
      </c>
      <c r="P475" s="282">
        <f>P473+P474</f>
        <v>196.26122555769737</v>
      </c>
    </row>
    <row r="476" spans="1:19" hidden="1" outlineLevel="2" x14ac:dyDescent="0.25">
      <c r="E476" s="174" t="s">
        <v>591</v>
      </c>
      <c r="L476" s="173" t="s">
        <v>593</v>
      </c>
      <c r="M476" s="234" t="s">
        <v>348</v>
      </c>
      <c r="O476" s="273">
        <f>O470+O472-O475</f>
        <v>34651.451379407881</v>
      </c>
      <c r="P476" s="274">
        <f>P470+P472-P475</f>
        <v>34651.451379407881</v>
      </c>
    </row>
    <row r="477" spans="1:19" s="162" customFormat="1" hidden="1" outlineLevel="2" x14ac:dyDescent="0.25">
      <c r="B477" s="163" t="s">
        <v>511</v>
      </c>
      <c r="O477" s="283"/>
      <c r="P477" s="284"/>
      <c r="R477" s="164"/>
      <c r="S477" s="165"/>
    </row>
    <row r="478" spans="1:19" s="170" customFormat="1" hidden="1" outlineLevel="2" x14ac:dyDescent="0.25">
      <c r="A478" s="166"/>
      <c r="B478" s="167"/>
      <c r="C478" s="166"/>
      <c r="D478" s="166"/>
      <c r="E478" s="166"/>
      <c r="F478" s="166"/>
      <c r="G478" s="166"/>
      <c r="H478" s="166"/>
      <c r="J478" s="166"/>
      <c r="K478" s="166"/>
      <c r="L478" s="166"/>
      <c r="M478" s="166"/>
      <c r="N478" s="166"/>
      <c r="O478" s="168" t="s">
        <v>319</v>
      </c>
      <c r="P478" s="169" t="s">
        <v>332</v>
      </c>
      <c r="R478" s="171"/>
      <c r="S478" s="172"/>
    </row>
    <row r="479" spans="1:19" hidden="1" outlineLevel="2" x14ac:dyDescent="0.25">
      <c r="G479" s="174" t="s">
        <v>508</v>
      </c>
      <c r="L479" s="174" t="s">
        <v>521</v>
      </c>
      <c r="M479" s="234" t="s">
        <v>58</v>
      </c>
      <c r="O479" s="252">
        <f>O464/Daten_EZFH!$D$16</f>
        <v>132.9591055310045</v>
      </c>
      <c r="P479" s="253">
        <f>P464/Daten_EZFH!$D$16</f>
        <v>132.9591055310045</v>
      </c>
    </row>
    <row r="480" spans="1:19" hidden="1" outlineLevel="2" x14ac:dyDescent="0.25">
      <c r="G480" s="174" t="s">
        <v>583</v>
      </c>
      <c r="L480" s="174" t="s">
        <v>581</v>
      </c>
      <c r="M480" s="234" t="s">
        <v>13</v>
      </c>
      <c r="O480" s="254">
        <f>O465</f>
        <v>1.2779229000198828</v>
      </c>
      <c r="P480" s="255">
        <f>P465</f>
        <v>1.2779229000198828</v>
      </c>
    </row>
    <row r="481" spans="1:19" hidden="1" outlineLevel="2" x14ac:dyDescent="0.25">
      <c r="F481" s="174" t="s">
        <v>586</v>
      </c>
      <c r="L481" s="173" t="s">
        <v>582</v>
      </c>
      <c r="M481" s="234" t="s">
        <v>58</v>
      </c>
      <c r="O481" s="256">
        <f>O466/Daten_EZFH!$D$16</f>
        <v>169.91148572423091</v>
      </c>
      <c r="P481" s="257">
        <f>P466/Daten_EZFH!$D$16</f>
        <v>169.91148572423091</v>
      </c>
    </row>
    <row r="482" spans="1:19" hidden="1" outlineLevel="2" x14ac:dyDescent="0.25">
      <c r="G482" s="174" t="s">
        <v>509</v>
      </c>
      <c r="I482" s="174"/>
      <c r="L482" s="174" t="s">
        <v>527</v>
      </c>
      <c r="M482" s="234" t="s">
        <v>58</v>
      </c>
      <c r="O482" s="260">
        <f>O467/Daten_EZFH!$D$16</f>
        <v>24.543377550424342</v>
      </c>
      <c r="P482" s="261">
        <f>P467/Daten_EZFH!$D$16</f>
        <v>24.543377550424342</v>
      </c>
    </row>
    <row r="483" spans="1:19" hidden="1" outlineLevel="2" x14ac:dyDescent="0.25">
      <c r="G483" s="174" t="s">
        <v>584</v>
      </c>
      <c r="L483" s="174" t="s">
        <v>581</v>
      </c>
      <c r="M483" s="234" t="s">
        <v>13</v>
      </c>
      <c r="O483" s="262">
        <f>O468</f>
        <v>1.3247656835616062</v>
      </c>
      <c r="P483" s="263">
        <f>P468</f>
        <v>1.3247656835616062</v>
      </c>
    </row>
    <row r="484" spans="1:19" hidden="1" outlineLevel="2" x14ac:dyDescent="0.25">
      <c r="F484" s="174" t="s">
        <v>587</v>
      </c>
      <c r="G484" s="174"/>
      <c r="L484" s="173" t="s">
        <v>608</v>
      </c>
      <c r="M484" s="234" t="s">
        <v>58</v>
      </c>
      <c r="O484" s="265">
        <f>O469/Daten_EZFH!$D$16</f>
        <v>32.514224337498476</v>
      </c>
      <c r="P484" s="266">
        <f>P469/Daten_EZFH!$D$16</f>
        <v>32.514224337498476</v>
      </c>
    </row>
    <row r="485" spans="1:19" hidden="1" outlineLevel="2" x14ac:dyDescent="0.25">
      <c r="F485" s="174" t="s">
        <v>588</v>
      </c>
      <c r="I485" s="174"/>
      <c r="L485" s="173" t="s">
        <v>594</v>
      </c>
      <c r="M485" s="234" t="s">
        <v>58</v>
      </c>
      <c r="N485" s="264" t="s">
        <v>736</v>
      </c>
      <c r="O485" s="289">
        <f>O470/Daten_EZFH!$D$16</f>
        <v>202.4257100617294</v>
      </c>
      <c r="P485" s="290">
        <f>P470/Daten_EZFH!$D$16</f>
        <v>202.4257100617294</v>
      </c>
    </row>
    <row r="486" spans="1:19" hidden="1" outlineLevel="2" x14ac:dyDescent="0.25">
      <c r="G486" s="174" t="s">
        <v>590</v>
      </c>
      <c r="I486" s="174"/>
      <c r="L486" s="173" t="s">
        <v>412</v>
      </c>
      <c r="M486" s="234" t="s">
        <v>13</v>
      </c>
      <c r="O486" s="291">
        <f>O471</f>
        <v>1.8</v>
      </c>
      <c r="P486" s="292">
        <f>P471</f>
        <v>1.8</v>
      </c>
    </row>
    <row r="487" spans="1:19" hidden="1" outlineLevel="2" x14ac:dyDescent="0.25">
      <c r="F487" s="174" t="s">
        <v>716</v>
      </c>
      <c r="L487" s="173" t="s">
        <v>595</v>
      </c>
      <c r="M487" s="234" t="s">
        <v>58</v>
      </c>
      <c r="N487" s="264" t="s">
        <v>736</v>
      </c>
      <c r="O487" s="293">
        <f>O472/Daten_EZFH!$D$16</f>
        <v>43.700743472557647</v>
      </c>
      <c r="P487" s="294">
        <f>P472/Daten_EZFH!$D$16</f>
        <v>43.700743472557647</v>
      </c>
    </row>
    <row r="488" spans="1:19" hidden="1" outlineLevel="2" x14ac:dyDescent="0.25">
      <c r="F488" s="173" t="s">
        <v>717</v>
      </c>
      <c r="L488" s="173" t="s">
        <v>721</v>
      </c>
      <c r="M488" s="234" t="s">
        <v>58</v>
      </c>
      <c r="O488" s="279">
        <f>O473/Daten_EZFH!$D$16</f>
        <v>1.3861764747774481</v>
      </c>
      <c r="P488" s="280">
        <f>P473/Daten_EZFH!$D$16</f>
        <v>1.3861764747774481</v>
      </c>
    </row>
    <row r="489" spans="1:19" hidden="1" outlineLevel="2" x14ac:dyDescent="0.25">
      <c r="F489" s="174" t="s">
        <v>738</v>
      </c>
      <c r="L489" s="173" t="s">
        <v>722</v>
      </c>
      <c r="M489" s="234" t="s">
        <v>58</v>
      </c>
      <c r="O489" s="279">
        <f>O474/Daten_EZFH!$D$16</f>
        <v>0</v>
      </c>
      <c r="P489" s="280">
        <f>P474/Daten_EZFH!$D$16</f>
        <v>0</v>
      </c>
    </row>
    <row r="490" spans="1:19" hidden="1" outlineLevel="2" x14ac:dyDescent="0.25">
      <c r="E490" s="173" t="s">
        <v>737</v>
      </c>
      <c r="L490" s="173" t="s">
        <v>723</v>
      </c>
      <c r="M490" s="234" t="s">
        <v>58</v>
      </c>
      <c r="N490" s="264" t="s">
        <v>40</v>
      </c>
      <c r="O490" s="281">
        <f>O475/Daten_EZFH!$D$16</f>
        <v>1.3861764747774481</v>
      </c>
      <c r="P490" s="282">
        <f>P475/Daten_EZFH!$D$16</f>
        <v>1.3861764747774481</v>
      </c>
    </row>
    <row r="491" spans="1:19" hidden="1" outlineLevel="2" x14ac:dyDescent="0.25">
      <c r="E491" s="174" t="s">
        <v>591</v>
      </c>
      <c r="L491" s="173" t="s">
        <v>596</v>
      </c>
      <c r="M491" s="234" t="s">
        <v>58</v>
      </c>
      <c r="O491" s="273">
        <f>O476/Daten_EZFH!$D$16</f>
        <v>244.74027705950959</v>
      </c>
      <c r="P491" s="274">
        <f>P476/Daten_EZFH!$D$16</f>
        <v>244.74027705950959</v>
      </c>
    </row>
    <row r="492" spans="1:19" s="159" customFormat="1" ht="14.25" customHeight="1" collapsed="1" x14ac:dyDescent="0.25">
      <c r="A492" s="156" t="s">
        <v>597</v>
      </c>
      <c r="B492" s="157"/>
      <c r="C492" s="157"/>
      <c r="D492" s="158"/>
      <c r="O492" s="160"/>
      <c r="P492" s="161"/>
      <c r="R492" s="160"/>
      <c r="S492" s="161"/>
    </row>
    <row r="493" spans="1:19" s="162" customFormat="1" hidden="1" outlineLevel="2" x14ac:dyDescent="0.25">
      <c r="B493" s="163" t="s">
        <v>510</v>
      </c>
      <c r="O493" s="164"/>
      <c r="P493" s="165"/>
      <c r="R493" s="164"/>
      <c r="S493" s="165"/>
    </row>
    <row r="494" spans="1:19" s="170" customFormat="1" hidden="1" outlineLevel="2" x14ac:dyDescent="0.25">
      <c r="A494" s="166"/>
      <c r="B494" s="167"/>
      <c r="C494" s="166"/>
      <c r="D494" s="166"/>
      <c r="E494" s="166"/>
      <c r="F494" s="166"/>
      <c r="G494" s="166"/>
      <c r="H494" s="166"/>
      <c r="J494" s="166"/>
      <c r="K494" s="166"/>
      <c r="L494" s="166"/>
      <c r="M494" s="166"/>
      <c r="N494" s="166"/>
      <c r="O494" s="168" t="s">
        <v>319</v>
      </c>
      <c r="P494" s="169" t="s">
        <v>332</v>
      </c>
      <c r="R494" s="171"/>
      <c r="S494" s="172"/>
    </row>
    <row r="495" spans="1:19" hidden="1" outlineLevel="2" x14ac:dyDescent="0.25">
      <c r="G495" s="174" t="s">
        <v>508</v>
      </c>
      <c r="L495" s="174" t="s">
        <v>481</v>
      </c>
      <c r="M495" s="234" t="s">
        <v>348</v>
      </c>
      <c r="O495" s="252">
        <f>O464</f>
        <v>18824.960223596128</v>
      </c>
      <c r="P495" s="253">
        <f>P464</f>
        <v>18824.960223596128</v>
      </c>
    </row>
    <row r="496" spans="1:19" hidden="1" outlineLevel="2" x14ac:dyDescent="0.25">
      <c r="G496" s="174" t="s">
        <v>598</v>
      </c>
      <c r="L496" s="174" t="s">
        <v>611</v>
      </c>
      <c r="M496" s="234" t="s">
        <v>620</v>
      </c>
      <c r="O496" s="254">
        <f>O294/1000</f>
        <v>0.28116103124744757</v>
      </c>
      <c r="P496" s="255">
        <f>P294/1000</f>
        <v>0.28116103124744757</v>
      </c>
    </row>
    <row r="497" spans="1:19" hidden="1" outlineLevel="2" x14ac:dyDescent="0.25">
      <c r="F497" s="174" t="s">
        <v>599</v>
      </c>
      <c r="L497" s="173" t="s">
        <v>606</v>
      </c>
      <c r="M497" s="234" t="s">
        <v>621</v>
      </c>
      <c r="O497" s="256">
        <f>O495*O496</f>
        <v>5292.8452296584683</v>
      </c>
      <c r="P497" s="257">
        <f>P495*P496</f>
        <v>5292.8452296584683</v>
      </c>
    </row>
    <row r="498" spans="1:19" hidden="1" outlineLevel="2" x14ac:dyDescent="0.25">
      <c r="G498" s="174" t="s">
        <v>509</v>
      </c>
      <c r="I498" s="174"/>
      <c r="L498" s="174" t="s">
        <v>482</v>
      </c>
      <c r="M498" s="234" t="s">
        <v>348</v>
      </c>
      <c r="O498" s="260">
        <f>O467</f>
        <v>3474.9640071224821</v>
      </c>
      <c r="P498" s="261">
        <f>P467</f>
        <v>3474.9640071224821</v>
      </c>
    </row>
    <row r="499" spans="1:19" hidden="1" outlineLevel="2" x14ac:dyDescent="0.25">
      <c r="G499" s="174" t="s">
        <v>600</v>
      </c>
      <c r="L499" s="174" t="s">
        <v>611</v>
      </c>
      <c r="M499" s="234" t="s">
        <v>620</v>
      </c>
      <c r="O499" s="262">
        <f>O318/1000</f>
        <v>0.29610204050816319</v>
      </c>
      <c r="P499" s="263">
        <f>P318/1000</f>
        <v>0.29610204050816319</v>
      </c>
    </row>
    <row r="500" spans="1:19" hidden="1" outlineLevel="2" x14ac:dyDescent="0.25">
      <c r="F500" s="174" t="s">
        <v>601</v>
      </c>
      <c r="G500" s="174"/>
      <c r="L500" s="173" t="s">
        <v>607</v>
      </c>
      <c r="M500" s="234" t="s">
        <v>621</v>
      </c>
      <c r="O500" s="265">
        <f>O498*O499</f>
        <v>1028.9439332013903</v>
      </c>
      <c r="P500" s="266">
        <f>P498*P499</f>
        <v>1028.9439332013903</v>
      </c>
    </row>
    <row r="501" spans="1:19" hidden="1" outlineLevel="2" x14ac:dyDescent="0.25">
      <c r="F501" s="174" t="s">
        <v>602</v>
      </c>
      <c r="I501" s="174"/>
      <c r="L501" s="173" t="s">
        <v>617</v>
      </c>
      <c r="M501" s="234" t="s">
        <v>621</v>
      </c>
      <c r="N501" s="264" t="s">
        <v>736</v>
      </c>
      <c r="O501" s="289">
        <f>O497+O500</f>
        <v>6321.7891628598591</v>
      </c>
      <c r="P501" s="290">
        <f>P497+P500</f>
        <v>6321.7891628598591</v>
      </c>
    </row>
    <row r="502" spans="1:19" hidden="1" outlineLevel="2" x14ac:dyDescent="0.25">
      <c r="G502" s="174" t="s">
        <v>603</v>
      </c>
      <c r="I502" s="174"/>
      <c r="L502" s="173" t="s">
        <v>571</v>
      </c>
      <c r="M502" s="234" t="s">
        <v>620</v>
      </c>
      <c r="O502" s="291">
        <f>Daten_ALLG!$D$209/1000</f>
        <v>0.44400000000000001</v>
      </c>
      <c r="P502" s="292">
        <f>Daten_ALLG!$D$209/1000</f>
        <v>0.44400000000000001</v>
      </c>
    </row>
    <row r="503" spans="1:19" hidden="1" outlineLevel="2" x14ac:dyDescent="0.25">
      <c r="F503" s="174" t="s">
        <v>604</v>
      </c>
      <c r="L503" s="173" t="s">
        <v>618</v>
      </c>
      <c r="M503" s="234" t="s">
        <v>621</v>
      </c>
      <c r="N503" s="264" t="s">
        <v>736</v>
      </c>
      <c r="O503" s="293">
        <f>O$423*O502</f>
        <v>1526.2134378385331</v>
      </c>
      <c r="P503" s="294">
        <f>P$423*P502</f>
        <v>1526.2134378385331</v>
      </c>
    </row>
    <row r="504" spans="1:19" hidden="1" outlineLevel="2" x14ac:dyDescent="0.25">
      <c r="F504" s="173" t="s">
        <v>724</v>
      </c>
      <c r="L504" s="173" t="s">
        <v>727</v>
      </c>
      <c r="M504" s="234" t="s">
        <v>621</v>
      </c>
      <c r="O504" s="279">
        <f>O424*O$502</f>
        <v>48.411102304232017</v>
      </c>
      <c r="P504" s="280">
        <f>P424*P$502</f>
        <v>48.411102304232017</v>
      </c>
    </row>
    <row r="505" spans="1:19" hidden="1" outlineLevel="2" x14ac:dyDescent="0.25">
      <c r="F505" s="174" t="s">
        <v>725</v>
      </c>
      <c r="L505" s="173" t="s">
        <v>728</v>
      </c>
      <c r="M505" s="234" t="s">
        <v>621</v>
      </c>
      <c r="O505" s="279">
        <f>O458*Daten_ALLG!$D$211</f>
        <v>0</v>
      </c>
      <c r="P505" s="280">
        <f>P458*Daten_ALLG!$D$211</f>
        <v>0</v>
      </c>
    </row>
    <row r="506" spans="1:19" hidden="1" outlineLevel="2" x14ac:dyDescent="0.25">
      <c r="E506" s="173" t="s">
        <v>726</v>
      </c>
      <c r="L506" s="173" t="s">
        <v>729</v>
      </c>
      <c r="M506" s="234" t="s">
        <v>621</v>
      </c>
      <c r="N506" s="264" t="s">
        <v>40</v>
      </c>
      <c r="O506" s="281">
        <f>O504+O505</f>
        <v>48.411102304232017</v>
      </c>
      <c r="P506" s="282">
        <f>P504+P505</f>
        <v>48.411102304232017</v>
      </c>
    </row>
    <row r="507" spans="1:19" hidden="1" outlineLevel="2" x14ac:dyDescent="0.25">
      <c r="E507" s="174" t="s">
        <v>605</v>
      </c>
      <c r="L507" s="173" t="s">
        <v>619</v>
      </c>
      <c r="M507" s="234" t="s">
        <v>621</v>
      </c>
      <c r="O507" s="273">
        <f>O501+O503-O506</f>
        <v>7799.5914983941593</v>
      </c>
      <c r="P507" s="274">
        <f>P501+P503-P506</f>
        <v>7799.5914983941593</v>
      </c>
    </row>
    <row r="508" spans="1:19" s="162" customFormat="1" hidden="1" outlineLevel="2" x14ac:dyDescent="0.25">
      <c r="B508" s="163" t="s">
        <v>511</v>
      </c>
      <c r="O508" s="283"/>
      <c r="P508" s="284"/>
      <c r="R508" s="164"/>
      <c r="S508" s="165"/>
    </row>
    <row r="509" spans="1:19" s="170" customFormat="1" hidden="1" outlineLevel="2" x14ac:dyDescent="0.25">
      <c r="A509" s="166"/>
      <c r="B509" s="167"/>
      <c r="C509" s="166"/>
      <c r="D509" s="166"/>
      <c r="E509" s="166"/>
      <c r="F509" s="166"/>
      <c r="G509" s="166"/>
      <c r="H509" s="166"/>
      <c r="J509" s="166"/>
      <c r="K509" s="166"/>
      <c r="L509" s="166"/>
      <c r="M509" s="166"/>
      <c r="N509" s="166"/>
      <c r="O509" s="168" t="s">
        <v>319</v>
      </c>
      <c r="P509" s="169" t="s">
        <v>332</v>
      </c>
      <c r="R509" s="171"/>
      <c r="S509" s="172"/>
    </row>
    <row r="510" spans="1:19" hidden="1" outlineLevel="2" x14ac:dyDescent="0.25">
      <c r="G510" s="174" t="s">
        <v>508</v>
      </c>
      <c r="L510" s="174" t="s">
        <v>521</v>
      </c>
      <c r="M510" s="234" t="s">
        <v>348</v>
      </c>
      <c r="O510" s="252">
        <f>O495/Daten_EZFH!$D$16</f>
        <v>132.9591055310045</v>
      </c>
      <c r="P510" s="253">
        <f>P495/Daten_EZFH!$D$16</f>
        <v>132.9591055310045</v>
      </c>
    </row>
    <row r="511" spans="1:19" hidden="1" outlineLevel="2" x14ac:dyDescent="0.25">
      <c r="G511" s="174" t="s">
        <v>598</v>
      </c>
      <c r="L511" s="174" t="s">
        <v>611</v>
      </c>
      <c r="M511" s="234" t="s">
        <v>13</v>
      </c>
      <c r="O511" s="254">
        <f>O496</f>
        <v>0.28116103124744757</v>
      </c>
      <c r="P511" s="255">
        <f>P496</f>
        <v>0.28116103124744757</v>
      </c>
    </row>
    <row r="512" spans="1:19" hidden="1" outlineLevel="2" x14ac:dyDescent="0.25">
      <c r="F512" s="174" t="s">
        <v>599</v>
      </c>
      <c r="L512" s="173" t="s">
        <v>612</v>
      </c>
      <c r="M512" s="234" t="s">
        <v>733</v>
      </c>
      <c r="O512" s="256">
        <f>O497/Daten_EZFH!$D$16</f>
        <v>37.382919224835433</v>
      </c>
      <c r="P512" s="257">
        <f>P497/Daten_EZFH!$D$16</f>
        <v>37.382919224835433</v>
      </c>
    </row>
    <row r="513" spans="1:19" hidden="1" outlineLevel="2" x14ac:dyDescent="0.25">
      <c r="G513" s="174" t="s">
        <v>509</v>
      </c>
      <c r="I513" s="174"/>
      <c r="L513" s="174" t="s">
        <v>527</v>
      </c>
      <c r="M513" s="234" t="s">
        <v>348</v>
      </c>
      <c r="O513" s="260">
        <f>O498/Daten_EZFH!$D$16</f>
        <v>24.543377550424342</v>
      </c>
      <c r="P513" s="261">
        <f>P498/Daten_EZFH!$D$16</f>
        <v>24.543377550424342</v>
      </c>
    </row>
    <row r="514" spans="1:19" hidden="1" outlineLevel="2" x14ac:dyDescent="0.25">
      <c r="G514" s="174" t="s">
        <v>600</v>
      </c>
      <c r="L514" s="174" t="s">
        <v>611</v>
      </c>
      <c r="M514" s="234" t="s">
        <v>13</v>
      </c>
      <c r="O514" s="262">
        <f>O499</f>
        <v>0.29610204050816319</v>
      </c>
      <c r="P514" s="263">
        <f>P499</f>
        <v>0.29610204050816319</v>
      </c>
    </row>
    <row r="515" spans="1:19" hidden="1" outlineLevel="2" x14ac:dyDescent="0.25">
      <c r="F515" s="174" t="s">
        <v>601</v>
      </c>
      <c r="G515" s="174"/>
      <c r="L515" s="173" t="s">
        <v>613</v>
      </c>
      <c r="M515" s="234" t="s">
        <v>733</v>
      </c>
      <c r="O515" s="265">
        <f>O500/Daten_EZFH!$D$16</f>
        <v>7.2673441736428916</v>
      </c>
      <c r="P515" s="266">
        <f>P500/Daten_EZFH!$D$16</f>
        <v>7.2673441736428916</v>
      </c>
    </row>
    <row r="516" spans="1:19" hidden="1" outlineLevel="2" x14ac:dyDescent="0.25">
      <c r="F516" s="174" t="s">
        <v>602</v>
      </c>
      <c r="I516" s="174"/>
      <c r="L516" s="173" t="s">
        <v>614</v>
      </c>
      <c r="M516" s="234" t="s">
        <v>733</v>
      </c>
      <c r="N516" s="264" t="s">
        <v>736</v>
      </c>
      <c r="O516" s="289">
        <f>O501/Daten_EZFH!$D$16</f>
        <v>44.65026339847833</v>
      </c>
      <c r="P516" s="290">
        <f>P501/Daten_EZFH!$D$16</f>
        <v>44.65026339847833</v>
      </c>
    </row>
    <row r="517" spans="1:19" hidden="1" outlineLevel="2" x14ac:dyDescent="0.25">
      <c r="G517" s="174" t="s">
        <v>603</v>
      </c>
      <c r="I517" s="174"/>
      <c r="L517" s="173" t="s">
        <v>571</v>
      </c>
      <c r="M517" s="234" t="s">
        <v>13</v>
      </c>
      <c r="O517" s="291">
        <f>O502</f>
        <v>0.44400000000000001</v>
      </c>
      <c r="P517" s="292">
        <f>P502</f>
        <v>0.44400000000000001</v>
      </c>
    </row>
    <row r="518" spans="1:19" hidden="1" outlineLevel="2" x14ac:dyDescent="0.25">
      <c r="F518" s="174" t="s">
        <v>604</v>
      </c>
      <c r="L518" s="173" t="s">
        <v>616</v>
      </c>
      <c r="M518" s="234" t="s">
        <v>733</v>
      </c>
      <c r="N518" s="264" t="s">
        <v>736</v>
      </c>
      <c r="O518" s="293">
        <f>O503/Daten_EZFH!$D$16</f>
        <v>10.779516723230886</v>
      </c>
      <c r="P518" s="294">
        <f>P503/Daten_EZFH!$D$16</f>
        <v>10.779516723230886</v>
      </c>
    </row>
    <row r="519" spans="1:19" hidden="1" outlineLevel="2" x14ac:dyDescent="0.25">
      <c r="F519" s="173" t="s">
        <v>724</v>
      </c>
      <c r="L519" s="173" t="s">
        <v>730</v>
      </c>
      <c r="M519" s="234" t="s">
        <v>733</v>
      </c>
      <c r="O519" s="279">
        <f>O504/Daten_EZFH!$D$16</f>
        <v>0.34192353044510387</v>
      </c>
      <c r="P519" s="280">
        <f>P504/Daten_EZFH!$D$16</f>
        <v>0.34192353044510387</v>
      </c>
    </row>
    <row r="520" spans="1:19" hidden="1" outlineLevel="2" x14ac:dyDescent="0.25">
      <c r="F520" s="174" t="s">
        <v>725</v>
      </c>
      <c r="L520" s="173" t="s">
        <v>731</v>
      </c>
      <c r="M520" s="234" t="s">
        <v>733</v>
      </c>
      <c r="O520" s="279">
        <f>O505/Daten_EZFH!$D$16</f>
        <v>0</v>
      </c>
      <c r="P520" s="280">
        <f>P505/Daten_EZFH!$D$16</f>
        <v>0</v>
      </c>
    </row>
    <row r="521" spans="1:19" hidden="1" outlineLevel="2" x14ac:dyDescent="0.25">
      <c r="E521" s="173" t="s">
        <v>726</v>
      </c>
      <c r="L521" s="173" t="s">
        <v>732</v>
      </c>
      <c r="M521" s="234" t="s">
        <v>733</v>
      </c>
      <c r="N521" s="264" t="s">
        <v>40</v>
      </c>
      <c r="O521" s="281">
        <f>O506/Daten_EZFH!$D$16</f>
        <v>0.34192353044510387</v>
      </c>
      <c r="P521" s="282">
        <f>P506/Daten_EZFH!$D$16</f>
        <v>0.34192353044510387</v>
      </c>
    </row>
    <row r="522" spans="1:19" hidden="1" outlineLevel="2" x14ac:dyDescent="0.25">
      <c r="E522" s="174" t="s">
        <v>605</v>
      </c>
      <c r="L522" s="173" t="s">
        <v>615</v>
      </c>
      <c r="M522" s="234" t="s">
        <v>733</v>
      </c>
      <c r="O522" s="273">
        <f>O507/Daten_EZFH!$D$16</f>
        <v>55.087856591264106</v>
      </c>
      <c r="P522" s="274">
        <f>P507/Daten_EZFH!$D$16</f>
        <v>55.087856591264106</v>
      </c>
    </row>
    <row r="523" spans="1:19" s="159" customFormat="1" ht="14.25" customHeight="1" collapsed="1" x14ac:dyDescent="0.25">
      <c r="A523" s="156" t="s">
        <v>670</v>
      </c>
      <c r="B523" s="157"/>
      <c r="C523" s="157"/>
      <c r="D523" s="158"/>
      <c r="O523" s="160"/>
      <c r="P523" s="161"/>
      <c r="R523" s="160"/>
      <c r="S523" s="161"/>
    </row>
    <row r="524" spans="1:19" s="162" customFormat="1" hidden="1" outlineLevel="2" x14ac:dyDescent="0.25">
      <c r="B524" s="163" t="s">
        <v>670</v>
      </c>
      <c r="O524" s="164"/>
      <c r="P524" s="165"/>
      <c r="R524" s="164"/>
      <c r="S524" s="165"/>
    </row>
    <row r="525" spans="1:19" s="170" customFormat="1" hidden="1" outlineLevel="2" x14ac:dyDescent="0.25">
      <c r="A525" s="166"/>
      <c r="B525" s="167"/>
      <c r="C525" s="166"/>
      <c r="D525" s="166"/>
      <c r="E525" s="166"/>
      <c r="F525" s="166"/>
      <c r="H525" s="166"/>
      <c r="J525" s="166"/>
      <c r="K525" s="166"/>
      <c r="L525" s="166" t="s">
        <v>319</v>
      </c>
      <c r="M525" s="166" t="s">
        <v>332</v>
      </c>
      <c r="N525" s="166"/>
      <c r="O525" s="168" t="s">
        <v>319</v>
      </c>
      <c r="P525" s="172" t="s">
        <v>332</v>
      </c>
      <c r="R525" s="171"/>
      <c r="S525" s="172"/>
    </row>
    <row r="526" spans="1:19" hidden="1" outlineLevel="2" x14ac:dyDescent="0.25">
      <c r="B526" s="174" t="s">
        <v>766</v>
      </c>
      <c r="E526" s="185" t="s">
        <v>669</v>
      </c>
      <c r="N526" s="264" t="s">
        <v>736</v>
      </c>
      <c r="O526" s="193">
        <f>O406*O300+O324*O414</f>
        <v>2730.0124232618023</v>
      </c>
      <c r="P526" s="194">
        <f>P406*P300+P324*P414</f>
        <v>2730.0124232618023</v>
      </c>
      <c r="R526" s="178">
        <f>O526/Daten_EZFH!$D$16</f>
        <v>19.281847375722066</v>
      </c>
    </row>
    <row r="527" spans="1:19" hidden="1" outlineLevel="2" x14ac:dyDescent="0.25">
      <c r="B527" s="174" t="s">
        <v>735</v>
      </c>
      <c r="E527" s="185" t="s">
        <v>669</v>
      </c>
      <c r="N527" s="264" t="s">
        <v>736</v>
      </c>
      <c r="O527" s="193">
        <f>O423*Daten_ALLG!$D$278</f>
        <v>639.35968341884495</v>
      </c>
      <c r="P527" s="194">
        <f>P423*Daten_ALLG!$D$278</f>
        <v>639.35968341884495</v>
      </c>
      <c r="R527" s="178">
        <f>O527/Daten_EZFH!$D$16</f>
        <v>4.5157434921642903</v>
      </c>
    </row>
    <row r="528" spans="1:19" hidden="1" outlineLevel="2" x14ac:dyDescent="0.25">
      <c r="B528" s="174" t="s">
        <v>823</v>
      </c>
      <c r="E528" s="185" t="s">
        <v>669</v>
      </c>
      <c r="F528" s="173" t="s">
        <v>825</v>
      </c>
      <c r="N528" s="264" t="s">
        <v>40</v>
      </c>
      <c r="O528" s="193">
        <f>(O380+O392)*Daten_ALLG!$D$278</f>
        <v>20.280326640962059</v>
      </c>
      <c r="P528" s="194">
        <f>(P380+P392)*Daten_ALLG!$D$278</f>
        <v>20.280326640962059</v>
      </c>
    </row>
    <row r="529" spans="1:19" hidden="1" outlineLevel="2" x14ac:dyDescent="0.25">
      <c r="B529" s="174" t="s">
        <v>824</v>
      </c>
      <c r="E529" s="185" t="s">
        <v>669</v>
      </c>
      <c r="F529" s="173" t="s">
        <v>828</v>
      </c>
      <c r="J529" s="264" t="s">
        <v>826</v>
      </c>
      <c r="K529" s="173" t="s">
        <v>654</v>
      </c>
      <c r="L529" s="223">
        <f>IF(A303="",0,IF(OR(L303="v",M303="v"),1,0))</f>
        <v>0</v>
      </c>
      <c r="M529" s="223">
        <f>IF(A303="",0,IF(OR(L303="n",M303="n"),1,L529))</f>
        <v>0</v>
      </c>
      <c r="N529" s="264" t="s">
        <v>40</v>
      </c>
      <c r="O529" s="193">
        <f>O379*IF(L529=0,Daten_ALLG!$D$278,Daten_ALLG!$D$279)</f>
        <v>0</v>
      </c>
      <c r="P529" s="194">
        <f>P379*IF(M529=0,Daten_ALLG!$D$278,Daten_ALLG!$D$279)</f>
        <v>0</v>
      </c>
    </row>
    <row r="530" spans="1:19" hidden="1" outlineLevel="2" x14ac:dyDescent="0.25">
      <c r="B530" s="174" t="s">
        <v>829</v>
      </c>
      <c r="E530" s="185" t="s">
        <v>669</v>
      </c>
      <c r="F530" s="173" t="s">
        <v>828</v>
      </c>
      <c r="J530" s="264" t="s">
        <v>826</v>
      </c>
      <c r="K530" s="173" t="s">
        <v>654</v>
      </c>
      <c r="L530" s="223">
        <f>IF(A276="",0,IF(OR(L276="v",M276="v"),1,0))</f>
        <v>0</v>
      </c>
      <c r="M530" s="223">
        <f>IF(A276="",0,IF(OR(L276="n",M276="n"),1,L530))</f>
        <v>0</v>
      </c>
      <c r="N530" s="264" t="s">
        <v>40</v>
      </c>
      <c r="O530" s="193">
        <f>O388*IF(L530=0,Daten_ALLG!$D$278,Daten_ALLG!$D$279)</f>
        <v>0</v>
      </c>
      <c r="P530" s="194">
        <f>P388*IF(M530=0,Daten_ALLG!$D$278,Daten_ALLG!$D$279)</f>
        <v>0</v>
      </c>
    </row>
    <row r="531" spans="1:19" hidden="1" outlineLevel="2" x14ac:dyDescent="0.25">
      <c r="B531" s="174" t="s">
        <v>767</v>
      </c>
      <c r="E531" s="185" t="s">
        <v>669</v>
      </c>
      <c r="F531" s="173" t="s">
        <v>827</v>
      </c>
      <c r="N531" s="264" t="s">
        <v>40</v>
      </c>
      <c r="O531" s="193">
        <f>(O389+O393)*Daten_ALLG!$D$284</f>
        <v>64.766204434040134</v>
      </c>
      <c r="P531" s="194">
        <f>(P389+P393)*Daten_ALLG!$D$284</f>
        <v>64.766204434040134</v>
      </c>
    </row>
    <row r="532" spans="1:19" hidden="1" outlineLevel="2" x14ac:dyDescent="0.25">
      <c r="B532" s="174" t="s">
        <v>44</v>
      </c>
      <c r="E532" s="185" t="s">
        <v>669</v>
      </c>
      <c r="O532" s="180">
        <f>O526+O527-O529-O528-O530-O531</f>
        <v>3284.3255756056456</v>
      </c>
      <c r="P532" s="181">
        <f>P526+P527-P529-P528-P530-P531</f>
        <v>3284.3255756056456</v>
      </c>
      <c r="R532" s="178">
        <f>O532/Daten_EZFH!$D$16</f>
        <v>23.1969143954828</v>
      </c>
    </row>
    <row r="533" spans="1:19" s="159" customFormat="1" ht="14.25" customHeight="1" collapsed="1" x14ac:dyDescent="0.25">
      <c r="A533" s="156" t="s">
        <v>36</v>
      </c>
      <c r="B533" s="157"/>
      <c r="C533" s="157"/>
      <c r="D533" s="158"/>
      <c r="O533" s="160"/>
      <c r="P533" s="161"/>
      <c r="R533" s="160"/>
      <c r="S533" s="161"/>
    </row>
    <row r="534" spans="1:19" s="162" customFormat="1" hidden="1" outlineLevel="2" x14ac:dyDescent="0.25">
      <c r="B534" s="163" t="s">
        <v>16</v>
      </c>
      <c r="O534" s="164"/>
      <c r="P534" s="165"/>
      <c r="R534" s="164"/>
      <c r="S534" s="165"/>
    </row>
    <row r="535" spans="1:19" s="170" customFormat="1" hidden="1" outlineLevel="2" x14ac:dyDescent="0.25">
      <c r="A535" s="166"/>
      <c r="B535" s="167"/>
      <c r="C535" s="166"/>
      <c r="D535" s="166"/>
      <c r="E535" s="166"/>
      <c r="F535" s="166"/>
      <c r="G535" s="166"/>
      <c r="H535" s="166"/>
      <c r="J535" s="166"/>
      <c r="K535" s="166"/>
      <c r="L535" s="166"/>
      <c r="M535" s="166"/>
      <c r="N535" s="166"/>
      <c r="O535" s="171"/>
      <c r="P535" s="172"/>
      <c r="R535" s="168" t="s">
        <v>644</v>
      </c>
      <c r="S535" s="169" t="s">
        <v>32</v>
      </c>
    </row>
    <row r="536" spans="1:19" hidden="1" outlineLevel="2" x14ac:dyDescent="0.25">
      <c r="B536" s="174" t="s">
        <v>653</v>
      </c>
      <c r="E536" s="185" t="s">
        <v>654</v>
      </c>
      <c r="F536" s="223">
        <f>IF($R$41&gt;0,1,0)</f>
        <v>0</v>
      </c>
      <c r="R536" s="295"/>
      <c r="S536" s="296"/>
    </row>
    <row r="537" spans="1:19" hidden="1" outlineLevel="2" x14ac:dyDescent="0.25">
      <c r="B537" s="174" t="s">
        <v>638</v>
      </c>
      <c r="E537" s="185" t="s">
        <v>637</v>
      </c>
      <c r="R537" s="297">
        <f>Daten_ALLG!$H$216</f>
        <v>60</v>
      </c>
      <c r="S537" s="298">
        <f>Daten_ALLG!$D$216+Daten_ALLG!$F$216*R41</f>
        <v>90</v>
      </c>
    </row>
    <row r="538" spans="1:19" hidden="1" outlineLevel="2" x14ac:dyDescent="0.25">
      <c r="B538" s="174" t="s">
        <v>639</v>
      </c>
      <c r="E538" s="185" t="s">
        <v>77</v>
      </c>
      <c r="R538" s="299">
        <f>R537*S42*F536</f>
        <v>0</v>
      </c>
      <c r="S538" s="300">
        <f>S537*R42*F536</f>
        <v>0</v>
      </c>
    </row>
    <row r="539" spans="1:19" hidden="1" outlineLevel="2" x14ac:dyDescent="0.25">
      <c r="B539" s="174" t="s">
        <v>640</v>
      </c>
      <c r="E539" s="185" t="s">
        <v>77</v>
      </c>
      <c r="R539" s="301">
        <f>R538*Daten_ALLG!$D$246</f>
        <v>0</v>
      </c>
      <c r="S539" s="302">
        <f>S538*Daten_ALLG!$D$246</f>
        <v>0</v>
      </c>
    </row>
    <row r="540" spans="1:19" hidden="1" outlineLevel="2" x14ac:dyDescent="0.25">
      <c r="B540" s="174" t="s">
        <v>641</v>
      </c>
      <c r="E540" s="185" t="s">
        <v>77</v>
      </c>
      <c r="R540" s="301">
        <f>R539*Daten_ALLG!$D$250</f>
        <v>0</v>
      </c>
      <c r="S540" s="302">
        <f>S539*Daten_ALLG!$D$250</f>
        <v>0</v>
      </c>
    </row>
    <row r="541" spans="1:19" s="162" customFormat="1" hidden="1" outlineLevel="2" x14ac:dyDescent="0.25">
      <c r="B541" s="163" t="s">
        <v>12</v>
      </c>
      <c r="O541" s="164"/>
      <c r="P541" s="165"/>
      <c r="R541" s="164"/>
      <c r="S541" s="165"/>
    </row>
    <row r="542" spans="1:19" s="170" customFormat="1" hidden="1" outlineLevel="2" x14ac:dyDescent="0.25">
      <c r="A542" s="166"/>
      <c r="B542" s="167"/>
      <c r="C542" s="166"/>
      <c r="D542" s="166"/>
      <c r="E542" s="166"/>
      <c r="F542" s="166"/>
      <c r="G542" s="166"/>
      <c r="H542" s="166"/>
      <c r="J542" s="166"/>
      <c r="K542" s="166"/>
      <c r="L542" s="166"/>
      <c r="M542" s="166"/>
      <c r="N542" s="166"/>
      <c r="O542" s="171"/>
      <c r="P542" s="172"/>
      <c r="R542" s="168" t="s">
        <v>644</v>
      </c>
      <c r="S542" s="169" t="s">
        <v>32</v>
      </c>
    </row>
    <row r="543" spans="1:19" hidden="1" outlineLevel="2" x14ac:dyDescent="0.25">
      <c r="B543" s="174" t="s">
        <v>653</v>
      </c>
      <c r="E543" s="185" t="s">
        <v>654</v>
      </c>
      <c r="F543" s="223">
        <f>IF($O$58-$P$58&lt;&gt;0,1,0)</f>
        <v>0</v>
      </c>
      <c r="R543" s="295"/>
      <c r="S543" s="296"/>
    </row>
    <row r="544" spans="1:19" hidden="1" outlineLevel="2" x14ac:dyDescent="0.25">
      <c r="B544" s="174" t="s">
        <v>638</v>
      </c>
      <c r="E544" s="185" t="s">
        <v>637</v>
      </c>
      <c r="R544" s="297">
        <f>Daten_ALLG!$H$219</f>
        <v>389</v>
      </c>
      <c r="S544" s="298">
        <f>Daten_ALLG!$D$219</f>
        <v>537</v>
      </c>
    </row>
    <row r="545" spans="1:19" hidden="1" outlineLevel="2" x14ac:dyDescent="0.25">
      <c r="B545" s="174" t="s">
        <v>639</v>
      </c>
      <c r="E545" s="185" t="s">
        <v>77</v>
      </c>
      <c r="R545" s="299">
        <f>R544*S59*F543</f>
        <v>0</v>
      </c>
      <c r="S545" s="300">
        <f>S544*R59*F543</f>
        <v>0</v>
      </c>
    </row>
    <row r="546" spans="1:19" hidden="1" outlineLevel="2" x14ac:dyDescent="0.25">
      <c r="B546" s="174" t="s">
        <v>640</v>
      </c>
      <c r="E546" s="185" t="s">
        <v>77</v>
      </c>
      <c r="R546" s="301">
        <f>R545*Daten_ALLG!$D$246</f>
        <v>0</v>
      </c>
      <c r="S546" s="302">
        <f>S545*Daten_ALLG!$D$246</f>
        <v>0</v>
      </c>
    </row>
    <row r="547" spans="1:19" hidden="1" outlineLevel="2" x14ac:dyDescent="0.25">
      <c r="B547" s="174" t="s">
        <v>641</v>
      </c>
      <c r="E547" s="185" t="s">
        <v>77</v>
      </c>
      <c r="R547" s="301">
        <f>R546*Daten_ALLG!$D$257</f>
        <v>0</v>
      </c>
      <c r="S547" s="302">
        <f>S546*Daten_ALLG!$D$257</f>
        <v>0</v>
      </c>
    </row>
    <row r="548" spans="1:19" s="162" customFormat="1" hidden="1" outlineLevel="2" x14ac:dyDescent="0.25">
      <c r="B548" s="163" t="s">
        <v>642</v>
      </c>
      <c r="O548" s="164"/>
      <c r="P548" s="165"/>
      <c r="R548" s="164"/>
      <c r="S548" s="165"/>
    </row>
    <row r="549" spans="1:19" s="170" customFormat="1" hidden="1" outlineLevel="2" x14ac:dyDescent="0.25">
      <c r="A549" s="166"/>
      <c r="B549" s="167"/>
      <c r="C549" s="166"/>
      <c r="D549" s="166"/>
      <c r="E549" s="166"/>
      <c r="F549" s="166" t="s">
        <v>17</v>
      </c>
      <c r="H549" s="166" t="s">
        <v>29</v>
      </c>
      <c r="J549" s="166"/>
      <c r="K549" s="166"/>
      <c r="L549" s="166"/>
      <c r="M549" s="166"/>
      <c r="N549" s="166"/>
      <c r="O549" s="171"/>
      <c r="P549" s="172"/>
      <c r="R549" s="168" t="s">
        <v>644</v>
      </c>
      <c r="S549" s="169" t="s">
        <v>32</v>
      </c>
    </row>
    <row r="550" spans="1:19" hidden="1" outlineLevel="2" x14ac:dyDescent="0.25">
      <c r="B550" s="174" t="s">
        <v>653</v>
      </c>
      <c r="E550" s="185" t="s">
        <v>654</v>
      </c>
      <c r="F550" s="223">
        <f>IF($R$46&gt;0,1,0)</f>
        <v>0</v>
      </c>
      <c r="R550" s="295"/>
      <c r="S550" s="296"/>
    </row>
    <row r="551" spans="1:19" hidden="1" outlineLevel="2" x14ac:dyDescent="0.25">
      <c r="B551" s="174" t="s">
        <v>157</v>
      </c>
      <c r="E551" s="185" t="s">
        <v>13</v>
      </c>
      <c r="F551" s="191">
        <f>Daten_EZFH!$D$58</f>
        <v>0.53012048192771088</v>
      </c>
      <c r="H551" s="191">
        <f>Daten_EZFH!$D$59</f>
        <v>0.46987951807228917</v>
      </c>
    </row>
    <row r="552" spans="1:19" hidden="1" outlineLevel="2" x14ac:dyDescent="0.25">
      <c r="B552" s="174" t="s">
        <v>638</v>
      </c>
      <c r="E552" s="185" t="s">
        <v>637</v>
      </c>
      <c r="F552" s="223">
        <f>Daten_ALLG!$H$218</f>
        <v>125</v>
      </c>
      <c r="G552" s="214">
        <f>Daten_ALLG!$D$218+Daten_ALLG!$F$218*R46</f>
        <v>155</v>
      </c>
      <c r="H552" s="223">
        <v>0</v>
      </c>
      <c r="I552" s="223">
        <f>Daten_ALLG!$D$221+Daten_ALLG!$F$221*Bil_EZFH_oQS!R46</f>
        <v>30</v>
      </c>
      <c r="R552" s="297">
        <f t="shared" ref="R552:S552" si="29">$F$551*F552+$H$551*H552</f>
        <v>66.265060240963862</v>
      </c>
      <c r="S552" s="298">
        <f t="shared" si="29"/>
        <v>96.265060240963862</v>
      </c>
    </row>
    <row r="553" spans="1:19" hidden="1" outlineLevel="2" x14ac:dyDescent="0.25">
      <c r="B553" s="174" t="s">
        <v>639</v>
      </c>
      <c r="E553" s="185" t="s">
        <v>77</v>
      </c>
      <c r="F553" s="214">
        <f>F552*S47</f>
        <v>0</v>
      </c>
      <c r="G553" s="214">
        <f>G552*R47</f>
        <v>0</v>
      </c>
      <c r="H553" s="214">
        <f>H552*S47</f>
        <v>0</v>
      </c>
      <c r="I553" s="214">
        <f>I552*R47</f>
        <v>0</v>
      </c>
      <c r="R553" s="299">
        <f>($F$551*F553+$H$551*H553)*F550</f>
        <v>0</v>
      </c>
      <c r="S553" s="300">
        <f>($F$551*G553+$H$551*I553)*F550</f>
        <v>0</v>
      </c>
    </row>
    <row r="554" spans="1:19" hidden="1" outlineLevel="2" x14ac:dyDescent="0.25">
      <c r="B554" s="174" t="s">
        <v>640</v>
      </c>
      <c r="E554" s="185" t="s">
        <v>77</v>
      </c>
      <c r="F554" s="214">
        <f>F553*Daten_ALLG!$D$246</f>
        <v>0</v>
      </c>
      <c r="G554" s="214">
        <f>G553*Daten_ALLG!$D$246</f>
        <v>0</v>
      </c>
      <c r="H554" s="214">
        <f>H553*Daten_ALLG!$D$246</f>
        <v>0</v>
      </c>
      <c r="I554" s="214">
        <f>I553*Daten_ALLG!$D$246</f>
        <v>0</v>
      </c>
      <c r="R554" s="301">
        <f>($F$551*F554+$H$551*H554)*F550</f>
        <v>0</v>
      </c>
      <c r="S554" s="302">
        <f>($F$551*G554+$H$551*I554)*F550</f>
        <v>0</v>
      </c>
    </row>
    <row r="555" spans="1:19" hidden="1" outlineLevel="2" x14ac:dyDescent="0.25">
      <c r="B555" s="174" t="s">
        <v>641</v>
      </c>
      <c r="E555" s="185" t="s">
        <v>77</v>
      </c>
      <c r="F555" s="214">
        <f>F554*Daten_ALLG!$D$254</f>
        <v>0</v>
      </c>
      <c r="G555" s="214">
        <f>G554*Daten_ALLG!$D$254</f>
        <v>0</v>
      </c>
      <c r="H555" s="214">
        <f>H554*Daten_ALLG!$D$263</f>
        <v>0</v>
      </c>
      <c r="I555" s="214">
        <f>I554*Daten_ALLG!$D$263</f>
        <v>0</v>
      </c>
      <c r="R555" s="301">
        <f>($F$551*F555+$H$551*H555)*F550</f>
        <v>0</v>
      </c>
      <c r="S555" s="302">
        <f>($F$551*G555+$H$551*I555)*F550</f>
        <v>0</v>
      </c>
    </row>
    <row r="556" spans="1:19" s="162" customFormat="1" hidden="1" outlineLevel="2" x14ac:dyDescent="0.25">
      <c r="B556" s="163" t="s">
        <v>645</v>
      </c>
      <c r="O556" s="164"/>
      <c r="P556" s="165"/>
      <c r="R556" s="164"/>
      <c r="S556" s="165"/>
    </row>
    <row r="557" spans="1:19" s="170" customFormat="1" hidden="1" outlineLevel="2" x14ac:dyDescent="0.25">
      <c r="A557" s="166"/>
      <c r="B557" s="167"/>
      <c r="C557" s="166"/>
      <c r="D557" s="166"/>
      <c r="E557" s="166"/>
      <c r="F557" s="166" t="s">
        <v>18</v>
      </c>
      <c r="H557" s="166" t="s">
        <v>19</v>
      </c>
      <c r="J557" s="166"/>
      <c r="K557" s="166"/>
      <c r="L557" s="166"/>
      <c r="M557" s="166"/>
      <c r="N557" s="166"/>
      <c r="O557" s="171"/>
      <c r="P557" s="172"/>
      <c r="R557" s="168" t="s">
        <v>644</v>
      </c>
      <c r="S557" s="169" t="s">
        <v>32</v>
      </c>
    </row>
    <row r="558" spans="1:19" hidden="1" outlineLevel="2" x14ac:dyDescent="0.25">
      <c r="B558" s="174" t="s">
        <v>653</v>
      </c>
      <c r="E558" s="185" t="s">
        <v>654</v>
      </c>
      <c r="F558" s="223">
        <f>IF($R$52&gt;0,1,0)</f>
        <v>0</v>
      </c>
      <c r="R558" s="295"/>
      <c r="S558" s="296"/>
    </row>
    <row r="559" spans="1:19" hidden="1" outlineLevel="2" x14ac:dyDescent="0.25">
      <c r="B559" s="174" t="s">
        <v>157</v>
      </c>
      <c r="E559" s="185" t="s">
        <v>13</v>
      </c>
      <c r="F559" s="191">
        <f>Daten_EZFH!$D$61</f>
        <v>0.515625</v>
      </c>
      <c r="H559" s="191">
        <f>Daten_EZFH!$D$60</f>
        <v>0.484375</v>
      </c>
    </row>
    <row r="560" spans="1:19" hidden="1" outlineLevel="2" x14ac:dyDescent="0.25">
      <c r="B560" s="174" t="s">
        <v>638</v>
      </c>
      <c r="E560" s="185" t="s">
        <v>637</v>
      </c>
      <c r="F560" s="223">
        <v>0</v>
      </c>
      <c r="G560" s="214">
        <f>Daten_ALLG!$D$220+Daten_ALLG!$F$220*R52</f>
        <v>45</v>
      </c>
      <c r="H560" s="223">
        <v>0</v>
      </c>
      <c r="I560" s="223">
        <f>Daten_ALLG!$D$217+Daten_ALLG!$F$217*R52</f>
        <v>100</v>
      </c>
      <c r="R560" s="297">
        <f>($F$559*F560+$H$559*H560)*F558</f>
        <v>0</v>
      </c>
      <c r="S560" s="298">
        <f>($F$559*G560+$H$559*I560)*F558</f>
        <v>0</v>
      </c>
    </row>
    <row r="561" spans="1:19" hidden="1" outlineLevel="2" x14ac:dyDescent="0.25">
      <c r="B561" s="174" t="s">
        <v>639</v>
      </c>
      <c r="E561" s="185" t="s">
        <v>77</v>
      </c>
      <c r="F561" s="214">
        <f>F560*S53</f>
        <v>0</v>
      </c>
      <c r="G561" s="214">
        <f>G560*R53</f>
        <v>0</v>
      </c>
      <c r="H561" s="214">
        <f>H560*S53</f>
        <v>0</v>
      </c>
      <c r="I561" s="214">
        <f>I560*R53</f>
        <v>0</v>
      </c>
      <c r="R561" s="299">
        <f>($F$559*F561+$H$559*H561)*F558</f>
        <v>0</v>
      </c>
      <c r="S561" s="300">
        <f>($F$559*G561+$H$559*I561)*F558</f>
        <v>0</v>
      </c>
    </row>
    <row r="562" spans="1:19" hidden="1" outlineLevel="2" x14ac:dyDescent="0.25">
      <c r="B562" s="174" t="s">
        <v>640</v>
      </c>
      <c r="E562" s="185" t="s">
        <v>77</v>
      </c>
      <c r="F562" s="214">
        <f>F561*Daten_ALLG!$D$246</f>
        <v>0</v>
      </c>
      <c r="G562" s="214">
        <f>G561*Daten_ALLG!$D$246</f>
        <v>0</v>
      </c>
      <c r="H562" s="214">
        <f>H561*Daten_ALLG!$D$246</f>
        <v>0</v>
      </c>
      <c r="I562" s="214">
        <f>I561*Daten_ALLG!$D$246</f>
        <v>0</v>
      </c>
      <c r="R562" s="301">
        <f>($F$559*F562+$H$559*H562)*F558</f>
        <v>0</v>
      </c>
      <c r="S562" s="302">
        <f>($F$559*G562+$H$559*I562)*F558</f>
        <v>0</v>
      </c>
    </row>
    <row r="563" spans="1:19" hidden="1" outlineLevel="2" x14ac:dyDescent="0.25">
      <c r="B563" s="174" t="s">
        <v>641</v>
      </c>
      <c r="E563" s="185" t="s">
        <v>77</v>
      </c>
      <c r="F563" s="214">
        <f>F562*Daten_ALLG!$D$260</f>
        <v>0</v>
      </c>
      <c r="G563" s="214">
        <f>G562*Daten_ALLG!$D$260</f>
        <v>0</v>
      </c>
      <c r="H563" s="214">
        <f>H562*Daten_ALLG!$D$263</f>
        <v>0</v>
      </c>
      <c r="I563" s="214">
        <f>I562*Daten_ALLG!$D$263</f>
        <v>0</v>
      </c>
      <c r="R563" s="301">
        <f>($F$559*F563+$H$559*H563)*F558</f>
        <v>0</v>
      </c>
      <c r="S563" s="302">
        <f>($F$559*G563+$H$559*I563)*F558</f>
        <v>0</v>
      </c>
    </row>
    <row r="564" spans="1:19" s="162" customFormat="1" hidden="1" outlineLevel="2" x14ac:dyDescent="0.25">
      <c r="B564" s="163" t="s">
        <v>643</v>
      </c>
      <c r="O564" s="164"/>
      <c r="P564" s="165"/>
      <c r="R564" s="164"/>
      <c r="S564" s="165"/>
    </row>
    <row r="565" spans="1:19" s="170" customFormat="1" hidden="1" outlineLevel="2" x14ac:dyDescent="0.25">
      <c r="A565" s="166"/>
      <c r="B565" s="167"/>
      <c r="C565" s="166"/>
      <c r="D565" s="166"/>
      <c r="E565" s="166"/>
      <c r="F565" s="166"/>
      <c r="G565" s="166"/>
      <c r="H565" s="166"/>
      <c r="J565" s="166"/>
      <c r="K565" s="166"/>
      <c r="L565" s="166"/>
      <c r="M565" s="166"/>
      <c r="N565" s="166"/>
      <c r="O565" s="171"/>
      <c r="P565" s="172"/>
      <c r="R565" s="168" t="s">
        <v>644</v>
      </c>
      <c r="S565" s="169" t="s">
        <v>32</v>
      </c>
    </row>
    <row r="566" spans="1:19" hidden="1" outlineLevel="2" x14ac:dyDescent="0.25">
      <c r="B566" s="174" t="s">
        <v>638</v>
      </c>
      <c r="E566" s="185" t="s">
        <v>637</v>
      </c>
      <c r="R566" s="297">
        <v>0</v>
      </c>
      <c r="S566" s="298">
        <f>Daten_ALLG!$D$235</f>
        <v>75</v>
      </c>
    </row>
    <row r="567" spans="1:19" hidden="1" outlineLevel="2" x14ac:dyDescent="0.25">
      <c r="B567" s="174" t="s">
        <v>639</v>
      </c>
      <c r="E567" s="185" t="s">
        <v>77</v>
      </c>
      <c r="R567" s="299">
        <v>0</v>
      </c>
      <c r="S567" s="300">
        <f>S566*R88</f>
        <v>0</v>
      </c>
    </row>
    <row r="568" spans="1:19" hidden="1" outlineLevel="2" x14ac:dyDescent="0.25">
      <c r="B568" s="174" t="s">
        <v>640</v>
      </c>
      <c r="E568" s="185" t="s">
        <v>77</v>
      </c>
      <c r="R568" s="301">
        <v>0</v>
      </c>
      <c r="S568" s="302">
        <f>S567*Daten_ALLG!$D$246</f>
        <v>0</v>
      </c>
    </row>
    <row r="569" spans="1:19" hidden="1" outlineLevel="2" x14ac:dyDescent="0.25">
      <c r="B569" s="174" t="s">
        <v>641</v>
      </c>
      <c r="E569" s="185" t="s">
        <v>77</v>
      </c>
      <c r="R569" s="301">
        <v>0</v>
      </c>
      <c r="S569" s="302">
        <f>S568*Daten_ALLG!$D$268</f>
        <v>0</v>
      </c>
    </row>
    <row r="570" spans="1:19" s="162" customFormat="1" hidden="1" outlineLevel="2" x14ac:dyDescent="0.25">
      <c r="B570" s="163" t="s">
        <v>9</v>
      </c>
      <c r="O570" s="164"/>
      <c r="P570" s="165"/>
      <c r="R570" s="164"/>
      <c r="S570" s="165"/>
    </row>
    <row r="571" spans="1:19" s="170" customFormat="1" hidden="1" outlineLevel="2" x14ac:dyDescent="0.25">
      <c r="A571" s="166"/>
      <c r="B571" s="167"/>
      <c r="C571" s="166"/>
      <c r="D571" s="166"/>
      <c r="E571" s="166"/>
      <c r="F571" s="166"/>
      <c r="G571" s="166"/>
      <c r="H571" s="166"/>
      <c r="J571" s="166"/>
      <c r="K571" s="166"/>
      <c r="L571" s="166"/>
      <c r="M571" s="166"/>
      <c r="N571" s="166"/>
      <c r="O571" s="171"/>
      <c r="P571" s="172"/>
      <c r="R571" s="168" t="s">
        <v>644</v>
      </c>
      <c r="S571" s="169" t="s">
        <v>32</v>
      </c>
    </row>
    <row r="572" spans="1:19" hidden="1" outlineLevel="2" x14ac:dyDescent="0.25">
      <c r="B572" s="174" t="s">
        <v>638</v>
      </c>
      <c r="E572" s="185" t="s">
        <v>646</v>
      </c>
      <c r="R572" s="297">
        <v>0</v>
      </c>
      <c r="S572" s="298">
        <f>Daten_ALLG!$D$236</f>
        <v>1200</v>
      </c>
    </row>
    <row r="573" spans="1:19" hidden="1" outlineLevel="2" x14ac:dyDescent="0.25">
      <c r="B573" s="174" t="s">
        <v>639</v>
      </c>
      <c r="E573" s="185" t="s">
        <v>77</v>
      </c>
      <c r="R573" s="299">
        <v>0</v>
      </c>
      <c r="S573" s="300">
        <f>S572*R357</f>
        <v>0</v>
      </c>
    </row>
    <row r="574" spans="1:19" hidden="1" outlineLevel="2" x14ac:dyDescent="0.25">
      <c r="B574" s="174" t="s">
        <v>640</v>
      </c>
      <c r="E574" s="185" t="s">
        <v>77</v>
      </c>
      <c r="R574" s="301">
        <v>0</v>
      </c>
      <c r="S574" s="302">
        <f>S573*Daten_ALLG!$D$246</f>
        <v>0</v>
      </c>
    </row>
    <row r="575" spans="1:19" hidden="1" outlineLevel="2" x14ac:dyDescent="0.25">
      <c r="B575" s="174" t="s">
        <v>641</v>
      </c>
      <c r="E575" s="185" t="s">
        <v>77</v>
      </c>
      <c r="R575" s="301">
        <v>0</v>
      </c>
      <c r="S575" s="302">
        <f>S574*Daten_ALLG!$D$265</f>
        <v>0</v>
      </c>
    </row>
    <row r="576" spans="1:19" s="162" customFormat="1" hidden="1" outlineLevel="2" x14ac:dyDescent="0.25">
      <c r="B576" s="163" t="s">
        <v>649</v>
      </c>
      <c r="O576" s="164"/>
      <c r="P576" s="165"/>
      <c r="R576" s="164"/>
      <c r="S576" s="165"/>
    </row>
    <row r="577" spans="1:19" s="170" customFormat="1" hidden="1" outlineLevel="2" x14ac:dyDescent="0.25">
      <c r="A577" s="166"/>
      <c r="B577" s="167"/>
      <c r="C577" s="166"/>
      <c r="D577" s="166"/>
      <c r="E577" s="166"/>
      <c r="F577" s="166"/>
      <c r="G577" s="166"/>
      <c r="H577" s="166"/>
      <c r="J577" s="166"/>
      <c r="K577" s="166"/>
      <c r="L577" s="166"/>
      <c r="M577" s="166"/>
      <c r="N577" s="166"/>
      <c r="O577" s="171"/>
      <c r="P577" s="172"/>
      <c r="R577" s="168" t="s">
        <v>644</v>
      </c>
      <c r="S577" s="169" t="s">
        <v>32</v>
      </c>
    </row>
    <row r="578" spans="1:19" hidden="1" outlineLevel="2" x14ac:dyDescent="0.25">
      <c r="B578" s="174" t="s">
        <v>638</v>
      </c>
      <c r="E578" s="185" t="s">
        <v>637</v>
      </c>
      <c r="R578" s="297">
        <v>0</v>
      </c>
      <c r="S578" s="298">
        <f>Daten_ALLG!$D$237</f>
        <v>900</v>
      </c>
    </row>
    <row r="579" spans="1:19" hidden="1" outlineLevel="2" x14ac:dyDescent="0.25">
      <c r="B579" s="174" t="s">
        <v>639</v>
      </c>
      <c r="E579" s="185" t="s">
        <v>77</v>
      </c>
      <c r="R579" s="299">
        <v>0</v>
      </c>
      <c r="S579" s="300">
        <f>S578*R352</f>
        <v>0</v>
      </c>
    </row>
    <row r="580" spans="1:19" hidden="1" outlineLevel="2" x14ac:dyDescent="0.25">
      <c r="B580" s="174" t="s">
        <v>640</v>
      </c>
      <c r="E580" s="185" t="s">
        <v>77</v>
      </c>
      <c r="R580" s="301">
        <v>0</v>
      </c>
      <c r="S580" s="302">
        <f>S579*Daten_ALLG!$D$246</f>
        <v>0</v>
      </c>
    </row>
    <row r="581" spans="1:19" hidden="1" outlineLevel="2" x14ac:dyDescent="0.25">
      <c r="B581" s="174" t="s">
        <v>641</v>
      </c>
      <c r="E581" s="185" t="s">
        <v>77</v>
      </c>
      <c r="R581" s="301">
        <v>0</v>
      </c>
      <c r="S581" s="302">
        <f>S580*Daten_ALLG!$D$266</f>
        <v>0</v>
      </c>
    </row>
    <row r="582" spans="1:19" s="162" customFormat="1" hidden="1" outlineLevel="2" x14ac:dyDescent="0.25">
      <c r="B582" s="163" t="s">
        <v>647</v>
      </c>
      <c r="O582" s="164"/>
      <c r="P582" s="165"/>
      <c r="R582" s="164"/>
      <c r="S582" s="165"/>
    </row>
    <row r="583" spans="1:19" s="170" customFormat="1" hidden="1" outlineLevel="2" x14ac:dyDescent="0.25">
      <c r="A583" s="166"/>
      <c r="B583" s="167"/>
      <c r="C583" s="166"/>
      <c r="D583" s="166"/>
      <c r="E583" s="166"/>
      <c r="F583" s="166"/>
      <c r="G583" s="166"/>
      <c r="H583" s="166"/>
      <c r="J583" s="166"/>
      <c r="K583" s="166"/>
      <c r="L583" s="166"/>
      <c r="M583" s="166"/>
      <c r="N583" s="166"/>
      <c r="O583" s="171"/>
      <c r="P583" s="172"/>
      <c r="R583" s="168" t="s">
        <v>644</v>
      </c>
      <c r="S583" s="169" t="s">
        <v>32</v>
      </c>
    </row>
    <row r="584" spans="1:19" hidden="1" outlineLevel="2" x14ac:dyDescent="0.25">
      <c r="B584" s="174" t="s">
        <v>444</v>
      </c>
      <c r="E584" s="185" t="s">
        <v>427</v>
      </c>
      <c r="R584" s="297">
        <v>0</v>
      </c>
      <c r="S584" s="298">
        <f>R331</f>
        <v>0</v>
      </c>
    </row>
    <row r="585" spans="1:19" hidden="1" outlineLevel="2" x14ac:dyDescent="0.25">
      <c r="B585" s="174" t="s">
        <v>639</v>
      </c>
      <c r="E585" s="185" t="s">
        <v>77</v>
      </c>
      <c r="R585" s="299">
        <v>0</v>
      </c>
      <c r="S585" s="300">
        <f>IF(S584=0,0,S584*Daten_ALLG!$D$239+Daten_ALLG!$F$239)</f>
        <v>0</v>
      </c>
    </row>
    <row r="586" spans="1:19" hidden="1" outlineLevel="2" x14ac:dyDescent="0.25">
      <c r="B586" s="174" t="s">
        <v>640</v>
      </c>
      <c r="E586" s="185" t="s">
        <v>77</v>
      </c>
      <c r="R586" s="301">
        <v>0</v>
      </c>
      <c r="S586" s="302">
        <f>S585*Daten_ALLG!$D$246</f>
        <v>0</v>
      </c>
    </row>
    <row r="587" spans="1:19" hidden="1" outlineLevel="2" x14ac:dyDescent="0.25">
      <c r="B587" s="174" t="s">
        <v>641</v>
      </c>
      <c r="E587" s="185" t="s">
        <v>77</v>
      </c>
      <c r="R587" s="301">
        <v>0</v>
      </c>
      <c r="S587" s="302">
        <f>S586*Daten_ALLG!$D$267</f>
        <v>0</v>
      </c>
    </row>
    <row r="588" spans="1:19" s="162" customFormat="1" hidden="1" outlineLevel="2" x14ac:dyDescent="0.25">
      <c r="B588" s="163" t="s">
        <v>648</v>
      </c>
      <c r="O588" s="164"/>
      <c r="P588" s="165"/>
      <c r="R588" s="164"/>
      <c r="S588" s="165"/>
    </row>
    <row r="589" spans="1:19" s="170" customFormat="1" hidden="1" outlineLevel="2" x14ac:dyDescent="0.25">
      <c r="A589" s="166"/>
      <c r="B589" s="167"/>
      <c r="C589" s="166"/>
      <c r="D589" s="166"/>
      <c r="E589" s="166"/>
      <c r="F589" s="166"/>
      <c r="G589" s="166"/>
      <c r="H589" s="166"/>
      <c r="J589" s="166"/>
      <c r="K589" s="166"/>
      <c r="L589" s="166"/>
      <c r="M589" s="166"/>
      <c r="N589" s="166"/>
      <c r="O589" s="171"/>
      <c r="P589" s="172"/>
      <c r="R589" s="168" t="s">
        <v>644</v>
      </c>
      <c r="S589" s="169" t="s">
        <v>32</v>
      </c>
    </row>
    <row r="590" spans="1:19" hidden="1" outlineLevel="2" x14ac:dyDescent="0.25">
      <c r="B590" s="174" t="s">
        <v>444</v>
      </c>
      <c r="E590" s="185" t="s">
        <v>427</v>
      </c>
      <c r="R590" s="297">
        <f>S339</f>
        <v>0</v>
      </c>
      <c r="S590" s="298">
        <f>R339</f>
        <v>0</v>
      </c>
    </row>
    <row r="591" spans="1:19" hidden="1" outlineLevel="2" x14ac:dyDescent="0.25">
      <c r="B591" s="174" t="s">
        <v>639</v>
      </c>
      <c r="E591" s="185" t="s">
        <v>77</v>
      </c>
      <c r="R591" s="299">
        <f>IF(R590=0,0,R590*Daten_ALLG!$D$239+Daten_ALLG!$F$239)</f>
        <v>0</v>
      </c>
      <c r="S591" s="300">
        <f>IF(S590=0,0,S590*Daten_ALLG!$D$239+Daten_ALLG!$F$239)</f>
        <v>0</v>
      </c>
    </row>
    <row r="592" spans="1:19" hidden="1" outlineLevel="2" x14ac:dyDescent="0.25">
      <c r="B592" s="174" t="s">
        <v>640</v>
      </c>
      <c r="E592" s="185" t="s">
        <v>77</v>
      </c>
      <c r="R592" s="301">
        <f>R591*Daten_ALLG!$D$246</f>
        <v>0</v>
      </c>
      <c r="S592" s="302">
        <f>S591*Daten_ALLG!$D$246</f>
        <v>0</v>
      </c>
    </row>
    <row r="593" spans="1:19" hidden="1" outlineLevel="2" x14ac:dyDescent="0.25">
      <c r="B593" s="174" t="s">
        <v>641</v>
      </c>
      <c r="E593" s="185" t="s">
        <v>77</v>
      </c>
      <c r="R593" s="301">
        <f>R592*Daten_ALLG!$D$267</f>
        <v>0</v>
      </c>
      <c r="S593" s="302">
        <f>S592*Daten_ALLG!$D$267</f>
        <v>0</v>
      </c>
    </row>
    <row r="594" spans="1:19" s="162" customFormat="1" hidden="1" outlineLevel="2" x14ac:dyDescent="0.25">
      <c r="B594" s="163" t="s">
        <v>650</v>
      </c>
      <c r="O594" s="164"/>
      <c r="P594" s="165"/>
      <c r="R594" s="164"/>
      <c r="S594" s="165"/>
    </row>
    <row r="595" spans="1:19" s="170" customFormat="1" hidden="1" outlineLevel="2" x14ac:dyDescent="0.25">
      <c r="A595" s="166"/>
      <c r="B595" s="167"/>
      <c r="C595" s="166"/>
      <c r="D595" s="166"/>
      <c r="E595" s="166"/>
      <c r="F595" s="166"/>
      <c r="G595" s="166"/>
      <c r="H595" s="166"/>
      <c r="J595" s="166"/>
      <c r="K595" s="166"/>
      <c r="L595" s="166"/>
      <c r="M595" s="166"/>
      <c r="N595" s="166"/>
      <c r="O595" s="171"/>
      <c r="P595" s="172"/>
      <c r="R595" s="168" t="s">
        <v>644</v>
      </c>
      <c r="S595" s="169" t="s">
        <v>32</v>
      </c>
    </row>
    <row r="596" spans="1:19" hidden="1" outlineLevel="2" x14ac:dyDescent="0.25">
      <c r="B596" s="174" t="s">
        <v>651</v>
      </c>
      <c r="E596" s="185" t="s">
        <v>48</v>
      </c>
      <c r="R596" s="297">
        <v>0</v>
      </c>
      <c r="S596" s="298">
        <f>R306</f>
        <v>0</v>
      </c>
    </row>
    <row r="597" spans="1:19" hidden="1" outlineLevel="2" x14ac:dyDescent="0.25">
      <c r="B597" s="174" t="s">
        <v>639</v>
      </c>
      <c r="E597" s="185" t="s">
        <v>77</v>
      </c>
      <c r="R597" s="299">
        <v>0</v>
      </c>
      <c r="S597" s="300">
        <f>S596*Daten_ALLG!$D$238</f>
        <v>0</v>
      </c>
    </row>
    <row r="598" spans="1:19" hidden="1" outlineLevel="2" x14ac:dyDescent="0.25">
      <c r="B598" s="174" t="s">
        <v>640</v>
      </c>
      <c r="E598" s="185" t="s">
        <v>77</v>
      </c>
      <c r="R598" s="301">
        <f>R597*Daten_ALLG!$D$246</f>
        <v>0</v>
      </c>
      <c r="S598" s="302">
        <f>S597*Daten_ALLG!$D$246</f>
        <v>0</v>
      </c>
    </row>
    <row r="599" spans="1:19" hidden="1" outlineLevel="2" x14ac:dyDescent="0.25">
      <c r="B599" s="174" t="s">
        <v>641</v>
      </c>
      <c r="E599" s="185" t="s">
        <v>77</v>
      </c>
      <c r="R599" s="301">
        <f>R598*Daten_ALLG!$D$267</f>
        <v>0</v>
      </c>
      <c r="S599" s="302">
        <f>S598*Daten_ALLG!$D$255</f>
        <v>0</v>
      </c>
    </row>
    <row r="600" spans="1:19" s="162" customFormat="1" hidden="1" outlineLevel="2" x14ac:dyDescent="0.25">
      <c r="B600" s="163" t="s">
        <v>652</v>
      </c>
      <c r="O600" s="164"/>
      <c r="P600" s="165"/>
      <c r="R600" s="164"/>
      <c r="S600" s="165"/>
    </row>
    <row r="601" spans="1:19" s="170" customFormat="1" hidden="1" outlineLevel="2" x14ac:dyDescent="0.25">
      <c r="A601" s="166"/>
      <c r="B601" s="167"/>
      <c r="C601" s="166"/>
      <c r="D601" s="166"/>
      <c r="E601" s="166"/>
      <c r="F601" s="166"/>
      <c r="G601" s="166"/>
      <c r="H601" s="166"/>
      <c r="J601" s="166"/>
      <c r="K601" s="166"/>
      <c r="L601" s="166"/>
      <c r="M601" s="166"/>
      <c r="N601" s="166"/>
      <c r="O601" s="171"/>
      <c r="P601" s="172"/>
      <c r="R601" s="168" t="s">
        <v>644</v>
      </c>
      <c r="S601" s="169" t="s">
        <v>32</v>
      </c>
    </row>
    <row r="602" spans="1:19" hidden="1" outlineLevel="2" x14ac:dyDescent="0.25">
      <c r="B602" s="174" t="s">
        <v>653</v>
      </c>
      <c r="E602" s="185" t="s">
        <v>654</v>
      </c>
      <c r="F602" s="223">
        <f>IF($L$276="N",1,0)</f>
        <v>0</v>
      </c>
      <c r="R602" s="295"/>
      <c r="S602" s="296"/>
    </row>
    <row r="603" spans="1:19" hidden="1" outlineLevel="2" x14ac:dyDescent="0.25">
      <c r="B603" s="174" t="s">
        <v>51</v>
      </c>
      <c r="E603" s="185" t="s">
        <v>368</v>
      </c>
      <c r="R603" s="297">
        <f>$S$282</f>
        <v>10</v>
      </c>
      <c r="S603" s="303">
        <f>$R$282</f>
        <v>9.8415836644358716</v>
      </c>
    </row>
    <row r="604" spans="1:19" hidden="1" outlineLevel="2" x14ac:dyDescent="0.25">
      <c r="B604" s="174" t="s">
        <v>639</v>
      </c>
      <c r="E604" s="185" t="s">
        <v>77</v>
      </c>
      <c r="R604" s="299">
        <f>Daten_ALLG!$H$224*R603^Daten_ALLG!$J$224*F602</f>
        <v>0</v>
      </c>
      <c r="S604" s="300">
        <f>Daten_ALLG!$D$224*S603^Daten_ALLG!$F$224*F602</f>
        <v>0</v>
      </c>
    </row>
    <row r="605" spans="1:19" hidden="1" outlineLevel="2" x14ac:dyDescent="0.25">
      <c r="B605" s="174" t="s">
        <v>640</v>
      </c>
      <c r="E605" s="185" t="s">
        <v>77</v>
      </c>
      <c r="R605" s="301">
        <f>R604*Daten_ALLG!$D$246</f>
        <v>0</v>
      </c>
      <c r="S605" s="302">
        <f>S604*Daten_ALLG!$D$246</f>
        <v>0</v>
      </c>
    </row>
    <row r="606" spans="1:19" hidden="1" outlineLevel="2" x14ac:dyDescent="0.25">
      <c r="B606" s="174" t="s">
        <v>641</v>
      </c>
      <c r="E606" s="185" t="s">
        <v>77</v>
      </c>
      <c r="R606" s="301">
        <f>R605*Daten_ALLG!$D$258</f>
        <v>0</v>
      </c>
      <c r="S606" s="302">
        <f>S605*Daten_ALLG!$D$251</f>
        <v>0</v>
      </c>
    </row>
    <row r="607" spans="1:19" s="162" customFormat="1" hidden="1" outlineLevel="2" x14ac:dyDescent="0.25">
      <c r="B607" s="163" t="s">
        <v>655</v>
      </c>
      <c r="O607" s="164"/>
      <c r="P607" s="165"/>
      <c r="R607" s="164"/>
      <c r="S607" s="165"/>
    </row>
    <row r="608" spans="1:19" s="170" customFormat="1" hidden="1" outlineLevel="2" x14ac:dyDescent="0.25">
      <c r="A608" s="166"/>
      <c r="B608" s="167"/>
      <c r="C608" s="166"/>
      <c r="D608" s="166"/>
      <c r="E608" s="166"/>
      <c r="F608" s="166"/>
      <c r="G608" s="166"/>
      <c r="H608" s="166"/>
      <c r="J608" s="166"/>
      <c r="K608" s="166"/>
      <c r="L608" s="166"/>
      <c r="M608" s="166"/>
      <c r="N608" s="166"/>
      <c r="O608" s="171"/>
      <c r="P608" s="172"/>
      <c r="R608" s="168" t="s">
        <v>644</v>
      </c>
      <c r="S608" s="169" t="s">
        <v>32</v>
      </c>
    </row>
    <row r="609" spans="1:19" hidden="1" outlineLevel="2" x14ac:dyDescent="0.25">
      <c r="B609" s="174" t="s">
        <v>653</v>
      </c>
      <c r="E609" s="185" t="s">
        <v>654</v>
      </c>
      <c r="F609" s="223">
        <f>IF($M$276="N",1,0)</f>
        <v>0</v>
      </c>
      <c r="R609" s="295"/>
      <c r="S609" s="296"/>
    </row>
    <row r="610" spans="1:19" hidden="1" outlineLevel="2" x14ac:dyDescent="0.25">
      <c r="B610" s="174" t="s">
        <v>51</v>
      </c>
      <c r="E610" s="185" t="s">
        <v>368</v>
      </c>
      <c r="R610" s="297">
        <f>$S$282</f>
        <v>10</v>
      </c>
      <c r="S610" s="303">
        <f>$R$282</f>
        <v>9.8415836644358716</v>
      </c>
    </row>
    <row r="611" spans="1:19" hidden="1" outlineLevel="2" x14ac:dyDescent="0.25">
      <c r="B611" s="174" t="s">
        <v>639</v>
      </c>
      <c r="E611" s="185" t="s">
        <v>77</v>
      </c>
      <c r="R611" s="299">
        <f>Daten_ALLG!$H$225*R610^Daten_ALLG!$J$225*F609</f>
        <v>0</v>
      </c>
      <c r="S611" s="300">
        <f>Daten_ALLG!$D$225*S610^Daten_ALLG!$F$225*F609</f>
        <v>0</v>
      </c>
    </row>
    <row r="612" spans="1:19" hidden="1" outlineLevel="2" x14ac:dyDescent="0.25">
      <c r="B612" s="174" t="s">
        <v>640</v>
      </c>
      <c r="E612" s="185" t="s">
        <v>77</v>
      </c>
      <c r="R612" s="301">
        <f>R611*Daten_ALLG!$D$246</f>
        <v>0</v>
      </c>
      <c r="S612" s="302">
        <f>S611*Daten_ALLG!$D$246</f>
        <v>0</v>
      </c>
    </row>
    <row r="613" spans="1:19" hidden="1" outlineLevel="2" x14ac:dyDescent="0.25">
      <c r="B613" s="174" t="s">
        <v>641</v>
      </c>
      <c r="E613" s="185" t="s">
        <v>77</v>
      </c>
      <c r="R613" s="301">
        <f>R612*Daten_ALLG!$D$258</f>
        <v>0</v>
      </c>
      <c r="S613" s="302">
        <f>S612*Daten_ALLG!$D$256</f>
        <v>0</v>
      </c>
    </row>
    <row r="614" spans="1:19" s="162" customFormat="1" hidden="1" outlineLevel="2" x14ac:dyDescent="0.25">
      <c r="B614" s="163" t="s">
        <v>656</v>
      </c>
      <c r="O614" s="164"/>
      <c r="P614" s="165"/>
      <c r="R614" s="164"/>
      <c r="S614" s="165"/>
    </row>
    <row r="615" spans="1:19" s="170" customFormat="1" hidden="1" outlineLevel="2" x14ac:dyDescent="0.25">
      <c r="A615" s="166"/>
      <c r="B615" s="167"/>
      <c r="C615" s="166"/>
      <c r="D615" s="166"/>
      <c r="E615" s="166"/>
      <c r="F615" s="166"/>
      <c r="G615" s="166"/>
      <c r="H615" s="166"/>
      <c r="J615" s="166"/>
      <c r="K615" s="166"/>
      <c r="L615" s="166"/>
      <c r="M615" s="166"/>
      <c r="N615" s="166"/>
      <c r="O615" s="171"/>
      <c r="P615" s="172"/>
      <c r="R615" s="168" t="s">
        <v>644</v>
      </c>
      <c r="S615" s="169" t="s">
        <v>32</v>
      </c>
    </row>
    <row r="616" spans="1:19" hidden="1" outlineLevel="2" x14ac:dyDescent="0.25">
      <c r="B616" s="174" t="s">
        <v>653</v>
      </c>
      <c r="E616" s="185" t="s">
        <v>654</v>
      </c>
      <c r="F616" s="223">
        <f>IF($J$276="N",1,0)</f>
        <v>0</v>
      </c>
      <c r="R616" s="295"/>
      <c r="S616" s="296"/>
    </row>
    <row r="617" spans="1:19" hidden="1" outlineLevel="2" x14ac:dyDescent="0.25">
      <c r="B617" s="174" t="s">
        <v>51</v>
      </c>
      <c r="E617" s="185" t="s">
        <v>368</v>
      </c>
      <c r="R617" s="297">
        <f>$S$282</f>
        <v>10</v>
      </c>
      <c r="S617" s="303">
        <f>$R$282</f>
        <v>9.8415836644358716</v>
      </c>
    </row>
    <row r="618" spans="1:19" hidden="1" outlineLevel="2" x14ac:dyDescent="0.25">
      <c r="B618" s="174" t="s">
        <v>639</v>
      </c>
      <c r="E618" s="185" t="s">
        <v>77</v>
      </c>
      <c r="R618" s="299">
        <f>Daten_ALLG!$H$229*R617^Daten_ALLG!$J$229*F616</f>
        <v>0</v>
      </c>
      <c r="S618" s="300">
        <f>Daten_ALLG!$D$229*S617^Daten_ALLG!$F$229*F616</f>
        <v>0</v>
      </c>
    </row>
    <row r="619" spans="1:19" hidden="1" outlineLevel="2" x14ac:dyDescent="0.25">
      <c r="B619" s="174" t="s">
        <v>640</v>
      </c>
      <c r="E619" s="185" t="s">
        <v>77</v>
      </c>
      <c r="R619" s="301">
        <f>R618*Daten_ALLG!$D$246</f>
        <v>0</v>
      </c>
      <c r="S619" s="302">
        <f>S618*Daten_ALLG!$D$246</f>
        <v>0</v>
      </c>
    </row>
    <row r="620" spans="1:19" hidden="1" outlineLevel="2" x14ac:dyDescent="0.25">
      <c r="B620" s="174" t="s">
        <v>641</v>
      </c>
      <c r="E620" s="185" t="s">
        <v>77</v>
      </c>
      <c r="R620" s="301">
        <f>R619*Daten_ALLG!$D$258</f>
        <v>0</v>
      </c>
      <c r="S620" s="302">
        <f>S619*Daten_ALLG!$D$262</f>
        <v>0</v>
      </c>
    </row>
    <row r="621" spans="1:19" s="162" customFormat="1" hidden="1" outlineLevel="2" x14ac:dyDescent="0.25">
      <c r="B621" s="163" t="s">
        <v>21</v>
      </c>
      <c r="O621" s="164"/>
      <c r="P621" s="165"/>
      <c r="R621" s="164"/>
      <c r="S621" s="165"/>
    </row>
    <row r="622" spans="1:19" s="170" customFormat="1" hidden="1" outlineLevel="2" x14ac:dyDescent="0.25">
      <c r="A622" s="166"/>
      <c r="B622" s="167"/>
      <c r="C622" s="166"/>
      <c r="D622" s="166"/>
      <c r="E622" s="166"/>
      <c r="F622" s="166"/>
      <c r="G622" s="166"/>
      <c r="H622" s="166"/>
      <c r="J622" s="166"/>
      <c r="K622" s="166"/>
      <c r="L622" s="166"/>
      <c r="M622" s="166"/>
      <c r="N622" s="166"/>
      <c r="O622" s="171"/>
      <c r="P622" s="172"/>
      <c r="R622" s="168" t="s">
        <v>644</v>
      </c>
      <c r="S622" s="169" t="s">
        <v>32</v>
      </c>
    </row>
    <row r="623" spans="1:19" hidden="1" outlineLevel="2" x14ac:dyDescent="0.25">
      <c r="B623" s="174" t="s">
        <v>653</v>
      </c>
      <c r="E623" s="185" t="s">
        <v>654</v>
      </c>
      <c r="F623" s="223">
        <f>IF($E$276="N",1,0)</f>
        <v>0</v>
      </c>
      <c r="R623" s="295"/>
      <c r="S623" s="296"/>
    </row>
    <row r="624" spans="1:19" hidden="1" outlineLevel="2" x14ac:dyDescent="0.25">
      <c r="B624" s="174" t="s">
        <v>51</v>
      </c>
      <c r="E624" s="185" t="s">
        <v>368</v>
      </c>
      <c r="R624" s="297">
        <f>$S$282</f>
        <v>10</v>
      </c>
      <c r="S624" s="303">
        <f>$R$282</f>
        <v>9.8415836644358716</v>
      </c>
    </row>
    <row r="625" spans="1:19" hidden="1" outlineLevel="2" x14ac:dyDescent="0.25">
      <c r="B625" s="174" t="s">
        <v>639</v>
      </c>
      <c r="E625" s="185" t="s">
        <v>77</v>
      </c>
      <c r="R625" s="299">
        <f>Daten_ALLG!$H$227*R624^Daten_ALLG!$J$227*F623</f>
        <v>0</v>
      </c>
      <c r="S625" s="300">
        <f>Daten_ALLG!$D$227*S624^Daten_ALLG!$F$227*F623</f>
        <v>0</v>
      </c>
    </row>
    <row r="626" spans="1:19" hidden="1" outlineLevel="2" x14ac:dyDescent="0.25">
      <c r="B626" s="174" t="s">
        <v>640</v>
      </c>
      <c r="E626" s="185" t="s">
        <v>77</v>
      </c>
      <c r="R626" s="301">
        <f>R625*Daten_ALLG!$D$246</f>
        <v>0</v>
      </c>
      <c r="S626" s="302">
        <f>S625*Daten_ALLG!$D$246</f>
        <v>0</v>
      </c>
    </row>
    <row r="627" spans="1:19" hidden="1" outlineLevel="2" x14ac:dyDescent="0.25">
      <c r="B627" s="174" t="s">
        <v>641</v>
      </c>
      <c r="E627" s="185" t="s">
        <v>77</v>
      </c>
      <c r="R627" s="301">
        <f>R626*Daten_ALLG!$D$258</f>
        <v>0</v>
      </c>
      <c r="S627" s="302">
        <f>S626*Daten_ALLG!$D$259</f>
        <v>0</v>
      </c>
    </row>
    <row r="628" spans="1:19" s="162" customFormat="1" hidden="1" outlineLevel="2" x14ac:dyDescent="0.25">
      <c r="B628" s="163" t="s">
        <v>657</v>
      </c>
      <c r="O628" s="164"/>
      <c r="P628" s="165"/>
      <c r="R628" s="164"/>
      <c r="S628" s="165"/>
    </row>
    <row r="629" spans="1:19" s="170" customFormat="1" hidden="1" outlineLevel="2" x14ac:dyDescent="0.25">
      <c r="A629" s="166"/>
      <c r="B629" s="167"/>
      <c r="C629" s="166"/>
      <c r="D629" s="166"/>
      <c r="E629" s="166"/>
      <c r="F629" s="166"/>
      <c r="G629" s="166"/>
      <c r="H629" s="166"/>
      <c r="J629" s="166"/>
      <c r="K629" s="166"/>
      <c r="L629" s="166"/>
      <c r="M629" s="166"/>
      <c r="N629" s="166"/>
      <c r="O629" s="171"/>
      <c r="P629" s="172"/>
      <c r="R629" s="168" t="s">
        <v>644</v>
      </c>
      <c r="S629" s="169" t="s">
        <v>32</v>
      </c>
    </row>
    <row r="630" spans="1:19" hidden="1" outlineLevel="2" x14ac:dyDescent="0.25">
      <c r="B630" s="174" t="s">
        <v>653</v>
      </c>
      <c r="E630" s="185" t="s">
        <v>654</v>
      </c>
      <c r="F630" s="223">
        <f>IF($H$276="N",1,0)</f>
        <v>0</v>
      </c>
      <c r="R630" s="295"/>
      <c r="S630" s="296"/>
    </row>
    <row r="631" spans="1:19" hidden="1" outlineLevel="2" x14ac:dyDescent="0.25">
      <c r="B631" s="174" t="s">
        <v>51</v>
      </c>
      <c r="E631" s="185" t="s">
        <v>368</v>
      </c>
      <c r="R631" s="297">
        <f>$S$282</f>
        <v>10</v>
      </c>
      <c r="S631" s="303">
        <f>$R$282</f>
        <v>9.8415836644358716</v>
      </c>
    </row>
    <row r="632" spans="1:19" hidden="1" outlineLevel="2" x14ac:dyDescent="0.25">
      <c r="B632" s="174" t="s">
        <v>639</v>
      </c>
      <c r="E632" s="185" t="s">
        <v>77</v>
      </c>
      <c r="R632" s="299">
        <f>Daten_ALLG!$H$226*R631^Daten_ALLG!$J$226*F630</f>
        <v>0</v>
      </c>
      <c r="S632" s="300">
        <f>Daten_ALLG!$D$226*S631^Daten_ALLG!$F$226*F630</f>
        <v>0</v>
      </c>
    </row>
    <row r="633" spans="1:19" hidden="1" outlineLevel="2" x14ac:dyDescent="0.25">
      <c r="B633" s="174" t="s">
        <v>640</v>
      </c>
      <c r="E633" s="185" t="s">
        <v>77</v>
      </c>
      <c r="R633" s="301">
        <f>R632*Daten_ALLG!$D$246</f>
        <v>0</v>
      </c>
      <c r="S633" s="302">
        <f>S632*Daten_ALLG!$D$246</f>
        <v>0</v>
      </c>
    </row>
    <row r="634" spans="1:19" hidden="1" outlineLevel="2" x14ac:dyDescent="0.25">
      <c r="B634" s="174" t="s">
        <v>641</v>
      </c>
      <c r="E634" s="185" t="s">
        <v>77</v>
      </c>
      <c r="R634" s="301">
        <f>R633*Daten_ALLG!$D$258</f>
        <v>0</v>
      </c>
      <c r="S634" s="302">
        <f>S633*Daten_ALLG!$D$258</f>
        <v>0</v>
      </c>
    </row>
    <row r="635" spans="1:19" s="162" customFormat="1" hidden="1" outlineLevel="2" x14ac:dyDescent="0.25">
      <c r="B635" s="163" t="s">
        <v>658</v>
      </c>
      <c r="O635" s="164"/>
      <c r="P635" s="165"/>
      <c r="R635" s="164"/>
      <c r="S635" s="165"/>
    </row>
    <row r="636" spans="1:19" s="170" customFormat="1" hidden="1" outlineLevel="2" x14ac:dyDescent="0.25">
      <c r="A636" s="166"/>
      <c r="B636" s="167"/>
      <c r="C636" s="166"/>
      <c r="D636" s="166"/>
      <c r="E636" s="166"/>
      <c r="F636" s="166"/>
      <c r="G636" s="166"/>
      <c r="H636" s="166"/>
      <c r="J636" s="166"/>
      <c r="K636" s="166"/>
      <c r="L636" s="166"/>
      <c r="M636" s="166"/>
      <c r="N636" s="166"/>
      <c r="O636" s="171"/>
      <c r="P636" s="172"/>
      <c r="R636" s="168" t="s">
        <v>644</v>
      </c>
      <c r="S636" s="169" t="s">
        <v>32</v>
      </c>
    </row>
    <row r="637" spans="1:19" hidden="1" outlineLevel="2" x14ac:dyDescent="0.25">
      <c r="B637" s="174" t="s">
        <v>653</v>
      </c>
      <c r="E637" s="185" t="s">
        <v>654</v>
      </c>
      <c r="F637" s="223">
        <f>IF($I$276="N",1,0)</f>
        <v>0</v>
      </c>
      <c r="R637" s="295"/>
      <c r="S637" s="296"/>
    </row>
    <row r="638" spans="1:19" hidden="1" outlineLevel="2" x14ac:dyDescent="0.25">
      <c r="B638" s="174" t="s">
        <v>51</v>
      </c>
      <c r="E638" s="185" t="s">
        <v>368</v>
      </c>
      <c r="R638" s="297">
        <f>$S$282</f>
        <v>10</v>
      </c>
      <c r="S638" s="303">
        <f>$R$282</f>
        <v>9.8415836644358716</v>
      </c>
    </row>
    <row r="639" spans="1:19" hidden="1" outlineLevel="2" x14ac:dyDescent="0.25">
      <c r="B639" s="174" t="s">
        <v>639</v>
      </c>
      <c r="E639" s="185" t="s">
        <v>77</v>
      </c>
      <c r="R639" s="299">
        <f>Daten_ALLG!$H$228*R638^Daten_ALLG!$J$228*F637</f>
        <v>0</v>
      </c>
      <c r="S639" s="300">
        <f>Daten_ALLG!$D$228*S638^Daten_ALLG!$F$228*F637</f>
        <v>0</v>
      </c>
    </row>
    <row r="640" spans="1:19" hidden="1" outlineLevel="2" x14ac:dyDescent="0.25">
      <c r="B640" s="174" t="s">
        <v>640</v>
      </c>
      <c r="E640" s="185" t="s">
        <v>77</v>
      </c>
      <c r="R640" s="301">
        <f>R639*Daten_ALLG!$D$246</f>
        <v>0</v>
      </c>
      <c r="S640" s="302">
        <f>S639*Daten_ALLG!$D$246</f>
        <v>0</v>
      </c>
    </row>
    <row r="641" spans="1:19" hidden="1" outlineLevel="2" x14ac:dyDescent="0.25">
      <c r="B641" s="174" t="s">
        <v>641</v>
      </c>
      <c r="E641" s="185" t="s">
        <v>77</v>
      </c>
      <c r="R641" s="301">
        <f>R640*Daten_ALLG!$D$258</f>
        <v>0</v>
      </c>
      <c r="S641" s="302">
        <f>S640*Daten_ALLG!$D$264</f>
        <v>0</v>
      </c>
    </row>
    <row r="642" spans="1:19" s="159" customFormat="1" ht="14.25" customHeight="1" collapsed="1" x14ac:dyDescent="0.25">
      <c r="A642" s="156" t="s">
        <v>659</v>
      </c>
      <c r="B642" s="157"/>
      <c r="C642" s="157"/>
      <c r="D642" s="158"/>
      <c r="O642" s="160"/>
      <c r="P642" s="161"/>
      <c r="R642" s="160"/>
      <c r="S642" s="161"/>
    </row>
    <row r="643" spans="1:19" s="162" customFormat="1" hidden="1" outlineLevel="2" x14ac:dyDescent="0.25">
      <c r="B643" s="163" t="s">
        <v>661</v>
      </c>
      <c r="O643" s="164"/>
      <c r="P643" s="165"/>
      <c r="R643" s="164"/>
      <c r="S643" s="165"/>
    </row>
    <row r="644" spans="1:19" s="170" customFormat="1" hidden="1" outlineLevel="2" x14ac:dyDescent="0.25">
      <c r="A644" s="166"/>
      <c r="B644" s="167"/>
      <c r="C644" s="166"/>
      <c r="D644" s="166"/>
      <c r="E644" s="166"/>
      <c r="F644" s="166"/>
      <c r="G644" s="166"/>
      <c r="H644" s="166"/>
      <c r="J644" s="166"/>
      <c r="K644" s="166"/>
      <c r="L644" s="166"/>
      <c r="M644" s="166"/>
      <c r="N644" s="166"/>
      <c r="O644" s="171"/>
      <c r="P644" s="172"/>
      <c r="R644" s="168"/>
      <c r="S644" s="172"/>
    </row>
    <row r="645" spans="1:19" hidden="1" outlineLevel="2" x14ac:dyDescent="0.25">
      <c r="B645" s="174" t="s">
        <v>662</v>
      </c>
      <c r="E645" s="185" t="s">
        <v>38</v>
      </c>
      <c r="F645" s="304">
        <f>Daten_ALLG!$D$272/(1-((1+Daten_ALLG!$D$272)^(-Daten_ALLG!$D$273)))</f>
        <v>4.4649922293402963E-2</v>
      </c>
      <c r="R645" s="305"/>
      <c r="S645" s="306"/>
    </row>
    <row r="646" spans="1:19" s="162" customFormat="1" hidden="1" outlineLevel="2" x14ac:dyDescent="0.25">
      <c r="B646" s="163" t="s">
        <v>666</v>
      </c>
      <c r="O646" s="164"/>
      <c r="P646" s="165"/>
      <c r="R646" s="164"/>
      <c r="S646" s="165"/>
    </row>
    <row r="647" spans="1:19" s="170" customFormat="1" hidden="1" outlineLevel="2" x14ac:dyDescent="0.25">
      <c r="A647" s="166"/>
      <c r="B647" s="167"/>
      <c r="C647" s="166"/>
      <c r="D647" s="166"/>
      <c r="E647" s="166" t="s">
        <v>565</v>
      </c>
      <c r="F647" s="166" t="s">
        <v>665</v>
      </c>
      <c r="H647" s="166"/>
      <c r="J647" s="166"/>
      <c r="K647" s="166"/>
      <c r="L647" s="166"/>
      <c r="M647" s="166"/>
      <c r="N647" s="166"/>
      <c r="O647" s="171"/>
      <c r="P647" s="172"/>
      <c r="R647" s="168" t="s">
        <v>644</v>
      </c>
      <c r="S647" s="172" t="s">
        <v>32</v>
      </c>
    </row>
    <row r="648" spans="1:19" hidden="1" outlineLevel="2" x14ac:dyDescent="0.25">
      <c r="E648" s="185" t="s">
        <v>34</v>
      </c>
      <c r="F648" s="185" t="s">
        <v>13</v>
      </c>
      <c r="R648" s="295" t="s">
        <v>77</v>
      </c>
      <c r="S648" s="307" t="s">
        <v>77</v>
      </c>
    </row>
    <row r="649" spans="1:19" hidden="1" outlineLevel="2" x14ac:dyDescent="0.25">
      <c r="B649" s="174" t="str">
        <f>B534</f>
        <v>Außenwand</v>
      </c>
      <c r="E649" s="223">
        <f>Daten_ALLG!$D$310</f>
        <v>45</v>
      </c>
      <c r="F649" s="191">
        <f>Daten_ALLG!$D$273/E649</f>
        <v>0.66666666666666663</v>
      </c>
      <c r="R649" s="308">
        <f>R540</f>
        <v>0</v>
      </c>
      <c r="S649" s="309">
        <f>S540</f>
        <v>0</v>
      </c>
    </row>
    <row r="650" spans="1:19" hidden="1" outlineLevel="2" x14ac:dyDescent="0.25">
      <c r="B650" s="174" t="str">
        <f>B541</f>
        <v>Fenster</v>
      </c>
      <c r="E650" s="223">
        <f>Daten_ALLG!$D$317</f>
        <v>35</v>
      </c>
      <c r="F650" s="191">
        <f>Daten_ALLG!$D$273/E650</f>
        <v>0.8571428571428571</v>
      </c>
      <c r="R650" s="308">
        <f>R547</f>
        <v>0</v>
      </c>
      <c r="S650" s="309">
        <f>S547</f>
        <v>0</v>
      </c>
    </row>
    <row r="651" spans="1:19" hidden="1" outlineLevel="2" x14ac:dyDescent="0.25">
      <c r="B651" s="174" t="str">
        <f>B548</f>
        <v>oberer Gebäudeabschluss</v>
      </c>
      <c r="E651" s="219">
        <f>F551*Daten_ALLG!$D$314+Daten_ALLG!$D$323*H551</f>
        <v>52.048192771084345</v>
      </c>
      <c r="F651" s="191">
        <f>Daten_ALLG!$D$273/E651</f>
        <v>0.57638888888888884</v>
      </c>
      <c r="R651" s="308">
        <f>R555</f>
        <v>0</v>
      </c>
      <c r="S651" s="309">
        <f>S555</f>
        <v>0</v>
      </c>
    </row>
    <row r="652" spans="1:19" hidden="1" outlineLevel="2" x14ac:dyDescent="0.25">
      <c r="B652" s="174" t="str">
        <f>B556</f>
        <v>unterer Gebäudeabschluss</v>
      </c>
      <c r="E652" s="219">
        <f>Daten_ALLG!$D$313*H559+F559*Daten_ALLG!$D$320</f>
        <v>67.265625</v>
      </c>
      <c r="F652" s="191">
        <f>Daten_ALLG!$D$273/E652</f>
        <v>0.44599303135888502</v>
      </c>
      <c r="R652" s="308">
        <f>R563</f>
        <v>0</v>
      </c>
      <c r="S652" s="309">
        <f>S563</f>
        <v>0</v>
      </c>
    </row>
    <row r="653" spans="1:19" hidden="1" outlineLevel="2" x14ac:dyDescent="0.25">
      <c r="B653" s="174" t="str">
        <f>B564</f>
        <v>Lüftungsanlage</v>
      </c>
      <c r="E653" s="223">
        <f>Daten_ALLG!$D$328</f>
        <v>25</v>
      </c>
      <c r="F653" s="191">
        <f>Daten_ALLG!$D$273/E653</f>
        <v>1.2</v>
      </c>
      <c r="R653" s="308">
        <f>R569</f>
        <v>0</v>
      </c>
      <c r="S653" s="309">
        <f>S569</f>
        <v>0</v>
      </c>
    </row>
    <row r="654" spans="1:19" hidden="1" outlineLevel="2" x14ac:dyDescent="0.25">
      <c r="B654" s="174" t="str">
        <f>B570</f>
        <v>Photovoltaik</v>
      </c>
      <c r="E654" s="223">
        <f>Daten_ALLG!$D$325</f>
        <v>25</v>
      </c>
      <c r="F654" s="191">
        <f>Daten_ALLG!$D$273/E654</f>
        <v>1.2</v>
      </c>
      <c r="R654" s="308">
        <f>R575</f>
        <v>0</v>
      </c>
      <c r="S654" s="309">
        <f>S575</f>
        <v>0</v>
      </c>
    </row>
    <row r="655" spans="1:19" hidden="1" outlineLevel="2" x14ac:dyDescent="0.25">
      <c r="B655" s="174" t="str">
        <f>B576</f>
        <v>Solarthermiekollektoren</v>
      </c>
      <c r="E655" s="223">
        <f>Daten_ALLG!$D$326</f>
        <v>25</v>
      </c>
      <c r="F655" s="191">
        <f>Daten_ALLG!$D$273/E655</f>
        <v>1.2</v>
      </c>
      <c r="R655" s="308">
        <f>R581</f>
        <v>0</v>
      </c>
      <c r="S655" s="309">
        <f>S581</f>
        <v>0</v>
      </c>
    </row>
    <row r="656" spans="1:19" hidden="1" outlineLevel="2" x14ac:dyDescent="0.25">
      <c r="B656" s="174" t="str">
        <f>B582</f>
        <v>Heizungspufferspeicher</v>
      </c>
      <c r="E656" s="223">
        <f>Daten_ALLG!$D$327</f>
        <v>30</v>
      </c>
      <c r="F656" s="191">
        <f>Daten_ALLG!$D$273/E656</f>
        <v>1</v>
      </c>
      <c r="R656" s="308">
        <f>R587</f>
        <v>0</v>
      </c>
      <c r="S656" s="309">
        <f>S587</f>
        <v>0</v>
      </c>
    </row>
    <row r="657" spans="1:19" hidden="1" outlineLevel="2" x14ac:dyDescent="0.25">
      <c r="B657" s="174" t="str">
        <f>B588</f>
        <v>Trinkwasserspeicher</v>
      </c>
      <c r="E657" s="223">
        <f>Daten_ALLG!$D$327</f>
        <v>30</v>
      </c>
      <c r="F657" s="191">
        <f>Daten_ALLG!$D$273/E657</f>
        <v>1</v>
      </c>
      <c r="R657" s="308">
        <f>R593</f>
        <v>0</v>
      </c>
      <c r="S657" s="309">
        <f>S593</f>
        <v>0</v>
      </c>
    </row>
    <row r="658" spans="1:19" hidden="1" outlineLevel="2" x14ac:dyDescent="0.25">
      <c r="B658" s="174" t="str">
        <f>B594</f>
        <v>Durchlauferhitzer</v>
      </c>
      <c r="E658" s="223">
        <f>Daten_ALLG!$D$315</f>
        <v>15</v>
      </c>
      <c r="F658" s="191">
        <f>Daten_ALLG!$D$273/E658</f>
        <v>2</v>
      </c>
      <c r="R658" s="308">
        <f>R599</f>
        <v>0</v>
      </c>
      <c r="S658" s="309">
        <f>S599</f>
        <v>0</v>
      </c>
    </row>
    <row r="659" spans="1:19" hidden="1" outlineLevel="2" x14ac:dyDescent="0.25">
      <c r="B659" s="174" t="str">
        <f>B600</f>
        <v>Außenluftwärmepumpe</v>
      </c>
      <c r="E659" s="223">
        <f>Daten_ALLG!$D$311</f>
        <v>25</v>
      </c>
      <c r="F659" s="191">
        <f>Daten_ALLG!$D$273/E659</f>
        <v>1.2</v>
      </c>
      <c r="R659" s="308">
        <f>R606</f>
        <v>0</v>
      </c>
      <c r="S659" s="309">
        <f>S606</f>
        <v>0</v>
      </c>
    </row>
    <row r="660" spans="1:19" hidden="1" outlineLevel="2" x14ac:dyDescent="0.25">
      <c r="B660" s="174" t="str">
        <f>B607</f>
        <v>Erdreichwärmepumpe</v>
      </c>
      <c r="E660" s="223">
        <f>Daten_ALLG!$D$316</f>
        <v>25</v>
      </c>
      <c r="F660" s="191">
        <f>Daten_ALLG!$D$273/E660</f>
        <v>1.2</v>
      </c>
      <c r="R660" s="308">
        <f>R613</f>
        <v>0</v>
      </c>
      <c r="S660" s="309">
        <f>S613</f>
        <v>0</v>
      </c>
    </row>
    <row r="661" spans="1:19" hidden="1" outlineLevel="2" x14ac:dyDescent="0.25">
      <c r="B661" s="174" t="str">
        <f>B614</f>
        <v>Fernwärmeanschluss</v>
      </c>
      <c r="E661" s="223">
        <f>Daten_ALLG!$D$322</f>
        <v>40</v>
      </c>
      <c r="F661" s="191">
        <f>Daten_ALLG!$D$273/E661</f>
        <v>0.75</v>
      </c>
      <c r="R661" s="308">
        <f>R620</f>
        <v>0</v>
      </c>
      <c r="S661" s="309">
        <f>S620</f>
        <v>0</v>
      </c>
    </row>
    <row r="662" spans="1:19" hidden="1" outlineLevel="2" x14ac:dyDescent="0.25">
      <c r="B662" s="174" t="str">
        <f>B621</f>
        <v>Holzkessel</v>
      </c>
      <c r="E662" s="223">
        <f>Daten_ALLG!$D$319</f>
        <v>25</v>
      </c>
      <c r="F662" s="191">
        <f>Daten_ALLG!$D$273/E662</f>
        <v>1.2</v>
      </c>
      <c r="R662" s="308">
        <f>R627</f>
        <v>0</v>
      </c>
      <c r="S662" s="309">
        <f>S627</f>
        <v>0</v>
      </c>
    </row>
    <row r="663" spans="1:19" hidden="1" outlineLevel="2" x14ac:dyDescent="0.25">
      <c r="B663" s="174" t="str">
        <f>B628</f>
        <v>Gasbrennwert</v>
      </c>
      <c r="E663" s="223">
        <f>Daten_ALLG!$D$318</f>
        <v>25</v>
      </c>
      <c r="F663" s="191">
        <f>Daten_ALLG!$D$273/E663</f>
        <v>1.2</v>
      </c>
      <c r="R663" s="308">
        <f>R634</f>
        <v>0</v>
      </c>
      <c r="S663" s="309">
        <f>S634</f>
        <v>0</v>
      </c>
    </row>
    <row r="664" spans="1:19" hidden="1" outlineLevel="2" x14ac:dyDescent="0.25">
      <c r="B664" s="174" t="str">
        <f>B635</f>
        <v>Ölbrennwert</v>
      </c>
      <c r="E664" s="223">
        <f>Daten_ALLG!$D$324</f>
        <v>25</v>
      </c>
      <c r="F664" s="191">
        <f>Daten_ALLG!$D$273/E664</f>
        <v>1.2</v>
      </c>
      <c r="R664" s="308">
        <f>R641</f>
        <v>0</v>
      </c>
      <c r="S664" s="309">
        <f>S641</f>
        <v>0</v>
      </c>
    </row>
    <row r="665" spans="1:19" hidden="1" outlineLevel="2" x14ac:dyDescent="0.25">
      <c r="B665" s="174" t="s">
        <v>44</v>
      </c>
      <c r="E665" s="185"/>
      <c r="F665" s="310"/>
      <c r="R665" s="301">
        <f>SUM(R649:R664)</f>
        <v>0</v>
      </c>
      <c r="S665" s="302">
        <f>SUM(S649:S664)</f>
        <v>0</v>
      </c>
    </row>
    <row r="666" spans="1:19" s="162" customFormat="1" hidden="1" outlineLevel="2" x14ac:dyDescent="0.25">
      <c r="B666" s="163" t="s">
        <v>660</v>
      </c>
      <c r="O666" s="164"/>
      <c r="P666" s="165"/>
      <c r="R666" s="164"/>
      <c r="S666" s="165"/>
    </row>
    <row r="667" spans="1:19" s="170" customFormat="1" hidden="1" outlineLevel="2" x14ac:dyDescent="0.25">
      <c r="A667" s="166"/>
      <c r="B667" s="167"/>
      <c r="C667" s="166"/>
      <c r="D667" s="166"/>
      <c r="E667" s="166" t="s">
        <v>742</v>
      </c>
      <c r="F667" s="166" t="s">
        <v>742</v>
      </c>
      <c r="G667" s="166"/>
      <c r="H667" s="166"/>
      <c r="J667" s="166"/>
      <c r="K667" s="166"/>
      <c r="L667" s="166"/>
      <c r="M667" s="166"/>
      <c r="N667" s="166"/>
      <c r="O667" s="171"/>
      <c r="P667" s="172"/>
      <c r="R667" s="168" t="s">
        <v>644</v>
      </c>
      <c r="S667" s="172" t="s">
        <v>32</v>
      </c>
    </row>
    <row r="668" spans="1:19" hidden="1" outlineLevel="2" x14ac:dyDescent="0.25">
      <c r="E668" s="185" t="s">
        <v>77</v>
      </c>
      <c r="F668" s="185" t="s">
        <v>77</v>
      </c>
      <c r="R668" s="295" t="s">
        <v>669</v>
      </c>
      <c r="S668" s="307" t="s">
        <v>669</v>
      </c>
    </row>
    <row r="669" spans="1:19" hidden="1" outlineLevel="2" x14ac:dyDescent="0.25">
      <c r="B669" s="174" t="str">
        <f t="shared" ref="B669:B684" si="30">B649</f>
        <v>Außenwand</v>
      </c>
      <c r="E669" s="214">
        <f t="shared" ref="E669:E684" si="31">R649*F649</f>
        <v>0</v>
      </c>
      <c r="F669" s="214">
        <f t="shared" ref="F669:F684" si="32">S649*F649</f>
        <v>0</v>
      </c>
      <c r="R669" s="311">
        <f t="shared" ref="R669:R684" si="33">R649*F649*$F$645</f>
        <v>0</v>
      </c>
      <c r="S669" s="312">
        <f t="shared" ref="S669:S684" si="34">S649*F649*$F$645</f>
        <v>0</v>
      </c>
    </row>
    <row r="670" spans="1:19" hidden="1" outlineLevel="2" x14ac:dyDescent="0.25">
      <c r="B670" s="174" t="str">
        <f t="shared" si="30"/>
        <v>Fenster</v>
      </c>
      <c r="E670" s="214">
        <f t="shared" si="31"/>
        <v>0</v>
      </c>
      <c r="F670" s="214">
        <f t="shared" si="32"/>
        <v>0</v>
      </c>
      <c r="R670" s="311">
        <f t="shared" si="33"/>
        <v>0</v>
      </c>
      <c r="S670" s="312">
        <f t="shared" si="34"/>
        <v>0</v>
      </c>
    </row>
    <row r="671" spans="1:19" hidden="1" outlineLevel="2" x14ac:dyDescent="0.25">
      <c r="B671" s="174" t="str">
        <f t="shared" si="30"/>
        <v>oberer Gebäudeabschluss</v>
      </c>
      <c r="E671" s="214">
        <f t="shared" si="31"/>
        <v>0</v>
      </c>
      <c r="F671" s="214">
        <f t="shared" si="32"/>
        <v>0</v>
      </c>
      <c r="R671" s="311">
        <f t="shared" si="33"/>
        <v>0</v>
      </c>
      <c r="S671" s="312">
        <f t="shared" si="34"/>
        <v>0</v>
      </c>
    </row>
    <row r="672" spans="1:19" hidden="1" outlineLevel="2" x14ac:dyDescent="0.25">
      <c r="B672" s="174" t="str">
        <f t="shared" si="30"/>
        <v>unterer Gebäudeabschluss</v>
      </c>
      <c r="E672" s="214">
        <f t="shared" si="31"/>
        <v>0</v>
      </c>
      <c r="F672" s="214">
        <f t="shared" si="32"/>
        <v>0</v>
      </c>
      <c r="R672" s="311">
        <f t="shared" si="33"/>
        <v>0</v>
      </c>
      <c r="S672" s="312">
        <f t="shared" si="34"/>
        <v>0</v>
      </c>
    </row>
    <row r="673" spans="1:19" hidden="1" outlineLevel="2" x14ac:dyDescent="0.25">
      <c r="B673" s="174" t="str">
        <f t="shared" si="30"/>
        <v>Lüftungsanlage</v>
      </c>
      <c r="E673" s="214">
        <f t="shared" si="31"/>
        <v>0</v>
      </c>
      <c r="F673" s="214">
        <f t="shared" si="32"/>
        <v>0</v>
      </c>
      <c r="R673" s="311">
        <f t="shared" si="33"/>
        <v>0</v>
      </c>
      <c r="S673" s="312">
        <f t="shared" si="34"/>
        <v>0</v>
      </c>
    </row>
    <row r="674" spans="1:19" hidden="1" outlineLevel="2" x14ac:dyDescent="0.25">
      <c r="B674" s="174" t="str">
        <f t="shared" si="30"/>
        <v>Photovoltaik</v>
      </c>
      <c r="E674" s="214">
        <f t="shared" si="31"/>
        <v>0</v>
      </c>
      <c r="F674" s="214">
        <f t="shared" si="32"/>
        <v>0</v>
      </c>
      <c r="R674" s="311">
        <f t="shared" si="33"/>
        <v>0</v>
      </c>
      <c r="S674" s="312">
        <f t="shared" si="34"/>
        <v>0</v>
      </c>
    </row>
    <row r="675" spans="1:19" hidden="1" outlineLevel="2" x14ac:dyDescent="0.25">
      <c r="B675" s="174" t="str">
        <f t="shared" si="30"/>
        <v>Solarthermiekollektoren</v>
      </c>
      <c r="E675" s="214">
        <f t="shared" si="31"/>
        <v>0</v>
      </c>
      <c r="F675" s="214">
        <f t="shared" si="32"/>
        <v>0</v>
      </c>
      <c r="R675" s="311">
        <f t="shared" si="33"/>
        <v>0</v>
      </c>
      <c r="S675" s="312">
        <f t="shared" si="34"/>
        <v>0</v>
      </c>
    </row>
    <row r="676" spans="1:19" hidden="1" outlineLevel="2" x14ac:dyDescent="0.25">
      <c r="B676" s="174" t="str">
        <f t="shared" si="30"/>
        <v>Heizungspufferspeicher</v>
      </c>
      <c r="E676" s="214">
        <f t="shared" si="31"/>
        <v>0</v>
      </c>
      <c r="F676" s="214">
        <f t="shared" si="32"/>
        <v>0</v>
      </c>
      <c r="R676" s="311">
        <f t="shared" si="33"/>
        <v>0</v>
      </c>
      <c r="S676" s="312">
        <f t="shared" si="34"/>
        <v>0</v>
      </c>
    </row>
    <row r="677" spans="1:19" hidden="1" outlineLevel="2" x14ac:dyDescent="0.25">
      <c r="B677" s="174" t="str">
        <f t="shared" si="30"/>
        <v>Trinkwasserspeicher</v>
      </c>
      <c r="E677" s="214">
        <f t="shared" si="31"/>
        <v>0</v>
      </c>
      <c r="F677" s="214">
        <f t="shared" si="32"/>
        <v>0</v>
      </c>
      <c r="R677" s="311">
        <f t="shared" si="33"/>
        <v>0</v>
      </c>
      <c r="S677" s="312">
        <f t="shared" si="34"/>
        <v>0</v>
      </c>
    </row>
    <row r="678" spans="1:19" hidden="1" outlineLevel="2" x14ac:dyDescent="0.25">
      <c r="B678" s="174" t="str">
        <f t="shared" si="30"/>
        <v>Durchlauferhitzer</v>
      </c>
      <c r="E678" s="214">
        <f t="shared" si="31"/>
        <v>0</v>
      </c>
      <c r="F678" s="214">
        <f t="shared" si="32"/>
        <v>0</v>
      </c>
      <c r="R678" s="311">
        <f t="shared" si="33"/>
        <v>0</v>
      </c>
      <c r="S678" s="312">
        <f t="shared" si="34"/>
        <v>0</v>
      </c>
    </row>
    <row r="679" spans="1:19" hidden="1" outlineLevel="2" x14ac:dyDescent="0.25">
      <c r="B679" s="174" t="str">
        <f t="shared" si="30"/>
        <v>Außenluftwärmepumpe</v>
      </c>
      <c r="E679" s="214">
        <f t="shared" si="31"/>
        <v>0</v>
      </c>
      <c r="F679" s="214">
        <f t="shared" si="32"/>
        <v>0</v>
      </c>
      <c r="R679" s="311">
        <f t="shared" si="33"/>
        <v>0</v>
      </c>
      <c r="S679" s="312">
        <f t="shared" si="34"/>
        <v>0</v>
      </c>
    </row>
    <row r="680" spans="1:19" hidden="1" outlineLevel="2" x14ac:dyDescent="0.25">
      <c r="B680" s="174" t="str">
        <f t="shared" si="30"/>
        <v>Erdreichwärmepumpe</v>
      </c>
      <c r="E680" s="214">
        <f t="shared" si="31"/>
        <v>0</v>
      </c>
      <c r="F680" s="214">
        <f t="shared" si="32"/>
        <v>0</v>
      </c>
      <c r="R680" s="311">
        <f t="shared" si="33"/>
        <v>0</v>
      </c>
      <c r="S680" s="312">
        <f t="shared" si="34"/>
        <v>0</v>
      </c>
    </row>
    <row r="681" spans="1:19" hidden="1" outlineLevel="2" x14ac:dyDescent="0.25">
      <c r="B681" s="174" t="str">
        <f t="shared" si="30"/>
        <v>Fernwärmeanschluss</v>
      </c>
      <c r="E681" s="214">
        <f t="shared" si="31"/>
        <v>0</v>
      </c>
      <c r="F681" s="214">
        <f t="shared" si="32"/>
        <v>0</v>
      </c>
      <c r="R681" s="311">
        <f t="shared" si="33"/>
        <v>0</v>
      </c>
      <c r="S681" s="312">
        <f t="shared" si="34"/>
        <v>0</v>
      </c>
    </row>
    <row r="682" spans="1:19" hidden="1" outlineLevel="2" x14ac:dyDescent="0.25">
      <c r="B682" s="174" t="str">
        <f t="shared" si="30"/>
        <v>Holzkessel</v>
      </c>
      <c r="E682" s="214">
        <f t="shared" si="31"/>
        <v>0</v>
      </c>
      <c r="F682" s="214">
        <f t="shared" si="32"/>
        <v>0</v>
      </c>
      <c r="R682" s="311">
        <f t="shared" si="33"/>
        <v>0</v>
      </c>
      <c r="S682" s="312">
        <f t="shared" si="34"/>
        <v>0</v>
      </c>
    </row>
    <row r="683" spans="1:19" hidden="1" outlineLevel="2" x14ac:dyDescent="0.25">
      <c r="B683" s="174" t="str">
        <f t="shared" si="30"/>
        <v>Gasbrennwert</v>
      </c>
      <c r="E683" s="214">
        <f t="shared" si="31"/>
        <v>0</v>
      </c>
      <c r="F683" s="214">
        <f t="shared" si="32"/>
        <v>0</v>
      </c>
      <c r="R683" s="311">
        <f t="shared" si="33"/>
        <v>0</v>
      </c>
      <c r="S683" s="312">
        <f t="shared" si="34"/>
        <v>0</v>
      </c>
    </row>
    <row r="684" spans="1:19" hidden="1" outlineLevel="2" x14ac:dyDescent="0.25">
      <c r="B684" s="174" t="str">
        <f t="shared" si="30"/>
        <v>Ölbrennwert</v>
      </c>
      <c r="E684" s="214">
        <f t="shared" si="31"/>
        <v>0</v>
      </c>
      <c r="F684" s="214">
        <f t="shared" si="32"/>
        <v>0</v>
      </c>
      <c r="R684" s="311">
        <f t="shared" si="33"/>
        <v>0</v>
      </c>
      <c r="S684" s="312">
        <f t="shared" si="34"/>
        <v>0</v>
      </c>
    </row>
    <row r="685" spans="1:19" hidden="1" outlineLevel="2" x14ac:dyDescent="0.25">
      <c r="B685" s="174" t="s">
        <v>44</v>
      </c>
      <c r="E685" s="214">
        <f>SUM(E669:E684)</f>
        <v>0</v>
      </c>
      <c r="F685" s="214">
        <f>SUM(F669:F684)</f>
        <v>0</v>
      </c>
      <c r="R685" s="301">
        <f>SUM(R669:R684)</f>
        <v>0</v>
      </c>
      <c r="S685" s="302">
        <f>SUM(S669:S684)</f>
        <v>0</v>
      </c>
    </row>
    <row r="686" spans="1:19" s="162" customFormat="1" hidden="1" outlineLevel="2" x14ac:dyDescent="0.25">
      <c r="B686" s="163" t="s">
        <v>667</v>
      </c>
      <c r="O686" s="164"/>
      <c r="P686" s="165"/>
      <c r="R686" s="164"/>
      <c r="S686" s="165"/>
    </row>
    <row r="687" spans="1:19" s="170" customFormat="1" hidden="1" outlineLevel="2" x14ac:dyDescent="0.25">
      <c r="A687" s="166"/>
      <c r="B687" s="167"/>
      <c r="C687" s="166"/>
      <c r="D687" s="166"/>
      <c r="E687" s="166" t="s">
        <v>668</v>
      </c>
      <c r="F687" s="166"/>
      <c r="H687" s="166"/>
      <c r="J687" s="166"/>
      <c r="K687" s="166"/>
      <c r="L687" s="166"/>
      <c r="M687" s="166"/>
      <c r="N687" s="166"/>
      <c r="O687" s="171"/>
      <c r="P687" s="172"/>
      <c r="R687" s="168" t="s">
        <v>644</v>
      </c>
      <c r="S687" s="172" t="s">
        <v>32</v>
      </c>
    </row>
    <row r="688" spans="1:19" hidden="1" outlineLevel="2" x14ac:dyDescent="0.25">
      <c r="E688" s="185" t="s">
        <v>38</v>
      </c>
      <c r="R688" s="295" t="s">
        <v>669</v>
      </c>
      <c r="S688" s="307" t="s">
        <v>669</v>
      </c>
    </row>
    <row r="689" spans="2:19" hidden="1" outlineLevel="2" x14ac:dyDescent="0.25">
      <c r="B689" s="174" t="str">
        <f t="shared" ref="B689:B704" si="35">B669</f>
        <v>Außenwand</v>
      </c>
      <c r="E689" s="237">
        <f>Daten_ALLG!$D$288</f>
        <v>0.01</v>
      </c>
      <c r="R689" s="193">
        <f>E689*R649/Daten_ALLG!$D$246</f>
        <v>0</v>
      </c>
      <c r="S689" s="194">
        <f>E689*S649/Daten_ALLG!$D$246</f>
        <v>0</v>
      </c>
    </row>
    <row r="690" spans="2:19" hidden="1" outlineLevel="2" x14ac:dyDescent="0.25">
      <c r="B690" s="174" t="str">
        <f t="shared" si="35"/>
        <v>Fenster</v>
      </c>
      <c r="E690" s="237">
        <f>Daten_ALLG!$D$295</f>
        <v>0.01</v>
      </c>
      <c r="R690" s="193">
        <f>E690*R650/Daten_ALLG!$D$246</f>
        <v>0</v>
      </c>
      <c r="S690" s="194">
        <f>E690*S650/Daten_ALLG!$D$246</f>
        <v>0</v>
      </c>
    </row>
    <row r="691" spans="2:19" hidden="1" outlineLevel="2" x14ac:dyDescent="0.25">
      <c r="B691" s="174" t="str">
        <f t="shared" si="35"/>
        <v>oberer Gebäudeabschluss</v>
      </c>
      <c r="E691" s="237">
        <f>F551*Daten_ALLG!$D$292+Daten_ALLG!$D$301*H551</f>
        <v>5.3012048192771092E-3</v>
      </c>
      <c r="R691" s="193">
        <f>E691*R651/Daten_ALLG!$D$246</f>
        <v>0</v>
      </c>
      <c r="S691" s="194">
        <f>E691*S651/Daten_ALLG!$D$246</f>
        <v>0</v>
      </c>
    </row>
    <row r="692" spans="2:19" hidden="1" outlineLevel="2" x14ac:dyDescent="0.25">
      <c r="B692" s="174" t="str">
        <f t="shared" si="35"/>
        <v>unterer Gebäudeabschluss</v>
      </c>
      <c r="E692" s="237">
        <f>Daten_ALLG!$D$291*H559+F559*Daten_ALLG!$D$298</f>
        <v>0</v>
      </c>
      <c r="R692" s="193">
        <f>E692*R652/Daten_ALLG!$D$246</f>
        <v>0</v>
      </c>
      <c r="S692" s="194">
        <f>E692*S652/Daten_ALLG!$D$246</f>
        <v>0</v>
      </c>
    </row>
    <row r="693" spans="2:19" hidden="1" outlineLevel="2" x14ac:dyDescent="0.25">
      <c r="B693" s="174" t="str">
        <f t="shared" si="35"/>
        <v>Lüftungsanlage</v>
      </c>
      <c r="E693" s="237">
        <f>Daten_ALLG!$D$306</f>
        <v>0.05</v>
      </c>
      <c r="R693" s="193">
        <f>E693*R653/Daten_ALLG!$D$246</f>
        <v>0</v>
      </c>
      <c r="S693" s="194">
        <f>E693*S653/Daten_ALLG!$D$246</f>
        <v>0</v>
      </c>
    </row>
    <row r="694" spans="2:19" hidden="1" outlineLevel="2" x14ac:dyDescent="0.25">
      <c r="B694" s="174" t="str">
        <f t="shared" si="35"/>
        <v>Photovoltaik</v>
      </c>
      <c r="E694" s="237">
        <f>Daten_ALLG!$D$303</f>
        <v>0.02</v>
      </c>
      <c r="R694" s="193">
        <f>E694*R654/Daten_ALLG!$D$246</f>
        <v>0</v>
      </c>
      <c r="S694" s="194">
        <f>E694*S654/Daten_ALLG!$D$246</f>
        <v>0</v>
      </c>
    </row>
    <row r="695" spans="2:19" hidden="1" outlineLevel="2" x14ac:dyDescent="0.25">
      <c r="B695" s="174" t="str">
        <f t="shared" si="35"/>
        <v>Solarthermiekollektoren</v>
      </c>
      <c r="E695" s="237">
        <f>Daten_ALLG!$D$304</f>
        <v>1.4999999999999999E-2</v>
      </c>
      <c r="R695" s="193">
        <f>E695*R655/Daten_ALLG!$D$246</f>
        <v>0</v>
      </c>
      <c r="S695" s="194">
        <f>E695*S655/Daten_ALLG!$D$246</f>
        <v>0</v>
      </c>
    </row>
    <row r="696" spans="2:19" hidden="1" outlineLevel="2" x14ac:dyDescent="0.25">
      <c r="B696" s="174" t="str">
        <f t="shared" si="35"/>
        <v>Heizungspufferspeicher</v>
      </c>
      <c r="E696" s="237">
        <f>Daten_ALLG!$D$305</f>
        <v>0</v>
      </c>
      <c r="R696" s="193">
        <f>E696*R656/Daten_ALLG!$D$246</f>
        <v>0</v>
      </c>
      <c r="S696" s="194">
        <f>E696*S656/Daten_ALLG!$D$246</f>
        <v>0</v>
      </c>
    </row>
    <row r="697" spans="2:19" hidden="1" outlineLevel="2" x14ac:dyDescent="0.25">
      <c r="B697" s="174" t="str">
        <f t="shared" si="35"/>
        <v>Trinkwasserspeicher</v>
      </c>
      <c r="E697" s="237">
        <f>Daten_ALLG!$D$305</f>
        <v>0</v>
      </c>
      <c r="R697" s="193">
        <f>E697*R657/Daten_ALLG!$D$246</f>
        <v>0</v>
      </c>
      <c r="S697" s="194">
        <f>E697*S657/Daten_ALLG!$D$246</f>
        <v>0</v>
      </c>
    </row>
    <row r="698" spans="2:19" hidden="1" outlineLevel="2" x14ac:dyDescent="0.25">
      <c r="B698" s="174" t="str">
        <f t="shared" si="35"/>
        <v>Durchlauferhitzer</v>
      </c>
      <c r="E698" s="237">
        <f>Daten_ALLG!$D$293</f>
        <v>0</v>
      </c>
      <c r="R698" s="193">
        <f>E698*R658/Daten_ALLG!$D$246</f>
        <v>0</v>
      </c>
      <c r="S698" s="194">
        <f>E698*S658/Daten_ALLG!$D$246</f>
        <v>0</v>
      </c>
    </row>
    <row r="699" spans="2:19" hidden="1" outlineLevel="2" x14ac:dyDescent="0.25">
      <c r="B699" s="174" t="str">
        <f t="shared" si="35"/>
        <v>Außenluftwärmepumpe</v>
      </c>
      <c r="E699" s="237">
        <f>Daten_ALLG!$D$289</f>
        <v>0.02</v>
      </c>
      <c r="R699" s="193">
        <f>E699*R659/Daten_ALLG!$D$246</f>
        <v>0</v>
      </c>
      <c r="S699" s="194">
        <f>E699*S659/Daten_ALLG!$D$246</f>
        <v>0</v>
      </c>
    </row>
    <row r="700" spans="2:19" hidden="1" outlineLevel="2" x14ac:dyDescent="0.25">
      <c r="B700" s="174" t="str">
        <f t="shared" si="35"/>
        <v>Erdreichwärmepumpe</v>
      </c>
      <c r="E700" s="237">
        <f>Daten_ALLG!$D$294</f>
        <v>0.02</v>
      </c>
      <c r="R700" s="193">
        <f>E700*R660/Daten_ALLG!$D$246</f>
        <v>0</v>
      </c>
      <c r="S700" s="194">
        <f>E700*S660/Daten_ALLG!$D$246</f>
        <v>0</v>
      </c>
    </row>
    <row r="701" spans="2:19" hidden="1" outlineLevel="2" x14ac:dyDescent="0.25">
      <c r="B701" s="174" t="str">
        <f t="shared" si="35"/>
        <v>Fernwärmeanschluss</v>
      </c>
      <c r="E701" s="237">
        <f>Daten_ALLG!$D$300</f>
        <v>1.4999999999999999E-2</v>
      </c>
      <c r="R701" s="193">
        <f>E701*R661/Daten_ALLG!$D$246</f>
        <v>0</v>
      </c>
      <c r="S701" s="194">
        <f>E701*S661/Daten_ALLG!$D$246</f>
        <v>0</v>
      </c>
    </row>
    <row r="702" spans="2:19" hidden="1" outlineLevel="2" x14ac:dyDescent="0.25">
      <c r="B702" s="174" t="str">
        <f t="shared" si="35"/>
        <v>Holzkessel</v>
      </c>
      <c r="E702" s="237">
        <f>Daten_ALLG!$D$297</f>
        <v>0.05</v>
      </c>
      <c r="R702" s="193">
        <f>E702*R662/Daten_ALLG!$D$246</f>
        <v>0</v>
      </c>
      <c r="S702" s="194">
        <f>E702*S662/Daten_ALLG!$D$246</f>
        <v>0</v>
      </c>
    </row>
    <row r="703" spans="2:19" hidden="1" outlineLevel="2" x14ac:dyDescent="0.25">
      <c r="B703" s="174" t="str">
        <f t="shared" si="35"/>
        <v>Gasbrennwert</v>
      </c>
      <c r="E703" s="237">
        <f>Daten_ALLG!$D$296</f>
        <v>0.02</v>
      </c>
      <c r="R703" s="193">
        <f>E703*R663/Daten_ALLG!$D$246</f>
        <v>0</v>
      </c>
      <c r="S703" s="194">
        <f>E703*S663/Daten_ALLG!$D$246</f>
        <v>0</v>
      </c>
    </row>
    <row r="704" spans="2:19" hidden="1" outlineLevel="2" x14ac:dyDescent="0.25">
      <c r="B704" s="174" t="str">
        <f t="shared" si="35"/>
        <v>Ölbrennwert</v>
      </c>
      <c r="E704" s="237">
        <f>Daten_ALLG!$D$302</f>
        <v>0.02</v>
      </c>
      <c r="R704" s="193">
        <f>E704*R664/Daten_ALLG!$D$246</f>
        <v>0</v>
      </c>
      <c r="S704" s="194">
        <f>E704*S664/Daten_ALLG!$D$246</f>
        <v>0</v>
      </c>
    </row>
    <row r="705" spans="1:19" hidden="1" outlineLevel="2" x14ac:dyDescent="0.25">
      <c r="B705" s="174" t="s">
        <v>44</v>
      </c>
      <c r="E705" s="185"/>
      <c r="F705" s="310"/>
      <c r="R705" s="301">
        <f>SUM(R689:R704)</f>
        <v>0</v>
      </c>
      <c r="S705" s="302">
        <f>SUM(S689:S704)</f>
        <v>0</v>
      </c>
    </row>
    <row r="706" spans="1:19" s="159" customFormat="1" ht="14.25" customHeight="1" collapsed="1" x14ac:dyDescent="0.25">
      <c r="A706" s="156" t="s">
        <v>75</v>
      </c>
      <c r="B706" s="157"/>
      <c r="C706" s="157"/>
      <c r="D706" s="158"/>
      <c r="O706" s="160"/>
      <c r="P706" s="161"/>
      <c r="R706" s="160"/>
      <c r="S706" s="161"/>
    </row>
    <row r="707" spans="1:19" s="162" customFormat="1" hidden="1" outlineLevel="2" x14ac:dyDescent="0.25">
      <c r="B707" s="163" t="s">
        <v>779</v>
      </c>
      <c r="O707" s="164"/>
      <c r="P707" s="165"/>
      <c r="R707" s="164"/>
      <c r="S707" s="165"/>
    </row>
    <row r="708" spans="1:19" s="170" customFormat="1" hidden="1" outlineLevel="2" x14ac:dyDescent="0.25">
      <c r="A708" s="166"/>
      <c r="B708" s="167"/>
      <c r="C708" s="166"/>
      <c r="D708" s="166"/>
      <c r="E708" s="166"/>
      <c r="F708" s="166"/>
      <c r="H708" s="166"/>
      <c r="J708" s="166"/>
      <c r="K708" s="166"/>
      <c r="L708" s="166"/>
      <c r="M708" s="166"/>
      <c r="N708" s="166"/>
      <c r="O708" s="168" t="s">
        <v>319</v>
      </c>
      <c r="P708" s="172" t="s">
        <v>332</v>
      </c>
      <c r="R708" s="168" t="s">
        <v>644</v>
      </c>
      <c r="S708" s="172" t="s">
        <v>32</v>
      </c>
    </row>
    <row r="709" spans="1:19" hidden="1" outlineLevel="2" x14ac:dyDescent="0.25">
      <c r="B709" s="174" t="s">
        <v>776</v>
      </c>
      <c r="E709" s="185" t="s">
        <v>669</v>
      </c>
      <c r="O709" s="313">
        <f>O532</f>
        <v>3284.3255756056456</v>
      </c>
      <c r="P709" s="314">
        <f>P532</f>
        <v>3284.3255756056456</v>
      </c>
      <c r="Q709" s="315"/>
    </row>
    <row r="710" spans="1:19" hidden="1" outlineLevel="2" x14ac:dyDescent="0.25">
      <c r="B710" s="174" t="s">
        <v>777</v>
      </c>
      <c r="E710" s="185" t="s">
        <v>669</v>
      </c>
      <c r="P710" s="314">
        <f>S710</f>
        <v>0</v>
      </c>
      <c r="Q710" s="315"/>
      <c r="S710" s="302">
        <f>S705</f>
        <v>0</v>
      </c>
    </row>
    <row r="711" spans="1:19" hidden="1" outlineLevel="2" x14ac:dyDescent="0.25">
      <c r="B711" s="174" t="s">
        <v>780</v>
      </c>
      <c r="E711" s="185" t="s">
        <v>669</v>
      </c>
      <c r="P711" s="314">
        <f>S711</f>
        <v>0</v>
      </c>
      <c r="Q711" s="315"/>
      <c r="S711" s="302">
        <f>S685</f>
        <v>0</v>
      </c>
    </row>
    <row r="712" spans="1:19" hidden="1" outlineLevel="2" x14ac:dyDescent="0.25">
      <c r="B712" s="174" t="s">
        <v>44</v>
      </c>
      <c r="E712" s="185" t="s">
        <v>669</v>
      </c>
      <c r="O712" s="313">
        <f>O709+O710+O711</f>
        <v>3284.3255756056456</v>
      </c>
      <c r="P712" s="314">
        <f>P709+P710+P711</f>
        <v>3284.3255756056456</v>
      </c>
      <c r="Q712" s="315"/>
    </row>
    <row r="713" spans="1:19" hidden="1" outlineLevel="2" x14ac:dyDescent="0.25">
      <c r="B713" s="174" t="s">
        <v>781</v>
      </c>
      <c r="E713" s="185" t="s">
        <v>669</v>
      </c>
      <c r="F713" s="316">
        <f>P712-O712</f>
        <v>0</v>
      </c>
      <c r="Q713" s="315"/>
    </row>
    <row r="714" spans="1:19" s="162" customFormat="1" hidden="1" outlineLevel="2" x14ac:dyDescent="0.25">
      <c r="B714" s="163" t="s">
        <v>813</v>
      </c>
      <c r="O714" s="164"/>
      <c r="P714" s="165"/>
      <c r="R714" s="164"/>
      <c r="S714" s="165"/>
    </row>
    <row r="715" spans="1:19" s="170" customFormat="1" hidden="1" outlineLevel="2" x14ac:dyDescent="0.25">
      <c r="A715" s="166"/>
      <c r="B715" s="167"/>
      <c r="C715" s="166"/>
      <c r="D715" s="166"/>
      <c r="E715" s="166"/>
      <c r="F715" s="166"/>
      <c r="H715" s="166"/>
      <c r="J715" s="166"/>
      <c r="K715" s="166"/>
      <c r="L715" s="166"/>
      <c r="M715" s="166"/>
      <c r="N715" s="166"/>
      <c r="O715" s="168" t="s">
        <v>319</v>
      </c>
      <c r="P715" s="172" t="s">
        <v>332</v>
      </c>
      <c r="R715" s="168" t="s">
        <v>644</v>
      </c>
      <c r="S715" s="172" t="s">
        <v>32</v>
      </c>
    </row>
    <row r="716" spans="1:19" hidden="1" outlineLevel="2" x14ac:dyDescent="0.25">
      <c r="B716" s="174" t="s">
        <v>776</v>
      </c>
      <c r="E716" s="185" t="s">
        <v>669</v>
      </c>
      <c r="O716" s="313">
        <f>O532</f>
        <v>3284.3255756056456</v>
      </c>
      <c r="P716" s="314">
        <f>P532</f>
        <v>3284.3255756056456</v>
      </c>
      <c r="Q716" s="315"/>
    </row>
    <row r="717" spans="1:19" hidden="1" outlineLevel="2" x14ac:dyDescent="0.25">
      <c r="B717" s="174" t="s">
        <v>780</v>
      </c>
      <c r="E717" s="185" t="s">
        <v>669</v>
      </c>
      <c r="P717" s="314">
        <f>S717</f>
        <v>0</v>
      </c>
      <c r="Q717" s="315"/>
      <c r="S717" s="302">
        <f>S685</f>
        <v>0</v>
      </c>
    </row>
    <row r="718" spans="1:19" hidden="1" outlineLevel="2" x14ac:dyDescent="0.25">
      <c r="B718" s="174" t="s">
        <v>44</v>
      </c>
      <c r="E718" s="185" t="s">
        <v>669</v>
      </c>
      <c r="O718" s="313">
        <f>O716+O717</f>
        <v>3284.3255756056456</v>
      </c>
      <c r="P718" s="314">
        <f>P716+P717</f>
        <v>3284.3255756056456</v>
      </c>
      <c r="Q718" s="315"/>
    </row>
    <row r="719" spans="1:19" hidden="1" outlineLevel="2" x14ac:dyDescent="0.25">
      <c r="B719" s="174" t="s">
        <v>781</v>
      </c>
      <c r="E719" s="185" t="s">
        <v>669</v>
      </c>
      <c r="F719" s="316">
        <f>P718-O718</f>
        <v>0</v>
      </c>
      <c r="Q719" s="315"/>
    </row>
    <row r="720" spans="1:19" s="162" customFormat="1" hidden="1" outlineLevel="2" x14ac:dyDescent="0.25">
      <c r="B720" s="163" t="s">
        <v>778</v>
      </c>
      <c r="O720" s="164"/>
      <c r="P720" s="165"/>
      <c r="R720" s="164"/>
      <c r="S720" s="165"/>
    </row>
    <row r="721" spans="1:19" s="170" customFormat="1" hidden="1" outlineLevel="2" x14ac:dyDescent="0.25">
      <c r="A721" s="166"/>
      <c r="B721" s="167"/>
      <c r="C721" s="166"/>
      <c r="D721" s="166"/>
      <c r="E721" s="166"/>
      <c r="F721" s="166"/>
      <c r="H721" s="166"/>
      <c r="J721" s="166"/>
      <c r="K721" s="166"/>
      <c r="L721" s="166"/>
      <c r="M721" s="166"/>
      <c r="N721" s="166"/>
      <c r="O721" s="168" t="s">
        <v>319</v>
      </c>
      <c r="P721" s="172" t="s">
        <v>332</v>
      </c>
      <c r="R721" s="168" t="s">
        <v>644</v>
      </c>
      <c r="S721" s="172" t="s">
        <v>32</v>
      </c>
    </row>
    <row r="722" spans="1:19" hidden="1" outlineLevel="2" x14ac:dyDescent="0.25">
      <c r="B722" s="174" t="s">
        <v>776</v>
      </c>
      <c r="E722" s="185" t="s">
        <v>669</v>
      </c>
      <c r="O722" s="313">
        <f>O532</f>
        <v>3284.3255756056456</v>
      </c>
      <c r="P722" s="314">
        <f>P532</f>
        <v>3284.3255756056456</v>
      </c>
      <c r="Q722" s="315"/>
    </row>
    <row r="723" spans="1:19" hidden="1" outlineLevel="2" x14ac:dyDescent="0.25">
      <c r="B723" s="174" t="s">
        <v>777</v>
      </c>
      <c r="E723" s="185" t="s">
        <v>669</v>
      </c>
      <c r="P723" s="314">
        <f>S723-R723</f>
        <v>0</v>
      </c>
      <c r="Q723" s="315"/>
      <c r="R723" s="301">
        <f>R705</f>
        <v>0</v>
      </c>
      <c r="S723" s="302">
        <f>S705</f>
        <v>0</v>
      </c>
    </row>
    <row r="724" spans="1:19" hidden="1" outlineLevel="2" x14ac:dyDescent="0.25">
      <c r="B724" s="174" t="s">
        <v>780</v>
      </c>
      <c r="E724" s="185" t="s">
        <v>669</v>
      </c>
      <c r="P724" s="314">
        <f>S724-R724</f>
        <v>0</v>
      </c>
      <c r="Q724" s="315"/>
      <c r="R724" s="301">
        <f>R685</f>
        <v>0</v>
      </c>
      <c r="S724" s="302">
        <f>S685</f>
        <v>0</v>
      </c>
    </row>
    <row r="725" spans="1:19" hidden="1" outlineLevel="2" x14ac:dyDescent="0.25">
      <c r="B725" s="174" t="s">
        <v>44</v>
      </c>
      <c r="E725" s="185" t="s">
        <v>669</v>
      </c>
      <c r="O725" s="313">
        <f>O722+O723+O724</f>
        <v>3284.3255756056456</v>
      </c>
      <c r="P725" s="314">
        <f>P722+P723+P724</f>
        <v>3284.3255756056456</v>
      </c>
      <c r="Q725" s="315"/>
    </row>
    <row r="726" spans="1:19" hidden="1" outlineLevel="2" x14ac:dyDescent="0.25">
      <c r="B726" s="174" t="s">
        <v>781</v>
      </c>
      <c r="E726" s="185" t="s">
        <v>669</v>
      </c>
      <c r="F726" s="316">
        <f>P725-O725</f>
        <v>0</v>
      </c>
      <c r="Q726" s="315"/>
    </row>
    <row r="727" spans="1:19" s="159" customFormat="1" ht="14.25" customHeight="1" collapsed="1" x14ac:dyDescent="0.25">
      <c r="A727" s="156" t="s">
        <v>744</v>
      </c>
      <c r="B727" s="157"/>
      <c r="C727" s="157"/>
      <c r="D727" s="158"/>
      <c r="O727" s="160"/>
      <c r="P727" s="161"/>
      <c r="R727" s="160"/>
      <c r="S727" s="161"/>
    </row>
    <row r="728" spans="1:19" s="162" customFormat="1" hidden="1" outlineLevel="2" x14ac:dyDescent="0.25">
      <c r="B728" s="163" t="s">
        <v>809</v>
      </c>
      <c r="O728" s="164"/>
      <c r="P728" s="165"/>
      <c r="R728" s="164"/>
      <c r="S728" s="165"/>
    </row>
    <row r="729" spans="1:19" s="170" customFormat="1" hidden="1" outlineLevel="2" x14ac:dyDescent="0.25">
      <c r="A729" s="166"/>
      <c r="B729" s="167"/>
      <c r="C729" s="166"/>
      <c r="D729" s="166"/>
      <c r="E729" s="166"/>
      <c r="F729" s="166"/>
      <c r="H729" s="166"/>
      <c r="J729" s="166"/>
      <c r="K729" s="166"/>
      <c r="L729" s="166"/>
      <c r="M729" s="166"/>
      <c r="N729" s="166"/>
      <c r="O729" s="168"/>
      <c r="P729" s="172"/>
      <c r="R729" s="171"/>
      <c r="S729" s="172"/>
    </row>
    <row r="730" spans="1:19" hidden="1" outlineLevel="2" x14ac:dyDescent="0.25">
      <c r="B730" s="174" t="s">
        <v>808</v>
      </c>
      <c r="E730" s="185" t="s">
        <v>669</v>
      </c>
      <c r="F730" s="317">
        <f>P717</f>
        <v>0</v>
      </c>
      <c r="N730" s="264"/>
    </row>
    <row r="731" spans="1:19" hidden="1" outlineLevel="2" x14ac:dyDescent="0.25">
      <c r="B731" s="174" t="s">
        <v>746</v>
      </c>
      <c r="E731" s="185" t="s">
        <v>621</v>
      </c>
      <c r="F731" s="214">
        <f>O507-P507</f>
        <v>0</v>
      </c>
      <c r="N731" s="264"/>
    </row>
    <row r="732" spans="1:19" hidden="1" outlineLevel="2" x14ac:dyDescent="0.25">
      <c r="B732" s="174" t="s">
        <v>747</v>
      </c>
      <c r="E732" s="185" t="s">
        <v>748</v>
      </c>
      <c r="F732" s="191" t="str">
        <f>IF(F731=0,"k.A.",(F730)/F731)</f>
        <v>k.A.</v>
      </c>
      <c r="N732" s="264"/>
    </row>
    <row r="733" spans="1:19" hidden="1" outlineLevel="2" x14ac:dyDescent="0.25">
      <c r="E733" s="185" t="s">
        <v>749</v>
      </c>
      <c r="F733" s="318" t="str">
        <f>IF(F731=0,"k.A.",F732*1000)</f>
        <v>k.A.</v>
      </c>
      <c r="N733" s="264"/>
    </row>
    <row r="734" spans="1:19" s="162" customFormat="1" hidden="1" outlineLevel="2" x14ac:dyDescent="0.25">
      <c r="B734" s="163" t="s">
        <v>810</v>
      </c>
      <c r="O734" s="164"/>
      <c r="P734" s="165"/>
      <c r="R734" s="164"/>
      <c r="S734" s="165"/>
    </row>
    <row r="735" spans="1:19" s="170" customFormat="1" hidden="1" outlineLevel="2" x14ac:dyDescent="0.25">
      <c r="A735" s="166"/>
      <c r="B735" s="167"/>
      <c r="C735" s="166"/>
      <c r="D735" s="166"/>
      <c r="E735" s="166"/>
      <c r="F735" s="166"/>
      <c r="H735" s="166"/>
      <c r="J735" s="166"/>
      <c r="K735" s="166"/>
      <c r="L735" s="166"/>
      <c r="M735" s="166"/>
      <c r="N735" s="166"/>
      <c r="O735" s="168"/>
      <c r="P735" s="172"/>
      <c r="R735" s="171"/>
      <c r="S735" s="172"/>
    </row>
    <row r="736" spans="1:19" hidden="1" outlineLevel="2" x14ac:dyDescent="0.25">
      <c r="B736" s="174" t="s">
        <v>768</v>
      </c>
      <c r="E736" s="185" t="s">
        <v>669</v>
      </c>
      <c r="F736" s="317">
        <f>P724</f>
        <v>0</v>
      </c>
      <c r="N736" s="264"/>
    </row>
    <row r="737" spans="1:19" hidden="1" outlineLevel="2" x14ac:dyDescent="0.25">
      <c r="B737" s="174" t="s">
        <v>745</v>
      </c>
      <c r="E737" s="185" t="s">
        <v>669</v>
      </c>
      <c r="F737" s="317">
        <f>P723</f>
        <v>0</v>
      </c>
      <c r="N737" s="264"/>
    </row>
    <row r="738" spans="1:19" hidden="1" outlineLevel="2" x14ac:dyDescent="0.25">
      <c r="B738" s="174" t="s">
        <v>746</v>
      </c>
      <c r="E738" s="185" t="s">
        <v>621</v>
      </c>
      <c r="F738" s="214">
        <f>O507-P507</f>
        <v>0</v>
      </c>
      <c r="N738" s="264"/>
    </row>
    <row r="739" spans="1:19" hidden="1" outlineLevel="2" x14ac:dyDescent="0.25">
      <c r="B739" s="174" t="s">
        <v>747</v>
      </c>
      <c r="E739" s="185" t="s">
        <v>748</v>
      </c>
      <c r="F739" s="191" t="str">
        <f>IF(F738=0,"k.A.",(F736+F737)/F738)</f>
        <v>k.A.</v>
      </c>
      <c r="N739" s="264"/>
    </row>
    <row r="740" spans="1:19" hidden="1" outlineLevel="2" x14ac:dyDescent="0.25">
      <c r="E740" s="185" t="s">
        <v>749</v>
      </c>
      <c r="F740" s="318" t="str">
        <f>IF(F738=0,"k.A.",F739*1000)</f>
        <v>k.A.</v>
      </c>
      <c r="N740" s="264"/>
    </row>
    <row r="741" spans="1:19" s="159" customFormat="1" ht="14.25" customHeight="1" collapsed="1" x14ac:dyDescent="0.25">
      <c r="A741" s="156" t="s">
        <v>739</v>
      </c>
      <c r="B741" s="157"/>
      <c r="C741" s="157"/>
      <c r="D741" s="158"/>
      <c r="O741" s="160"/>
      <c r="P741" s="161"/>
      <c r="R741" s="160"/>
      <c r="S741" s="161"/>
    </row>
    <row r="742" spans="1:19" s="162" customFormat="1" hidden="1" outlineLevel="2" x14ac:dyDescent="0.25">
      <c r="B742" s="163" t="s">
        <v>769</v>
      </c>
      <c r="O742" s="164"/>
      <c r="P742" s="165"/>
      <c r="R742" s="164"/>
      <c r="S742" s="165"/>
    </row>
    <row r="743" spans="1:19" s="170" customFormat="1" hidden="1" outlineLevel="2" x14ac:dyDescent="0.25">
      <c r="A743" s="166"/>
      <c r="B743" s="167"/>
      <c r="C743" s="166"/>
      <c r="D743" s="166"/>
      <c r="E743" s="166"/>
      <c r="F743" s="166" t="s">
        <v>811</v>
      </c>
      <c r="G743" s="170" t="s">
        <v>812</v>
      </c>
      <c r="H743" s="166"/>
      <c r="J743" s="166"/>
      <c r="K743" s="166"/>
      <c r="L743" s="166"/>
      <c r="M743" s="166"/>
      <c r="N743" s="166"/>
      <c r="O743" s="168"/>
      <c r="P743" s="172"/>
      <c r="R743" s="171"/>
      <c r="S743" s="172"/>
    </row>
    <row r="744" spans="1:19" hidden="1" outlineLevel="2" x14ac:dyDescent="0.25">
      <c r="B744" s="174" t="s">
        <v>740</v>
      </c>
      <c r="E744" s="185" t="s">
        <v>669</v>
      </c>
      <c r="F744" s="316">
        <f>F719</f>
        <v>0</v>
      </c>
      <c r="G744" s="316">
        <f>F726</f>
        <v>0</v>
      </c>
    </row>
    <row r="745" spans="1:19" hidden="1" outlineLevel="2" x14ac:dyDescent="0.25">
      <c r="B745" s="174" t="s">
        <v>662</v>
      </c>
      <c r="E745" s="185" t="s">
        <v>38</v>
      </c>
      <c r="F745" s="237">
        <f>F645</f>
        <v>4.4649922293402963E-2</v>
      </c>
      <c r="G745" s="237">
        <f>F645</f>
        <v>4.4649922293402963E-2</v>
      </c>
    </row>
    <row r="746" spans="1:19" hidden="1" outlineLevel="2" x14ac:dyDescent="0.25">
      <c r="B746" s="174" t="s">
        <v>750</v>
      </c>
      <c r="E746" s="185" t="s">
        <v>77</v>
      </c>
      <c r="F746" s="214">
        <f>IF(F745=0,"k.A.",IF(F719&lt;0,0,F744/F745))</f>
        <v>0</v>
      </c>
      <c r="G746" s="214">
        <f>IF(G745=0,"k.A.",IF(F726&lt;0,0,G744/G745))</f>
        <v>0</v>
      </c>
    </row>
    <row r="747" spans="1:19" hidden="1" outlineLevel="2" x14ac:dyDescent="0.25">
      <c r="B747" s="174" t="s">
        <v>743</v>
      </c>
      <c r="E747" s="185" t="s">
        <v>13</v>
      </c>
      <c r="F747" s="319">
        <f>IF(F746=0,0,F744/S685)</f>
        <v>0</v>
      </c>
      <c r="G747" s="319">
        <f>IF(G746=0,0,G744/S685)</f>
        <v>0</v>
      </c>
    </row>
    <row r="748" spans="1:19" s="162" customFormat="1" hidden="1" outlineLevel="2" x14ac:dyDescent="0.25">
      <c r="B748" s="163" t="s">
        <v>751</v>
      </c>
      <c r="O748" s="164"/>
      <c r="P748" s="165"/>
      <c r="R748" s="164"/>
      <c r="S748" s="165"/>
    </row>
    <row r="749" spans="1:19" s="170" customFormat="1" hidden="1" outlineLevel="2" x14ac:dyDescent="0.25">
      <c r="A749" s="166"/>
      <c r="B749" s="167"/>
      <c r="C749" s="166"/>
      <c r="D749" s="166"/>
      <c r="E749" s="166"/>
      <c r="F749" s="166" t="s">
        <v>811</v>
      </c>
      <c r="G749" s="170" t="s">
        <v>812</v>
      </c>
      <c r="H749" s="166"/>
      <c r="J749" s="166"/>
      <c r="K749" s="166"/>
      <c r="L749" s="166"/>
      <c r="M749" s="166"/>
      <c r="N749" s="166"/>
      <c r="O749" s="168"/>
      <c r="P749" s="172"/>
      <c r="R749" s="171"/>
      <c r="S749" s="172"/>
    </row>
    <row r="750" spans="1:19" hidden="1" outlineLevel="2" x14ac:dyDescent="0.25">
      <c r="B750" s="174" t="s">
        <v>740</v>
      </c>
      <c r="E750" s="185" t="s">
        <v>669</v>
      </c>
      <c r="F750" s="316">
        <f>IF(F719&lt;0,0,F719)</f>
        <v>0</v>
      </c>
      <c r="G750" s="316">
        <f>IF(F726&lt;0,0,F726)</f>
        <v>0</v>
      </c>
    </row>
    <row r="751" spans="1:19" hidden="1" outlineLevel="2" x14ac:dyDescent="0.25">
      <c r="B751" s="174" t="s">
        <v>752</v>
      </c>
      <c r="E751" s="185" t="s">
        <v>621</v>
      </c>
      <c r="F751" s="320">
        <f>IF(P507&gt;O507,0,O507-P507)</f>
        <v>0</v>
      </c>
      <c r="G751" s="320">
        <f>IF(P507&gt;O507,0,O507-P507)</f>
        <v>0</v>
      </c>
    </row>
    <row r="752" spans="1:19" hidden="1" outlineLevel="2" x14ac:dyDescent="0.25">
      <c r="B752" s="174" t="s">
        <v>753</v>
      </c>
      <c r="E752" s="185" t="s">
        <v>748</v>
      </c>
      <c r="F752" s="237" t="str">
        <f>IF(F751=0,"k.A.",F750/F751)</f>
        <v>k.A.</v>
      </c>
      <c r="G752" s="237" t="str">
        <f>IF(G751=0,"k.A.",G750/G751)</f>
        <v>k.A.</v>
      </c>
    </row>
    <row r="753" spans="1:19" hidden="1" outlineLevel="2" x14ac:dyDescent="0.25">
      <c r="E753" s="185" t="s">
        <v>749</v>
      </c>
      <c r="F753" s="318" t="str">
        <f>IF(F751=0,"k.A.",F752*1000)</f>
        <v>k.A.</v>
      </c>
      <c r="G753" s="318" t="str">
        <f>IF(G751=0,"k.A.",G752*1000)</f>
        <v>k.A.</v>
      </c>
    </row>
    <row r="754" spans="1:19" s="162" customFormat="1" hidden="1" outlineLevel="2" x14ac:dyDescent="0.25">
      <c r="B754" s="163" t="s">
        <v>831</v>
      </c>
      <c r="O754" s="164"/>
      <c r="P754" s="165"/>
      <c r="R754" s="164"/>
      <c r="S754" s="165"/>
    </row>
    <row r="755" spans="1:19" s="170" customFormat="1" hidden="1" outlineLevel="2" x14ac:dyDescent="0.25">
      <c r="A755" s="166"/>
      <c r="B755" s="167"/>
      <c r="C755" s="166"/>
      <c r="D755" s="166"/>
      <c r="E755" s="166"/>
      <c r="F755" s="166"/>
      <c r="H755" s="166"/>
      <c r="J755" s="166"/>
      <c r="K755" s="166"/>
      <c r="L755" s="166"/>
      <c r="M755" s="166"/>
      <c r="N755" s="166"/>
      <c r="O755" s="168" t="s">
        <v>319</v>
      </c>
      <c r="P755" s="169" t="s">
        <v>332</v>
      </c>
      <c r="R755" s="171"/>
      <c r="S755" s="172"/>
    </row>
    <row r="756" spans="1:19" hidden="1" outlineLevel="2" x14ac:dyDescent="0.25">
      <c r="B756" s="174" t="s">
        <v>740</v>
      </c>
      <c r="E756" s="185" t="s">
        <v>669</v>
      </c>
      <c r="F756" s="316">
        <f>IF(F726&lt;0,0,F726)</f>
        <v>0</v>
      </c>
    </row>
    <row r="757" spans="1:19" hidden="1" outlineLevel="2" x14ac:dyDescent="0.25">
      <c r="B757" s="174" t="s">
        <v>832</v>
      </c>
      <c r="E757" s="185" t="s">
        <v>348</v>
      </c>
      <c r="N757" s="264" t="s">
        <v>736</v>
      </c>
      <c r="O757" s="221">
        <f>IF($A$276="",0,IF($D276="V",0,IF($E276="V",0,IF($F276="V",0,IF($G276="V",0,IF($H276="V",0,IF($I276="V",0,IF($J276="V",0,IF($K276="V",0,IF($L276="V",O409,IF($M276="V",O409,0)))))))))))</f>
        <v>0</v>
      </c>
      <c r="P757" s="222">
        <f>IF($A$276="",0,IF($D276="N",0,IF($E276="N",0,IF($F276="N",0,IF($G276="N",0,IF($H276="N",0,IF($I276="N",0,IF($J276="N",0,IF($K276="N",0,IF($L276="N",P409,IF($M276="N",P409,0)))))))))))</f>
        <v>0</v>
      </c>
    </row>
    <row r="758" spans="1:19" hidden="1" outlineLevel="2" x14ac:dyDescent="0.25">
      <c r="B758" s="174" t="s">
        <v>834</v>
      </c>
      <c r="E758" s="185" t="s">
        <v>348</v>
      </c>
      <c r="N758" s="264" t="s">
        <v>40</v>
      </c>
      <c r="O758" s="321">
        <f>L529*O379</f>
        <v>0</v>
      </c>
      <c r="P758" s="222">
        <f>M529*P379</f>
        <v>0</v>
      </c>
    </row>
    <row r="759" spans="1:19" hidden="1" outlineLevel="2" x14ac:dyDescent="0.25">
      <c r="B759" s="174" t="s">
        <v>833</v>
      </c>
      <c r="E759" s="185" t="s">
        <v>348</v>
      </c>
      <c r="N759" s="264" t="s">
        <v>736</v>
      </c>
      <c r="O759" s="321">
        <f>IF($A$303="",0,IF($D303="V",0,IF($E303="V",0,IF($F303="V",0,IF($G303="V",0,IF($H303="V",0,IF($I303="V",0,IF($J303="V",0,IF($K303="V",0,IF($L303="V",O417,IF($M303="V",O417,0)))))))))))</f>
        <v>0</v>
      </c>
      <c r="P759" s="222">
        <f>IF($A$303="",0,IF($D303="N",0,IF($E303="N",0,IF($F303="N",0,IF($G303="N",0,IF($H303="N",0,IF($I303="N",0,IF($J303="N",0,IF($K303="N",0,IF($L303="N",P417,IF($M303="N",P417,0)))))))))))</f>
        <v>0</v>
      </c>
    </row>
    <row r="760" spans="1:19" hidden="1" outlineLevel="2" x14ac:dyDescent="0.25">
      <c r="B760" s="174" t="s">
        <v>835</v>
      </c>
      <c r="E760" s="185" t="s">
        <v>348</v>
      </c>
      <c r="N760" s="264" t="s">
        <v>40</v>
      </c>
      <c r="O760" s="221">
        <f>L530*O388</f>
        <v>0</v>
      </c>
      <c r="P760" s="222">
        <f>M530*P388</f>
        <v>0</v>
      </c>
    </row>
    <row r="761" spans="1:19" hidden="1" outlineLevel="2" x14ac:dyDescent="0.25">
      <c r="B761" s="174" t="s">
        <v>836</v>
      </c>
      <c r="E761" s="185" t="s">
        <v>348</v>
      </c>
      <c r="N761" s="264"/>
      <c r="O761" s="221">
        <f>O757+O759-O758-O760</f>
        <v>0</v>
      </c>
      <c r="P761" s="222">
        <f>P757+P759-P758-P760</f>
        <v>0</v>
      </c>
    </row>
    <row r="762" spans="1:19" hidden="1" outlineLevel="2" x14ac:dyDescent="0.25">
      <c r="B762" s="174" t="s">
        <v>755</v>
      </c>
      <c r="E762" s="185" t="s">
        <v>348</v>
      </c>
      <c r="F762" s="316">
        <f>O761-P761</f>
        <v>0</v>
      </c>
    </row>
    <row r="763" spans="1:19" hidden="1" outlineLevel="2" x14ac:dyDescent="0.25">
      <c r="B763" s="174" t="s">
        <v>754</v>
      </c>
      <c r="E763" s="185" t="s">
        <v>31</v>
      </c>
      <c r="F763" s="191">
        <f>IF(F762=0,0,F756/F762)</f>
        <v>0</v>
      </c>
    </row>
    <row r="764" spans="1:19" hidden="1" outlineLevel="2" x14ac:dyDescent="0.25">
      <c r="B764" s="174" t="s">
        <v>837</v>
      </c>
      <c r="E764" s="185" t="s">
        <v>31</v>
      </c>
      <c r="F764" s="322">
        <f>IF(AND(F762=0,F756&lt;&gt;0),"n.m.",Daten_ALLG!$D$279+F763)</f>
        <v>0.186</v>
      </c>
    </row>
    <row r="765" spans="1:19" hidden="1" outlineLevel="2" x14ac:dyDescent="0.25">
      <c r="E765" s="185"/>
    </row>
  </sheetData>
  <sheetProtection sheet="1" selectLockedCells="1" selectUnlockedCells="1"/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D62878-0BFB-46CF-B867-3451B4D3A658}">
  <sheetPr codeName="Tabelle7">
    <tabColor theme="1"/>
    <outlinePr summaryBelow="0" summaryRight="0"/>
  </sheetPr>
  <dimension ref="A1:U765"/>
  <sheetViews>
    <sheetView showGridLines="0" zoomScale="85" zoomScaleNormal="85" workbookViewId="0">
      <pane ySplit="12" topLeftCell="A13" activePane="bottomLeft" state="frozen"/>
      <selection activeCell="B3" sqref="B3:D7"/>
      <selection pane="bottomLeft" activeCell="A39" sqref="A39"/>
    </sheetView>
  </sheetViews>
  <sheetFormatPr baseColWidth="10" defaultRowHeight="15" outlineLevelRow="2" x14ac:dyDescent="0.25"/>
  <cols>
    <col min="1" max="1" width="4.140625" style="173" customWidth="1"/>
    <col min="2" max="2" width="14.28515625" style="174" customWidth="1"/>
    <col min="3" max="3" width="12.85546875" style="173" customWidth="1"/>
    <col min="4" max="14" width="9.42578125" style="173" customWidth="1"/>
    <col min="15" max="15" width="9.42578125" style="178" customWidth="1"/>
    <col min="16" max="16" width="9.42578125" style="179" customWidth="1"/>
    <col min="17" max="17" width="9.42578125" style="173" customWidth="1"/>
    <col min="18" max="18" width="9.42578125" style="178" customWidth="1"/>
    <col min="19" max="19" width="9.42578125" style="179" customWidth="1"/>
    <col min="20" max="16384" width="11.42578125" style="173"/>
  </cols>
  <sheetData>
    <row r="1" spans="1:21" s="109" customFormat="1" ht="14.25" customHeight="1" x14ac:dyDescent="0.25">
      <c r="A1" s="106" t="s">
        <v>893</v>
      </c>
      <c r="B1" s="107"/>
      <c r="C1" s="107"/>
      <c r="D1" s="108"/>
    </row>
    <row r="2" spans="1:21" s="110" customFormat="1" ht="15.75" customHeight="1" outlineLevel="1" x14ac:dyDescent="0.2">
      <c r="B2" s="110" t="s">
        <v>339</v>
      </c>
      <c r="C2" s="111" t="s">
        <v>517</v>
      </c>
      <c r="D2" s="110" t="s">
        <v>623</v>
      </c>
      <c r="E2" s="110" t="s">
        <v>609</v>
      </c>
      <c r="F2" s="110" t="s">
        <v>522</v>
      </c>
      <c r="G2" s="110" t="s">
        <v>582</v>
      </c>
      <c r="I2" s="110" t="s">
        <v>529</v>
      </c>
      <c r="J2" s="110" t="s">
        <v>531</v>
      </c>
      <c r="K2" s="110" t="s">
        <v>614</v>
      </c>
      <c r="L2" s="110" t="s">
        <v>615</v>
      </c>
      <c r="M2" s="110" t="s">
        <v>683</v>
      </c>
      <c r="O2" s="110" t="s">
        <v>816</v>
      </c>
      <c r="P2" s="110" t="s">
        <v>894</v>
      </c>
      <c r="Q2" s="110" t="s">
        <v>896</v>
      </c>
      <c r="R2" s="110" t="s">
        <v>2</v>
      </c>
      <c r="S2" s="110" t="s">
        <v>7</v>
      </c>
    </row>
    <row r="3" spans="1:21" s="110" customFormat="1" ht="15.75" customHeight="1" outlineLevel="1" x14ac:dyDescent="0.2">
      <c r="B3" s="110" t="s">
        <v>886</v>
      </c>
      <c r="C3" s="111" t="s">
        <v>626</v>
      </c>
      <c r="D3" s="111" t="s">
        <v>626</v>
      </c>
      <c r="E3" s="337" t="s">
        <v>887</v>
      </c>
      <c r="F3" s="111" t="s">
        <v>626</v>
      </c>
      <c r="G3" s="111" t="s">
        <v>626</v>
      </c>
      <c r="I3" s="111" t="s">
        <v>626</v>
      </c>
      <c r="J3" s="111" t="s">
        <v>626</v>
      </c>
      <c r="K3" s="111" t="s">
        <v>791</v>
      </c>
      <c r="L3" s="111" t="s">
        <v>791</v>
      </c>
      <c r="M3" s="111" t="s">
        <v>888</v>
      </c>
      <c r="O3" s="111" t="s">
        <v>888</v>
      </c>
      <c r="P3" s="337" t="s">
        <v>887</v>
      </c>
      <c r="Q3" s="110" t="s">
        <v>889</v>
      </c>
      <c r="R3" s="110" t="s">
        <v>890</v>
      </c>
      <c r="S3" s="110" t="s">
        <v>890</v>
      </c>
    </row>
    <row r="4" spans="1:21" s="125" customFormat="1" ht="15.75" customHeight="1" outlineLevel="1" x14ac:dyDescent="0.25">
      <c r="A4" s="112" t="s">
        <v>782</v>
      </c>
      <c r="B4" s="113">
        <f>O94</f>
        <v>1.6118843734196517</v>
      </c>
      <c r="C4" s="114">
        <f>O435</f>
        <v>84.026975917841057</v>
      </c>
      <c r="D4" s="115">
        <f>O439</f>
        <v>90.521521879377744</v>
      </c>
      <c r="E4" s="116">
        <f>O441</f>
        <v>0.88345464298346221</v>
      </c>
      <c r="F4" s="117">
        <f>O442</f>
        <v>102.46312314765011</v>
      </c>
      <c r="G4" s="117">
        <f>O481</f>
        <v>107.71927527022081</v>
      </c>
      <c r="H4" s="112" t="s">
        <v>782</v>
      </c>
      <c r="I4" s="118">
        <f>O451</f>
        <v>100.00380899547551</v>
      </c>
      <c r="J4" s="119">
        <f>F4+F9</f>
        <v>134.48374588706426</v>
      </c>
      <c r="K4" s="338">
        <f>O516</f>
        <v>32.239177001578334</v>
      </c>
      <c r="L4" s="120">
        <f>O522</f>
        <v>46.542555751449683</v>
      </c>
      <c r="M4" s="121">
        <f>O709</f>
        <v>9185.7568009821844</v>
      </c>
      <c r="N4" s="112" t="s">
        <v>815</v>
      </c>
      <c r="O4" s="121">
        <f>G744</f>
        <v>0</v>
      </c>
      <c r="P4" s="122">
        <f>G747</f>
        <v>0</v>
      </c>
      <c r="Q4" s="123" t="str">
        <f>G753</f>
        <v>k.A.</v>
      </c>
      <c r="R4" s="336" t="str">
        <f>IF(Q4="k.A.","k.A.",Q4/1000*Daten_ALLG!$D$204/1000+Daten_ALLG!$D$276)</f>
        <v>k.A.</v>
      </c>
      <c r="S4" s="336" t="str">
        <f>IF(Q4="k.A.","k.A.",Q4*Daten_ALLG!$D$209/1000/1000+Daten_ALLG!$D$278)</f>
        <v>k.A.</v>
      </c>
    </row>
    <row r="5" spans="1:21" s="125" customFormat="1" ht="15.75" customHeight="1" outlineLevel="1" x14ac:dyDescent="0.25">
      <c r="A5" s="112" t="s">
        <v>783</v>
      </c>
      <c r="B5" s="113">
        <f>P94</f>
        <v>1.6118843734196517</v>
      </c>
      <c r="C5" s="114">
        <f>P435</f>
        <v>84.026975917841057</v>
      </c>
      <c r="D5" s="115">
        <f>P439</f>
        <v>90.521521879377744</v>
      </c>
      <c r="E5" s="116">
        <f>P441</f>
        <v>0.88345464298346221</v>
      </c>
      <c r="F5" s="117">
        <f>P442</f>
        <v>102.46312314765011</v>
      </c>
      <c r="G5" s="117">
        <f>P481</f>
        <v>107.71927527022081</v>
      </c>
      <c r="H5" s="112" t="s">
        <v>783</v>
      </c>
      <c r="I5" s="118">
        <f>P451</f>
        <v>100.00380899547551</v>
      </c>
      <c r="J5" s="119">
        <f>F5+F10</f>
        <v>134.48374588706426</v>
      </c>
      <c r="K5" s="338">
        <f>P516</f>
        <v>32.239177001578334</v>
      </c>
      <c r="L5" s="120">
        <f>P522</f>
        <v>46.542555751449683</v>
      </c>
      <c r="M5" s="121">
        <f>P709</f>
        <v>9185.7568009821844</v>
      </c>
      <c r="N5" s="112" t="s">
        <v>814</v>
      </c>
      <c r="O5" s="121">
        <f>F744</f>
        <v>0</v>
      </c>
      <c r="P5" s="122">
        <f>F747</f>
        <v>0</v>
      </c>
      <c r="Q5" s="123" t="str">
        <f>F753</f>
        <v>k.A.</v>
      </c>
      <c r="R5" s="336" t="str">
        <f>IF(Q5="k.A.","k.A.",Q5/1000*Daten_ALLG!$D$204/1000+Daten_ALLG!$D$276)</f>
        <v>k.A.</v>
      </c>
      <c r="S5" s="336" t="str">
        <f>IF(Q5="k.A.","k.A.",Q5*Daten_ALLG!$D$209/1000/1000+Daten_ALLG!$D$278)</f>
        <v>k.A.</v>
      </c>
    </row>
    <row r="6" spans="1:21" s="125" customFormat="1" ht="15.75" customHeight="1" outlineLevel="1" x14ac:dyDescent="0.25">
      <c r="A6" s="112"/>
      <c r="B6" s="126">
        <f>B5/B4-1</f>
        <v>0</v>
      </c>
      <c r="C6" s="127">
        <f>C5/C4-1</f>
        <v>0</v>
      </c>
      <c r="D6" s="128">
        <f t="shared" ref="D6:L6" si="0">D5/D4-1</f>
        <v>0</v>
      </c>
      <c r="E6" s="128">
        <f t="shared" si="0"/>
        <v>0</v>
      </c>
      <c r="F6" s="129">
        <f t="shared" si="0"/>
        <v>0</v>
      </c>
      <c r="G6" s="129">
        <f t="shared" si="0"/>
        <v>0</v>
      </c>
      <c r="H6" s="112"/>
      <c r="I6" s="130">
        <f t="shared" si="0"/>
        <v>0</v>
      </c>
      <c r="J6" s="131">
        <f t="shared" si="0"/>
        <v>0</v>
      </c>
      <c r="K6" s="339">
        <f t="shared" si="0"/>
        <v>0</v>
      </c>
      <c r="L6" s="132">
        <f t="shared" si="0"/>
        <v>0</v>
      </c>
      <c r="M6" s="133">
        <f>M5/M4-1</f>
        <v>0</v>
      </c>
      <c r="P6" s="112"/>
      <c r="R6" s="112"/>
      <c r="T6" s="134"/>
    </row>
    <row r="7" spans="1:21" s="110" customFormat="1" ht="15.75" customHeight="1" outlineLevel="1" x14ac:dyDescent="0.2">
      <c r="A7" s="135"/>
      <c r="B7" s="110" t="s">
        <v>784</v>
      </c>
      <c r="C7" s="110" t="s">
        <v>523</v>
      </c>
      <c r="D7" s="110" t="s">
        <v>624</v>
      </c>
      <c r="E7" s="110" t="s">
        <v>610</v>
      </c>
      <c r="F7" s="110" t="s">
        <v>528</v>
      </c>
      <c r="G7" s="110" t="s">
        <v>608</v>
      </c>
      <c r="I7" s="110" t="s">
        <v>534</v>
      </c>
      <c r="J7" s="110" t="s">
        <v>533</v>
      </c>
      <c r="K7" s="110" t="s">
        <v>734</v>
      </c>
      <c r="L7" s="110" t="s">
        <v>715</v>
      </c>
      <c r="N7" s="110" t="s">
        <v>680</v>
      </c>
      <c r="O7" s="110" t="s">
        <v>681</v>
      </c>
      <c r="P7" s="110" t="s">
        <v>682</v>
      </c>
      <c r="Q7" s="110" t="s">
        <v>684</v>
      </c>
      <c r="S7" s="110" t="s">
        <v>895</v>
      </c>
    </row>
    <row r="8" spans="1:21" s="110" customFormat="1" ht="15.75" customHeight="1" outlineLevel="1" x14ac:dyDescent="0.2">
      <c r="A8" s="135"/>
      <c r="B8" s="110" t="s">
        <v>891</v>
      </c>
      <c r="C8" s="111" t="s">
        <v>626</v>
      </c>
      <c r="D8" s="111" t="s">
        <v>626</v>
      </c>
      <c r="E8" s="337" t="s">
        <v>887</v>
      </c>
      <c r="F8" s="111" t="s">
        <v>626</v>
      </c>
      <c r="G8" s="111" t="s">
        <v>626</v>
      </c>
      <c r="I8" s="111" t="s">
        <v>626</v>
      </c>
      <c r="J8" s="111" t="s">
        <v>626</v>
      </c>
      <c r="K8" s="111" t="s">
        <v>626</v>
      </c>
      <c r="L8" s="111" t="s">
        <v>626</v>
      </c>
      <c r="N8" s="110" t="s">
        <v>892</v>
      </c>
      <c r="O8" s="111" t="s">
        <v>888</v>
      </c>
      <c r="P8" s="111" t="s">
        <v>888</v>
      </c>
      <c r="Q8" s="111" t="s">
        <v>888</v>
      </c>
      <c r="S8" s="110" t="s">
        <v>889</v>
      </c>
    </row>
    <row r="9" spans="1:21" s="146" customFormat="1" ht="15.75" customHeight="1" outlineLevel="1" x14ac:dyDescent="0.25">
      <c r="A9" s="136" t="s">
        <v>782</v>
      </c>
      <c r="B9" s="137">
        <f>O101</f>
        <v>51.580299949428856</v>
      </c>
      <c r="C9" s="138">
        <f>O443</f>
        <v>14.608609078456503</v>
      </c>
      <c r="D9" s="139">
        <f>O447</f>
        <v>28.887116586715333</v>
      </c>
      <c r="E9" s="140">
        <f>O416</f>
        <v>0.90214099899931721</v>
      </c>
      <c r="F9" s="141">
        <f>O450</f>
        <v>32.020622739414144</v>
      </c>
      <c r="G9" s="141">
        <f>O484</f>
        <v>36.596163994594811</v>
      </c>
      <c r="H9" s="136" t="s">
        <v>782</v>
      </c>
      <c r="I9" s="142">
        <f>O456</f>
        <v>32.406658497394929</v>
      </c>
      <c r="J9" s="143">
        <f>O459</f>
        <v>1.918414931801866</v>
      </c>
      <c r="K9" s="144">
        <f>O457</f>
        <v>0.19184149318018662</v>
      </c>
      <c r="L9" s="144">
        <f>O458</f>
        <v>1.7265734386216796</v>
      </c>
      <c r="M9" s="112" t="s">
        <v>815</v>
      </c>
      <c r="N9" s="145">
        <f>S665-R665</f>
        <v>0</v>
      </c>
      <c r="O9" s="121">
        <f>P724</f>
        <v>0</v>
      </c>
      <c r="P9" s="121">
        <f>P723</f>
        <v>0</v>
      </c>
      <c r="Q9" s="121">
        <f>P725</f>
        <v>9185.7568009821844</v>
      </c>
      <c r="R9" s="112"/>
      <c r="S9" s="123" t="str">
        <f>F740</f>
        <v>k.A.</v>
      </c>
    </row>
    <row r="10" spans="1:21" s="146" customFormat="1" ht="15.75" customHeight="1" outlineLevel="1" x14ac:dyDescent="0.25">
      <c r="A10" s="112" t="s">
        <v>783</v>
      </c>
      <c r="B10" s="137">
        <f>P101</f>
        <v>51.580299949428856</v>
      </c>
      <c r="C10" s="138">
        <f>P443</f>
        <v>14.608609078456503</v>
      </c>
      <c r="D10" s="139">
        <f>P447</f>
        <v>28.887116586715333</v>
      </c>
      <c r="E10" s="140">
        <f>P416</f>
        <v>0.90214099899931721</v>
      </c>
      <c r="F10" s="141">
        <f>P450</f>
        <v>32.020622739414144</v>
      </c>
      <c r="G10" s="141">
        <f>P484</f>
        <v>36.596163994594811</v>
      </c>
      <c r="H10" s="136" t="s">
        <v>783</v>
      </c>
      <c r="I10" s="142">
        <f>P456</f>
        <v>32.406658497394929</v>
      </c>
      <c r="J10" s="143">
        <f>P459</f>
        <v>1.918414931801866</v>
      </c>
      <c r="K10" s="144">
        <f>P457</f>
        <v>0.19184149318018662</v>
      </c>
      <c r="L10" s="144">
        <f>P458</f>
        <v>1.7265734386216796</v>
      </c>
      <c r="M10" s="112" t="s">
        <v>814</v>
      </c>
      <c r="N10" s="145">
        <f>S665</f>
        <v>0</v>
      </c>
      <c r="O10" s="121">
        <f>P711</f>
        <v>0</v>
      </c>
      <c r="P10" s="121">
        <f>P710</f>
        <v>0</v>
      </c>
      <c r="Q10" s="121">
        <f>P712</f>
        <v>9185.7568009821844</v>
      </c>
      <c r="R10" s="112"/>
      <c r="S10" s="123" t="str">
        <f>F733</f>
        <v>k.A.</v>
      </c>
      <c r="U10" s="147"/>
    </row>
    <row r="11" spans="1:21" s="125" customFormat="1" ht="15.75" customHeight="1" outlineLevel="1" x14ac:dyDescent="0.25">
      <c r="A11" s="112"/>
      <c r="B11" s="126">
        <f>B10/B9-1</f>
        <v>0</v>
      </c>
      <c r="C11" s="148">
        <f>C10/C9-1</f>
        <v>0</v>
      </c>
      <c r="D11" s="149">
        <f t="shared" ref="D11:G11" si="1">D10/D9-1</f>
        <v>0</v>
      </c>
      <c r="E11" s="149">
        <f t="shared" si="1"/>
        <v>0</v>
      </c>
      <c r="F11" s="150">
        <f t="shared" si="1"/>
        <v>0</v>
      </c>
      <c r="G11" s="150">
        <f t="shared" si="1"/>
        <v>0</v>
      </c>
      <c r="H11" s="112"/>
      <c r="I11" s="131">
        <f t="shared" ref="I11" si="2">I10/I9-1</f>
        <v>0</v>
      </c>
      <c r="J11" s="151">
        <f>IF(J9=0,"k.A.",J10/J9-1)</f>
        <v>0</v>
      </c>
      <c r="K11" s="152">
        <f>IF(K9=0,"k.A.",K10/K9-1)</f>
        <v>0</v>
      </c>
      <c r="L11" s="152" t="s">
        <v>830</v>
      </c>
      <c r="M11" s="112"/>
      <c r="P11" s="112"/>
      <c r="Q11" s="112"/>
      <c r="R11" s="112"/>
      <c r="S11" s="112"/>
      <c r="T11" s="134"/>
    </row>
    <row r="12" spans="1:21" s="155" customFormat="1" x14ac:dyDescent="0.25">
      <c r="A12" s="153"/>
      <c r="B12" s="154"/>
      <c r="C12" s="153"/>
      <c r="D12" s="153"/>
      <c r="E12" s="154"/>
      <c r="F12" s="153"/>
      <c r="G12" s="153"/>
      <c r="H12" s="153"/>
      <c r="I12" s="154"/>
      <c r="J12" s="153"/>
      <c r="K12" s="153"/>
      <c r="L12" s="153"/>
      <c r="M12" s="154"/>
      <c r="N12" s="153"/>
      <c r="O12" s="153"/>
      <c r="P12" s="153"/>
      <c r="Q12" s="153"/>
      <c r="R12" s="153"/>
      <c r="S12" s="153"/>
    </row>
    <row r="13" spans="1:21" s="159" customFormat="1" ht="14.25" customHeight="1" collapsed="1" x14ac:dyDescent="0.25">
      <c r="A13" s="156" t="s">
        <v>245</v>
      </c>
      <c r="B13" s="157"/>
      <c r="C13" s="157"/>
      <c r="D13" s="158"/>
      <c r="O13" s="160"/>
      <c r="P13" s="161"/>
      <c r="R13" s="160"/>
      <c r="S13" s="161"/>
    </row>
    <row r="14" spans="1:21" s="162" customFormat="1" hidden="1" outlineLevel="2" x14ac:dyDescent="0.25">
      <c r="B14" s="163" t="s">
        <v>342</v>
      </c>
      <c r="O14" s="164"/>
      <c r="P14" s="165"/>
      <c r="R14" s="164"/>
      <c r="S14" s="165"/>
    </row>
    <row r="15" spans="1:21" s="170" customFormat="1" hidden="1" outlineLevel="2" x14ac:dyDescent="0.25">
      <c r="A15" s="166"/>
      <c r="B15" s="167"/>
      <c r="C15" s="166"/>
      <c r="D15" s="166"/>
      <c r="E15" s="166"/>
      <c r="F15" s="166"/>
      <c r="G15" s="166"/>
      <c r="H15" s="166"/>
      <c r="I15" s="166"/>
      <c r="J15" s="166"/>
      <c r="K15" s="166"/>
      <c r="L15" s="166"/>
      <c r="M15" s="166"/>
      <c r="N15" s="166"/>
      <c r="O15" s="168" t="s">
        <v>319</v>
      </c>
      <c r="P15" s="169" t="s">
        <v>332</v>
      </c>
      <c r="R15" s="171"/>
      <c r="S15" s="172"/>
    </row>
    <row r="16" spans="1:21" hidden="1" outlineLevel="2" x14ac:dyDescent="0.25">
      <c r="B16" s="174" t="s">
        <v>344</v>
      </c>
      <c r="C16" s="175" t="s">
        <v>64</v>
      </c>
      <c r="O16" s="176">
        <f>Daten_ALLG!$D$4+O94*Daten_ALLG!$F$4</f>
        <v>15.175486902955793</v>
      </c>
      <c r="P16" s="177">
        <f>Daten_ALLG!$D$4+P94*Daten_ALLG!$F$4</f>
        <v>15.175486902955793</v>
      </c>
    </row>
    <row r="17" spans="1:19" hidden="1" outlineLevel="2" x14ac:dyDescent="0.25">
      <c r="B17" s="174" t="s">
        <v>341</v>
      </c>
      <c r="C17" s="175" t="s">
        <v>64</v>
      </c>
      <c r="O17" s="176">
        <f>Daten_ALLG!$D$12+Daten_ALLG!$F$12*O16</f>
        <v>6.4385744005144163</v>
      </c>
      <c r="P17" s="177">
        <f>Daten_ALLG!$D$12+Daten_ALLG!$F$12*P16</f>
        <v>6.4385744005144163</v>
      </c>
    </row>
    <row r="18" spans="1:19" hidden="1" outlineLevel="2" x14ac:dyDescent="0.25">
      <c r="B18" s="174" t="s">
        <v>343</v>
      </c>
      <c r="C18" s="175" t="s">
        <v>160</v>
      </c>
      <c r="O18" s="180">
        <f>Daten_ALLG!$D$11+Daten_ALLG!$F$11*O16</f>
        <v>269.66630574924329</v>
      </c>
      <c r="P18" s="181">
        <f>Daten_ALLG!$D$11+Daten_ALLG!$F$11*P16</f>
        <v>269.66630574924329</v>
      </c>
    </row>
    <row r="19" spans="1:19" hidden="1" outlineLevel="2" x14ac:dyDescent="0.25">
      <c r="B19" s="174" t="s">
        <v>346</v>
      </c>
      <c r="C19" s="175" t="s">
        <v>622</v>
      </c>
      <c r="D19" s="173" t="s">
        <v>807</v>
      </c>
      <c r="O19" s="182">
        <f>(O16-O17)*O18*24/1000</f>
        <v>56.545222036505834</v>
      </c>
      <c r="P19" s="183">
        <f>(P16-P17)*P18*24/1000</f>
        <v>56.545222036505834</v>
      </c>
    </row>
    <row r="20" spans="1:19" s="162" customFormat="1" hidden="1" outlineLevel="2" x14ac:dyDescent="0.25">
      <c r="B20" s="163" t="s">
        <v>345</v>
      </c>
      <c r="O20" s="164"/>
      <c r="P20" s="165"/>
      <c r="R20" s="164"/>
      <c r="S20" s="165"/>
    </row>
    <row r="21" spans="1:19" s="170" customFormat="1" hidden="1" outlineLevel="2" x14ac:dyDescent="0.25">
      <c r="A21" s="166"/>
      <c r="B21" s="167"/>
      <c r="C21" s="166"/>
      <c r="D21" s="166"/>
      <c r="E21" s="166"/>
      <c r="F21" s="166"/>
      <c r="G21" s="166"/>
      <c r="H21" s="166"/>
      <c r="I21" s="166"/>
      <c r="J21" s="166"/>
      <c r="K21" s="166"/>
      <c r="L21" s="166"/>
      <c r="M21" s="166"/>
      <c r="N21" s="166"/>
      <c r="O21" s="168" t="s">
        <v>319</v>
      </c>
      <c r="P21" s="169" t="s">
        <v>332</v>
      </c>
      <c r="R21" s="171"/>
      <c r="S21" s="172"/>
    </row>
    <row r="22" spans="1:19" hidden="1" outlineLevel="2" x14ac:dyDescent="0.25">
      <c r="B22" s="174" t="s">
        <v>346</v>
      </c>
      <c r="C22" s="175" t="s">
        <v>58</v>
      </c>
      <c r="O22" s="180">
        <f>Daten_ALLG!$D$20+Daten_ALLG!$F$20*O16</f>
        <v>480.52921417734763</v>
      </c>
      <c r="P22" s="181">
        <f>Daten_ALLG!$D$20+Daten_ALLG!$F$20*P16</f>
        <v>480.52921417734763</v>
      </c>
    </row>
    <row r="23" spans="1:19" s="159" customFormat="1" ht="14.25" customHeight="1" collapsed="1" x14ac:dyDescent="0.25">
      <c r="A23" s="156" t="s">
        <v>350</v>
      </c>
      <c r="B23" s="157"/>
      <c r="C23" s="157"/>
      <c r="D23" s="158"/>
      <c r="O23" s="160"/>
      <c r="P23" s="161"/>
      <c r="R23" s="160"/>
      <c r="S23" s="161"/>
    </row>
    <row r="24" spans="1:19" s="162" customFormat="1" hidden="1" outlineLevel="2" x14ac:dyDescent="0.25">
      <c r="B24" s="163" t="s">
        <v>147</v>
      </c>
      <c r="O24" s="164"/>
      <c r="P24" s="165"/>
      <c r="R24" s="164"/>
      <c r="S24" s="165"/>
    </row>
    <row r="25" spans="1:19" s="170" customFormat="1" hidden="1" outlineLevel="2" x14ac:dyDescent="0.25">
      <c r="A25" s="166"/>
      <c r="B25" s="167"/>
      <c r="C25" s="166"/>
      <c r="D25" s="166"/>
      <c r="E25" s="166"/>
      <c r="F25" s="166"/>
      <c r="G25" s="166"/>
      <c r="H25" s="166"/>
      <c r="I25" s="166"/>
      <c r="J25" s="166"/>
      <c r="K25" s="166"/>
      <c r="L25" s="166"/>
      <c r="M25" s="166"/>
      <c r="N25" s="166"/>
      <c r="O25" s="168" t="s">
        <v>319</v>
      </c>
      <c r="P25" s="169" t="s">
        <v>332</v>
      </c>
      <c r="R25" s="171"/>
      <c r="S25" s="172"/>
    </row>
    <row r="26" spans="1:19" hidden="1" outlineLevel="2" x14ac:dyDescent="0.25">
      <c r="B26" s="174" t="s">
        <v>347</v>
      </c>
      <c r="C26" s="175" t="s">
        <v>64</v>
      </c>
      <c r="O26" s="176">
        <f>Daten_ALLG!$D$27-Daten_MFH!$D$5^Daten_ALLG!$F$28*O94^Daten_ALLG!$H$28*Daten_ALLG!$J$28</f>
        <v>19.791331981093172</v>
      </c>
      <c r="P26" s="177">
        <f>Daten_ALLG!$D$27-Daten_MFH!$D$5^Daten_ALLG!$F$28*P94^Daten_ALLG!$H$28*Daten_ALLG!$J$28</f>
        <v>19.791331981093172</v>
      </c>
    </row>
    <row r="27" spans="1:19" s="162" customFormat="1" hidden="1" outlineLevel="2" x14ac:dyDescent="0.25">
      <c r="B27" s="163" t="s">
        <v>74</v>
      </c>
      <c r="O27" s="164"/>
      <c r="P27" s="165"/>
      <c r="R27" s="164"/>
      <c r="S27" s="165"/>
    </row>
    <row r="28" spans="1:19" s="170" customFormat="1" hidden="1" outlineLevel="2" x14ac:dyDescent="0.25">
      <c r="A28" s="166"/>
      <c r="B28" s="167"/>
      <c r="C28" s="166"/>
      <c r="D28" s="166"/>
      <c r="E28" s="166"/>
      <c r="F28" s="166"/>
      <c r="G28" s="166"/>
      <c r="H28" s="166"/>
      <c r="I28" s="166"/>
      <c r="J28" s="166"/>
      <c r="K28" s="166"/>
      <c r="L28" s="166"/>
      <c r="M28" s="166"/>
      <c r="N28" s="166"/>
      <c r="O28" s="168" t="s">
        <v>319</v>
      </c>
      <c r="P28" s="169" t="s">
        <v>332</v>
      </c>
      <c r="R28" s="171"/>
      <c r="S28" s="172"/>
    </row>
    <row r="29" spans="1:19" hidden="1" outlineLevel="2" x14ac:dyDescent="0.25">
      <c r="B29" s="174" t="s">
        <v>351</v>
      </c>
      <c r="C29" s="175" t="s">
        <v>352</v>
      </c>
      <c r="D29" s="184">
        <f>Daten_ALLG!$D$46</f>
        <v>563.89231042842107</v>
      </c>
    </row>
    <row r="30" spans="1:19" hidden="1" outlineLevel="2" x14ac:dyDescent="0.25">
      <c r="B30" s="174" t="s">
        <v>468</v>
      </c>
      <c r="C30" s="185" t="s">
        <v>348</v>
      </c>
      <c r="O30" s="180">
        <f>D29*Daten_MFH!$D$6</f>
        <v>6865.5359202706286</v>
      </c>
      <c r="P30" s="181">
        <f>O30</f>
        <v>6865.5359202706286</v>
      </c>
    </row>
    <row r="31" spans="1:19" s="162" customFormat="1" hidden="1" outlineLevel="2" x14ac:dyDescent="0.25">
      <c r="B31" s="163" t="s">
        <v>353</v>
      </c>
      <c r="O31" s="164"/>
      <c r="P31" s="165"/>
      <c r="R31" s="164"/>
      <c r="S31" s="165"/>
    </row>
    <row r="32" spans="1:19" s="170" customFormat="1" hidden="1" outlineLevel="2" x14ac:dyDescent="0.25">
      <c r="A32" s="166"/>
      <c r="B32" s="167"/>
      <c r="C32" s="166"/>
      <c r="D32" s="166" t="s">
        <v>389</v>
      </c>
      <c r="E32" s="166" t="s">
        <v>12</v>
      </c>
      <c r="F32" s="166" t="s">
        <v>24</v>
      </c>
      <c r="G32" s="166"/>
      <c r="H32" s="166"/>
      <c r="J32" s="166"/>
      <c r="K32" s="166"/>
      <c r="L32" s="166"/>
      <c r="M32" s="166"/>
      <c r="N32" s="166"/>
      <c r="O32" s="168" t="s">
        <v>319</v>
      </c>
      <c r="P32" s="169" t="s">
        <v>332</v>
      </c>
      <c r="R32" s="171"/>
      <c r="S32" s="172"/>
    </row>
    <row r="33" spans="1:19" hidden="1" outlineLevel="2" x14ac:dyDescent="0.25">
      <c r="B33" s="174" t="s">
        <v>354</v>
      </c>
      <c r="C33" s="175" t="s">
        <v>355</v>
      </c>
      <c r="D33" s="186">
        <f>E34*E33+F33*F34</f>
        <v>1.6874911413963996</v>
      </c>
      <c r="E33" s="187">
        <v>0</v>
      </c>
      <c r="F33" s="187">
        <f>Daten_ALLG!$D$162*D80*Daten_MFH!$D$20</f>
        <v>168.74911413963994</v>
      </c>
      <c r="G33" s="188"/>
      <c r="H33" s="188"/>
      <c r="J33" s="188"/>
      <c r="K33" s="188"/>
      <c r="L33" s="188"/>
      <c r="M33" s="188"/>
      <c r="N33" s="188"/>
      <c r="O33" s="189">
        <f>O89</f>
        <v>1.6874911413963996</v>
      </c>
      <c r="P33" s="190">
        <f>P89</f>
        <v>1.6874911413963996</v>
      </c>
    </row>
    <row r="34" spans="1:19" hidden="1" outlineLevel="2" x14ac:dyDescent="0.25">
      <c r="B34" s="174" t="s">
        <v>157</v>
      </c>
      <c r="C34" s="185" t="s">
        <v>13</v>
      </c>
      <c r="E34" s="191">
        <f>1-F34</f>
        <v>0.99</v>
      </c>
      <c r="F34" s="191">
        <f>Daten_MFH!$D$112</f>
        <v>0.01</v>
      </c>
      <c r="G34" s="192"/>
      <c r="H34" s="192"/>
      <c r="J34" s="192"/>
      <c r="K34" s="192"/>
      <c r="L34" s="192"/>
      <c r="M34" s="192"/>
      <c r="N34" s="192"/>
    </row>
    <row r="35" spans="1:19" hidden="1" outlineLevel="2" x14ac:dyDescent="0.25">
      <c r="B35" s="174" t="s">
        <v>356</v>
      </c>
      <c r="C35" s="185" t="s">
        <v>348</v>
      </c>
      <c r="O35" s="193">
        <f>O33*O18*24/1000</f>
        <v>10.921428050038585</v>
      </c>
      <c r="P35" s="194">
        <f>P33*P18*24/1000</f>
        <v>10.921428050038585</v>
      </c>
    </row>
    <row r="36" spans="1:19" hidden="1" outlineLevel="2" x14ac:dyDescent="0.25">
      <c r="B36" s="174" t="s">
        <v>357</v>
      </c>
      <c r="C36" s="175" t="s">
        <v>352</v>
      </c>
      <c r="D36" s="184">
        <f>Daten_ALLG!$D$50</f>
        <v>1250</v>
      </c>
    </row>
    <row r="37" spans="1:19" hidden="1" outlineLevel="2" x14ac:dyDescent="0.25">
      <c r="B37" s="174" t="s">
        <v>476</v>
      </c>
      <c r="C37" s="185" t="s">
        <v>348</v>
      </c>
      <c r="O37" s="180">
        <f>D36*Daten_MFH!$D$6+O35</f>
        <v>15229.997378594768</v>
      </c>
      <c r="P37" s="181">
        <f>D36*Daten_MFH!$D$6+P35</f>
        <v>15229.997378594768</v>
      </c>
    </row>
    <row r="38" spans="1:19" s="159" customFormat="1" ht="14.25" customHeight="1" thickBot="1" x14ac:dyDescent="0.3">
      <c r="A38" s="156" t="s">
        <v>337</v>
      </c>
      <c r="B38" s="157"/>
      <c r="C38" s="157"/>
      <c r="D38" s="158"/>
      <c r="O38" s="160"/>
      <c r="P38" s="161"/>
      <c r="R38" s="160"/>
      <c r="S38" s="161"/>
    </row>
    <row r="39" spans="1:19" s="162" customFormat="1" ht="15.75" outlineLevel="1" thickBot="1" x14ac:dyDescent="0.3">
      <c r="A39" s="335"/>
      <c r="B39" s="163" t="s">
        <v>16</v>
      </c>
      <c r="D39" s="335"/>
      <c r="E39" s="335"/>
      <c r="F39" s="335"/>
      <c r="G39" s="335"/>
      <c r="H39" s="335"/>
      <c r="O39" s="164"/>
      <c r="P39" s="165"/>
      <c r="R39" s="164" t="s">
        <v>457</v>
      </c>
      <c r="S39" s="165"/>
    </row>
    <row r="40" spans="1:19" s="170" customFormat="1" ht="15.75" outlineLevel="1" collapsed="1" thickBot="1" x14ac:dyDescent="0.3">
      <c r="A40" s="166"/>
      <c r="B40" s="167"/>
      <c r="C40" s="166"/>
      <c r="D40" s="166" t="s">
        <v>389</v>
      </c>
      <c r="E40" s="166" t="s">
        <v>143</v>
      </c>
      <c r="F40" s="166" t="s">
        <v>65</v>
      </c>
      <c r="G40" s="166" t="s">
        <v>142</v>
      </c>
      <c r="H40" s="166" t="s">
        <v>308</v>
      </c>
      <c r="J40" s="166"/>
      <c r="K40" s="166"/>
      <c r="L40" s="166"/>
      <c r="M40" s="166"/>
      <c r="N40" s="166"/>
      <c r="O40" s="168" t="s">
        <v>319</v>
      </c>
      <c r="P40" s="169" t="s">
        <v>332</v>
      </c>
      <c r="R40" s="171" t="s">
        <v>313</v>
      </c>
      <c r="S40" s="172" t="s">
        <v>456</v>
      </c>
    </row>
    <row r="41" spans="1:19" s="195" customFormat="1" ht="15.75" hidden="1" outlineLevel="2" thickBot="1" x14ac:dyDescent="0.3">
      <c r="B41" s="196" t="s">
        <v>311</v>
      </c>
      <c r="C41" s="175" t="s">
        <v>63</v>
      </c>
      <c r="D41" s="186">
        <f>Daten_MFH!$G$34</f>
        <v>0.68705390265938648</v>
      </c>
      <c r="E41" s="186">
        <f>Daten_MFH!$D$33</f>
        <v>1</v>
      </c>
      <c r="F41" s="186">
        <f>Daten_MFH!$D$32</f>
        <v>0.68</v>
      </c>
      <c r="G41" s="186">
        <f>Daten_MFH!$D$31</f>
        <v>0.34395104098292006</v>
      </c>
      <c r="H41" s="186">
        <f>Daten_MFH!$D$30</f>
        <v>0.15</v>
      </c>
      <c r="J41" s="197"/>
      <c r="K41" s="197"/>
      <c r="L41" s="197"/>
      <c r="M41" s="197"/>
      <c r="N41" s="197"/>
      <c r="O41" s="198">
        <f>IF($A39&lt;&gt;"",IF($D39="V",$D41,IF($E39="V",$E41,IF($F39="V",$F41,IF($G39="V",$G41,IF($H39="V",$H41,""))))),$D41)</f>
        <v>0.68705390265938648</v>
      </c>
      <c r="P41" s="199">
        <f>IF($A39&lt;&gt;"",IF($D39="N",$D41,IF($E39="N",$E41,IF($F39="N",$F41,IF($G39="N",$G41,IF($H39="N",$H41,O41))))),$D41)</f>
        <v>0.68705390265938648</v>
      </c>
      <c r="Q41" s="175" t="s">
        <v>317</v>
      </c>
      <c r="R41" s="200">
        <f>ROUND((1/P41-1/O41)*Daten_ALLG!$D$63,2)*100</f>
        <v>0</v>
      </c>
      <c r="S41" s="201"/>
    </row>
    <row r="42" spans="1:19" ht="15.75" hidden="1" outlineLevel="2" thickBot="1" x14ac:dyDescent="0.3">
      <c r="B42" s="174" t="s">
        <v>312</v>
      </c>
      <c r="C42" s="175" t="s">
        <v>50</v>
      </c>
      <c r="D42" s="202">
        <f>Daten_MFH!$D$24</f>
        <v>343.54345064427196</v>
      </c>
      <c r="Q42" s="185" t="s">
        <v>50</v>
      </c>
      <c r="R42" s="200">
        <f>IF(A39="",0,D42)</f>
        <v>0</v>
      </c>
      <c r="S42" s="203">
        <f>R42</f>
        <v>0</v>
      </c>
    </row>
    <row r="43" spans="1:19" ht="15.75" hidden="1" outlineLevel="2" thickBot="1" x14ac:dyDescent="0.3">
      <c r="B43" s="174" t="s">
        <v>310</v>
      </c>
      <c r="C43" s="175" t="s">
        <v>207</v>
      </c>
      <c r="O43" s="176">
        <f>O41*D42</f>
        <v>236.03286849821936</v>
      </c>
      <c r="P43" s="177">
        <f>P41*D42</f>
        <v>236.03286849821936</v>
      </c>
    </row>
    <row r="44" spans="1:19" s="162" customFormat="1" ht="15.75" outlineLevel="1" thickBot="1" x14ac:dyDescent="0.3">
      <c r="A44" s="335"/>
      <c r="B44" s="163" t="s">
        <v>104</v>
      </c>
      <c r="D44" s="335"/>
      <c r="E44" s="335"/>
      <c r="F44" s="335"/>
      <c r="G44" s="335"/>
      <c r="H44" s="335"/>
      <c r="O44" s="164"/>
      <c r="P44" s="165"/>
      <c r="R44" s="164" t="s">
        <v>457</v>
      </c>
      <c r="S44" s="165"/>
    </row>
    <row r="45" spans="1:19" s="170" customFormat="1" ht="15.75" outlineLevel="1" collapsed="1" thickBot="1" x14ac:dyDescent="0.3">
      <c r="A45" s="166"/>
      <c r="B45" s="167"/>
      <c r="C45" s="166"/>
      <c r="D45" s="166" t="s">
        <v>389</v>
      </c>
      <c r="E45" s="166" t="s">
        <v>143</v>
      </c>
      <c r="F45" s="166" t="s">
        <v>65</v>
      </c>
      <c r="G45" s="166" t="s">
        <v>142</v>
      </c>
      <c r="H45" s="166" t="s">
        <v>308</v>
      </c>
      <c r="J45" s="166"/>
      <c r="K45" s="166"/>
      <c r="L45" s="166"/>
      <c r="M45" s="166"/>
      <c r="N45" s="166"/>
      <c r="O45" s="168" t="s">
        <v>319</v>
      </c>
      <c r="P45" s="169" t="s">
        <v>332</v>
      </c>
      <c r="R45" s="171" t="s">
        <v>313</v>
      </c>
      <c r="S45" s="172" t="s">
        <v>456</v>
      </c>
    </row>
    <row r="46" spans="1:19" s="195" customFormat="1" ht="15.75" hidden="1" outlineLevel="2" thickBot="1" x14ac:dyDescent="0.3">
      <c r="B46" s="196" t="s">
        <v>311</v>
      </c>
      <c r="C46" s="175" t="s">
        <v>63</v>
      </c>
      <c r="D46" s="186">
        <f>Daten_MFH!$G$41</f>
        <v>0.48795171677982541</v>
      </c>
      <c r="E46" s="186">
        <f>Daten_MFH!$D$40</f>
        <v>1</v>
      </c>
      <c r="F46" s="186">
        <f>Daten_MFH!$D$39</f>
        <v>0.45</v>
      </c>
      <c r="G46" s="186">
        <f>Daten_MFH!$D$38</f>
        <v>0.25504870129870127</v>
      </c>
      <c r="H46" s="186">
        <f>Daten_MFH!$D$37</f>
        <v>0.15</v>
      </c>
      <c r="J46" s="197"/>
      <c r="K46" s="197"/>
      <c r="L46" s="197"/>
      <c r="M46" s="197"/>
      <c r="N46" s="197"/>
      <c r="O46" s="198">
        <f>IF($A44&lt;&gt;"",IF($D44="V",$D46,IF($E44="V",$E46,IF($F44="V",$F46,IF($G44="V",$G46,IF($H44="V",$H46,""))))),$D46)</f>
        <v>0.48795171677982541</v>
      </c>
      <c r="P46" s="199">
        <f>IF($A44&lt;&gt;"",IF($D44="N",$D46,IF($E44="N",$E46,IF($F44="N",$F46,IF($G44="N",$G46,IF($H44="N",$H46,O46))))),$D46)</f>
        <v>0.48795171677982541</v>
      </c>
      <c r="Q46" s="175" t="s">
        <v>317</v>
      </c>
      <c r="R46" s="200">
        <f>ROUND((1/P46-1/O46)*Daten_ALLG!$D$63,2)*100</f>
        <v>0</v>
      </c>
      <c r="S46" s="201"/>
    </row>
    <row r="47" spans="1:19" ht="15.75" hidden="1" outlineLevel="2" thickBot="1" x14ac:dyDescent="0.3">
      <c r="B47" s="174" t="s">
        <v>312</v>
      </c>
      <c r="C47" s="175" t="s">
        <v>50</v>
      </c>
      <c r="D47" s="202">
        <f>Daten_MFH!$D$25</f>
        <v>208.70092564770655</v>
      </c>
      <c r="Q47" s="185" t="s">
        <v>50</v>
      </c>
      <c r="R47" s="200">
        <f>IF(A44="",0,D47)</f>
        <v>0</v>
      </c>
      <c r="S47" s="203">
        <f>R47</f>
        <v>0</v>
      </c>
    </row>
    <row r="48" spans="1:19" ht="15.75" hidden="1" outlineLevel="2" thickBot="1" x14ac:dyDescent="0.3">
      <c r="B48" s="174" t="s">
        <v>318</v>
      </c>
      <c r="C48" s="175"/>
      <c r="D48" s="202">
        <f>Daten_ALLG!$D$67</f>
        <v>0.9</v>
      </c>
    </row>
    <row r="49" spans="1:19" ht="15.75" hidden="1" outlineLevel="2" thickBot="1" x14ac:dyDescent="0.3">
      <c r="B49" s="174" t="s">
        <v>310</v>
      </c>
      <c r="C49" s="175" t="s">
        <v>207</v>
      </c>
      <c r="O49" s="176">
        <f>O46*D47</f>
        <v>101.83597496333711</v>
      </c>
      <c r="P49" s="177">
        <f>P46*D47</f>
        <v>101.83597496333711</v>
      </c>
    </row>
    <row r="50" spans="1:19" s="162" customFormat="1" ht="15.75" outlineLevel="1" thickBot="1" x14ac:dyDescent="0.3">
      <c r="A50" s="335"/>
      <c r="B50" s="163" t="s">
        <v>105</v>
      </c>
      <c r="D50" s="335"/>
      <c r="E50" s="335"/>
      <c r="F50" s="335"/>
      <c r="G50" s="335"/>
      <c r="H50" s="335"/>
      <c r="O50" s="164"/>
      <c r="P50" s="165"/>
      <c r="R50" s="164" t="s">
        <v>457</v>
      </c>
      <c r="S50" s="165"/>
    </row>
    <row r="51" spans="1:19" s="170" customFormat="1" ht="15.75" outlineLevel="1" collapsed="1" thickBot="1" x14ac:dyDescent="0.3">
      <c r="A51" s="166"/>
      <c r="B51" s="167"/>
      <c r="C51" s="166"/>
      <c r="D51" s="166" t="s">
        <v>389</v>
      </c>
      <c r="E51" s="166" t="s">
        <v>143</v>
      </c>
      <c r="F51" s="166" t="s">
        <v>65</v>
      </c>
      <c r="G51" s="166" t="s">
        <v>142</v>
      </c>
      <c r="H51" s="166" t="s">
        <v>308</v>
      </c>
      <c r="J51" s="166"/>
      <c r="K51" s="166"/>
      <c r="L51" s="166"/>
      <c r="M51" s="166"/>
      <c r="N51" s="166"/>
      <c r="O51" s="168" t="s">
        <v>319</v>
      </c>
      <c r="P51" s="169" t="s">
        <v>332</v>
      </c>
      <c r="R51" s="171" t="s">
        <v>313</v>
      </c>
      <c r="S51" s="172" t="s">
        <v>456</v>
      </c>
    </row>
    <row r="52" spans="1:19" s="195" customFormat="1" ht="15.75" hidden="1" outlineLevel="2" thickBot="1" x14ac:dyDescent="0.3">
      <c r="B52" s="196" t="s">
        <v>311</v>
      </c>
      <c r="C52" s="175" t="s">
        <v>63</v>
      </c>
      <c r="D52" s="186">
        <f>Daten_MFH!$G$48</f>
        <v>0.76653514290514679</v>
      </c>
      <c r="E52" s="186">
        <f>Daten_MFH!$D$47</f>
        <v>1</v>
      </c>
      <c r="F52" s="186">
        <f>Daten_MFH!$D$46</f>
        <v>0.69</v>
      </c>
      <c r="G52" s="186">
        <f>Daten_MFH!$D$45</f>
        <v>0.39388937125594681</v>
      </c>
      <c r="H52" s="186">
        <f>Daten_MFH!$D$44</f>
        <v>0.2</v>
      </c>
      <c r="J52" s="197"/>
      <c r="K52" s="197"/>
      <c r="L52" s="197"/>
      <c r="M52" s="197"/>
      <c r="N52" s="197"/>
      <c r="O52" s="198">
        <f>IF($A50&lt;&gt;"",IF($D50="V",$D52,IF($E50="V",$E52,IF($F50="V",$F52,IF($G50="V",$G52,IF($H50="V",$H52,""))))),$D52)</f>
        <v>0.76653514290514679</v>
      </c>
      <c r="P52" s="199">
        <f>IF($A50&lt;&gt;"",IF($D50="N",$D52,IF($E50="N",$E52,IF($F50="N",$F52,IF($G50="N",$G52,IF($H50="N",$H52,O52))))),$D52)</f>
        <v>0.76653514290514679</v>
      </c>
      <c r="Q52" s="175" t="s">
        <v>317</v>
      </c>
      <c r="R52" s="200">
        <f>ROUND((1/P52-1/O52)*Daten_ALLG!$D$63,2)*100</f>
        <v>0</v>
      </c>
      <c r="S52" s="201"/>
    </row>
    <row r="53" spans="1:19" ht="15.75" hidden="1" outlineLevel="2" thickBot="1" x14ac:dyDescent="0.3">
      <c r="B53" s="174" t="s">
        <v>312</v>
      </c>
      <c r="C53" s="175" t="s">
        <v>50</v>
      </c>
      <c r="D53" s="202">
        <f>Daten_MFH!$D$26</f>
        <v>180.7223162652877</v>
      </c>
      <c r="Q53" s="185" t="s">
        <v>50</v>
      </c>
      <c r="R53" s="200">
        <f>IF(A50="",0,D53)</f>
        <v>0</v>
      </c>
      <c r="S53" s="203">
        <f>R53</f>
        <v>0</v>
      </c>
    </row>
    <row r="54" spans="1:19" ht="15.75" hidden="1" outlineLevel="2" thickBot="1" x14ac:dyDescent="0.3">
      <c r="B54" s="174" t="s">
        <v>318</v>
      </c>
      <c r="C54" s="175"/>
      <c r="D54" s="202">
        <f>Daten_ALLG!$D$66</f>
        <v>0.5</v>
      </c>
    </row>
    <row r="55" spans="1:19" ht="15.75" hidden="1" outlineLevel="2" thickBot="1" x14ac:dyDescent="0.3">
      <c r="B55" s="174" t="s">
        <v>310</v>
      </c>
      <c r="C55" s="175" t="s">
        <v>207</v>
      </c>
      <c r="O55" s="176">
        <f>O52*D53*D54</f>
        <v>69.265003262280729</v>
      </c>
      <c r="P55" s="177">
        <f>P52*D53*D54</f>
        <v>69.265003262280729</v>
      </c>
    </row>
    <row r="56" spans="1:19" s="162" customFormat="1" ht="15.75" outlineLevel="1" thickBot="1" x14ac:dyDescent="0.3">
      <c r="A56" s="335"/>
      <c r="B56" s="163" t="s">
        <v>12</v>
      </c>
      <c r="D56" s="335"/>
      <c r="E56" s="335"/>
      <c r="F56" s="335"/>
      <c r="G56" s="335"/>
      <c r="H56" s="335"/>
      <c r="O56" s="164"/>
      <c r="P56" s="165"/>
      <c r="R56" s="164" t="s">
        <v>457</v>
      </c>
      <c r="S56" s="165"/>
    </row>
    <row r="57" spans="1:19" s="170" customFormat="1" outlineLevel="1" collapsed="1" x14ac:dyDescent="0.25">
      <c r="A57" s="166"/>
      <c r="B57" s="167"/>
      <c r="C57" s="166"/>
      <c r="D57" s="166" t="s">
        <v>389</v>
      </c>
      <c r="E57" s="166" t="s">
        <v>143</v>
      </c>
      <c r="F57" s="166" t="s">
        <v>65</v>
      </c>
      <c r="G57" s="166" t="s">
        <v>142</v>
      </c>
      <c r="H57" s="166" t="s">
        <v>308</v>
      </c>
      <c r="J57" s="166"/>
      <c r="K57" s="166"/>
      <c r="L57" s="166"/>
      <c r="M57" s="166"/>
      <c r="N57" s="166"/>
      <c r="O57" s="168" t="s">
        <v>319</v>
      </c>
      <c r="P57" s="169" t="s">
        <v>332</v>
      </c>
      <c r="R57" s="171" t="s">
        <v>333</v>
      </c>
      <c r="S57" s="172" t="s">
        <v>456</v>
      </c>
    </row>
    <row r="58" spans="1:19" s="195" customFormat="1" hidden="1" outlineLevel="2" x14ac:dyDescent="0.25">
      <c r="B58" s="196" t="s">
        <v>311</v>
      </c>
      <c r="C58" s="175" t="s">
        <v>63</v>
      </c>
      <c r="D58" s="186">
        <f>Daten_MFH!$G$55</f>
        <v>2.0570447562725271</v>
      </c>
      <c r="E58" s="186">
        <f>Daten_MFH!$D$54</f>
        <v>2.7</v>
      </c>
      <c r="F58" s="186">
        <f>Daten_MFH!$D$53</f>
        <v>1.6</v>
      </c>
      <c r="G58" s="186">
        <f>Daten_MFH!$D$52</f>
        <v>1.3</v>
      </c>
      <c r="H58" s="186">
        <f>Daten_MFH!$D$51</f>
        <v>0.9</v>
      </c>
      <c r="J58" s="197"/>
      <c r="K58" s="197"/>
      <c r="L58" s="197"/>
      <c r="M58" s="197"/>
      <c r="N58" s="197"/>
      <c r="O58" s="198">
        <f>IF($A56&lt;&gt;"",IF($D56="V",$D58,IF($E56="V",$E58,IF($F56="V",$F58,IF($G56="V",$G58,IF($H56="V",$H58,""))))),$D58)</f>
        <v>2.0570447562725271</v>
      </c>
      <c r="P58" s="199">
        <f>IF($A56&lt;&gt;"",IF($D56="N",$D58,IF($E56="N",$E58,IF($F56="N",$F58,IF($G56="N",$G58,IF($H56="N",$H58,O58))))),$D58)</f>
        <v>2.0570447562725271</v>
      </c>
      <c r="R58" s="204"/>
      <c r="S58" s="201"/>
    </row>
    <row r="59" spans="1:19" hidden="1" outlineLevel="2" x14ac:dyDescent="0.25">
      <c r="B59" s="174" t="s">
        <v>312</v>
      </c>
      <c r="C59" s="175" t="s">
        <v>50</v>
      </c>
      <c r="D59" s="202">
        <f>Daten_MFH!$D$27</f>
        <v>96.412000521088103</v>
      </c>
      <c r="Q59" s="185" t="s">
        <v>50</v>
      </c>
      <c r="R59" s="200">
        <f>IF(A56="",0,D59)</f>
        <v>0</v>
      </c>
      <c r="S59" s="203">
        <f>R59</f>
        <v>0</v>
      </c>
    </row>
    <row r="60" spans="1:19" hidden="1" outlineLevel="2" x14ac:dyDescent="0.25">
      <c r="B60" s="174" t="s">
        <v>310</v>
      </c>
      <c r="C60" s="175" t="s">
        <v>207</v>
      </c>
      <c r="O60" s="176">
        <f>O58*D59</f>
        <v>198.32380011364845</v>
      </c>
      <c r="P60" s="177">
        <f>P58*D59</f>
        <v>198.32380011364845</v>
      </c>
    </row>
    <row r="61" spans="1:19" s="162" customFormat="1" hidden="1" outlineLevel="2" x14ac:dyDescent="0.25">
      <c r="B61" s="163" t="s">
        <v>133</v>
      </c>
      <c r="O61" s="164"/>
      <c r="P61" s="165"/>
      <c r="R61" s="164"/>
      <c r="S61" s="165"/>
    </row>
    <row r="62" spans="1:19" s="170" customFormat="1" hidden="1" outlineLevel="2" x14ac:dyDescent="0.25">
      <c r="A62" s="166"/>
      <c r="B62" s="167"/>
      <c r="C62" s="166"/>
      <c r="D62" s="166"/>
      <c r="E62" s="166"/>
      <c r="F62" s="166"/>
      <c r="G62" s="166"/>
      <c r="H62" s="166"/>
      <c r="J62" s="166"/>
      <c r="K62" s="166"/>
      <c r="L62" s="166"/>
      <c r="M62" s="166"/>
      <c r="N62" s="166"/>
      <c r="O62" s="168" t="s">
        <v>319</v>
      </c>
      <c r="P62" s="169" t="s">
        <v>332</v>
      </c>
      <c r="R62" s="171"/>
      <c r="S62" s="172"/>
    </row>
    <row r="63" spans="1:19" hidden="1" outlineLevel="2" x14ac:dyDescent="0.25">
      <c r="B63" s="174" t="s">
        <v>312</v>
      </c>
      <c r="C63" s="175" t="s">
        <v>50</v>
      </c>
      <c r="O63" s="198">
        <f>P63</f>
        <v>829.37869307835433</v>
      </c>
      <c r="P63" s="199">
        <f>D42+D47+D53+D59</f>
        <v>829.37869307835433</v>
      </c>
    </row>
    <row r="64" spans="1:19" hidden="1" outlineLevel="2" x14ac:dyDescent="0.25">
      <c r="B64" s="174" t="s">
        <v>323</v>
      </c>
      <c r="C64" s="175" t="s">
        <v>63</v>
      </c>
      <c r="O64" s="198">
        <f>(O43+O49+O55+O60)/O63</f>
        <v>0.73001350515799412</v>
      </c>
      <c r="P64" s="199">
        <f>(P43+P49+P55+P60)/P63</f>
        <v>0.73001350515799412</v>
      </c>
    </row>
    <row r="65" spans="1:19" hidden="1" outlineLevel="2" x14ac:dyDescent="0.25">
      <c r="B65" s="174" t="s">
        <v>322</v>
      </c>
      <c r="C65" s="175" t="s">
        <v>63</v>
      </c>
      <c r="O65" s="205">
        <f>Daten_ALLG!$L$70*O64+Daten_ALLG!$L$72</f>
        <v>1.139972989684012E-2</v>
      </c>
      <c r="P65" s="206">
        <f>Daten_ALLG!$L$70*P64+Daten_ALLG!$L$72</f>
        <v>1.139972989684012E-2</v>
      </c>
    </row>
    <row r="66" spans="1:19" hidden="1" outlineLevel="2" x14ac:dyDescent="0.25">
      <c r="B66" s="174" t="s">
        <v>325</v>
      </c>
      <c r="C66" s="175" t="s">
        <v>207</v>
      </c>
      <c r="O66" s="176">
        <f>O65*O63</f>
        <v>9.454693083287502</v>
      </c>
      <c r="P66" s="177">
        <f>P65*P63</f>
        <v>9.454693083287502</v>
      </c>
    </row>
    <row r="67" spans="1:19" s="162" customFormat="1" hidden="1" outlineLevel="2" x14ac:dyDescent="0.25">
      <c r="B67" s="163" t="s">
        <v>324</v>
      </c>
      <c r="O67" s="164"/>
      <c r="P67" s="165"/>
      <c r="R67" s="164"/>
      <c r="S67" s="165"/>
    </row>
    <row r="68" spans="1:19" s="170" customFormat="1" hidden="1" outlineLevel="2" x14ac:dyDescent="0.25">
      <c r="A68" s="166"/>
      <c r="B68" s="167"/>
      <c r="C68" s="166"/>
      <c r="D68" s="166"/>
      <c r="E68" s="166"/>
      <c r="F68" s="166"/>
      <c r="G68" s="166"/>
      <c r="H68" s="166"/>
      <c r="J68" s="166"/>
      <c r="K68" s="166"/>
      <c r="L68" s="166"/>
      <c r="M68" s="166"/>
      <c r="N68" s="166"/>
      <c r="O68" s="168" t="s">
        <v>319</v>
      </c>
      <c r="P68" s="169" t="s">
        <v>332</v>
      </c>
      <c r="R68" s="171"/>
      <c r="S68" s="172"/>
    </row>
    <row r="69" spans="1:19" hidden="1" outlineLevel="2" x14ac:dyDescent="0.25">
      <c r="B69" s="174" t="s">
        <v>310</v>
      </c>
      <c r="C69" s="175" t="s">
        <v>207</v>
      </c>
      <c r="O69" s="176">
        <f>O43+O49+O55+O60+O66</f>
        <v>614.91233992077309</v>
      </c>
      <c r="P69" s="177">
        <f>P43+P49+P55+P60+P66</f>
        <v>614.91233992077309</v>
      </c>
    </row>
    <row r="70" spans="1:19" hidden="1" outlineLevel="2" x14ac:dyDescent="0.25">
      <c r="B70" s="174" t="s">
        <v>321</v>
      </c>
      <c r="C70" s="175" t="s">
        <v>63</v>
      </c>
      <c r="O70" s="198">
        <f>O69/O63</f>
        <v>0.74141323505483414</v>
      </c>
      <c r="P70" s="199">
        <f>P69/P63</f>
        <v>0.74141323505483414</v>
      </c>
    </row>
    <row r="71" spans="1:19" s="159" customFormat="1" ht="14.25" customHeight="1" thickBot="1" x14ac:dyDescent="0.3">
      <c r="A71" s="156" t="s">
        <v>53</v>
      </c>
      <c r="B71" s="157"/>
      <c r="C71" s="157"/>
      <c r="D71" s="158"/>
      <c r="O71" s="160"/>
      <c r="P71" s="161"/>
      <c r="R71" s="160"/>
      <c r="S71" s="161"/>
    </row>
    <row r="72" spans="1:19" s="162" customFormat="1" ht="15.75" hidden="1" outlineLevel="2" thickBot="1" x14ac:dyDescent="0.3">
      <c r="B72" s="163" t="s">
        <v>759</v>
      </c>
      <c r="O72" s="164"/>
      <c r="P72" s="165"/>
      <c r="R72" s="164"/>
      <c r="S72" s="165"/>
    </row>
    <row r="73" spans="1:19" s="170" customFormat="1" ht="15.75" hidden="1" outlineLevel="2" thickBot="1" x14ac:dyDescent="0.3">
      <c r="A73" s="166"/>
      <c r="B73" s="167"/>
      <c r="C73" s="166"/>
      <c r="D73" s="166"/>
      <c r="E73" s="166"/>
      <c r="F73" s="166"/>
      <c r="G73" s="166"/>
      <c r="H73" s="166"/>
      <c r="J73" s="166"/>
      <c r="K73" s="166"/>
      <c r="L73" s="166"/>
      <c r="M73" s="166"/>
      <c r="N73" s="166"/>
      <c r="O73" s="168"/>
      <c r="P73" s="169"/>
      <c r="R73" s="171"/>
      <c r="S73" s="172"/>
    </row>
    <row r="74" spans="1:19" ht="15.75" hidden="1" outlineLevel="2" thickBot="1" x14ac:dyDescent="0.3">
      <c r="B74" s="174" t="s">
        <v>327</v>
      </c>
      <c r="C74" s="175" t="s">
        <v>326</v>
      </c>
      <c r="D74" s="186">
        <f>Daten_MFH!$D$6*Daten_ALLG!$L$33/Daten_MFH!$D$20</f>
        <v>0.25906735751295329</v>
      </c>
    </row>
    <row r="75" spans="1:19" ht="15.75" hidden="1" outlineLevel="2" thickBot="1" x14ac:dyDescent="0.3">
      <c r="B75" s="174" t="s">
        <v>328</v>
      </c>
      <c r="C75" s="175" t="s">
        <v>326</v>
      </c>
      <c r="D75" s="186">
        <f>Daten_ALLG!$L$32</f>
        <v>0.1</v>
      </c>
    </row>
    <row r="76" spans="1:19" ht="15.75" hidden="1" outlineLevel="2" thickBot="1" x14ac:dyDescent="0.3">
      <c r="B76" s="174" t="s">
        <v>334</v>
      </c>
      <c r="C76" s="175" t="s">
        <v>326</v>
      </c>
      <c r="D76" s="202">
        <f>D74+D75</f>
        <v>0.35906735751295327</v>
      </c>
    </row>
    <row r="77" spans="1:19" ht="15.75" hidden="1" outlineLevel="2" thickBot="1" x14ac:dyDescent="0.3">
      <c r="B77" s="174" t="s">
        <v>157</v>
      </c>
      <c r="C77" s="175" t="s">
        <v>13</v>
      </c>
      <c r="D77" s="202">
        <f>1-Daten_MFH!$D$112</f>
        <v>0.99</v>
      </c>
    </row>
    <row r="78" spans="1:19" s="162" customFormat="1" ht="15.75" hidden="1" outlineLevel="2" thickBot="1" x14ac:dyDescent="0.3">
      <c r="B78" s="163" t="s">
        <v>760</v>
      </c>
      <c r="O78" s="164"/>
      <c r="P78" s="165"/>
      <c r="R78" s="164"/>
      <c r="S78" s="165"/>
    </row>
    <row r="79" spans="1:19" s="170" customFormat="1" ht="15.75" hidden="1" outlineLevel="2" thickBot="1" x14ac:dyDescent="0.3">
      <c r="A79" s="166"/>
      <c r="B79" s="167"/>
      <c r="C79" s="166"/>
      <c r="D79" s="166"/>
      <c r="E79" s="166"/>
      <c r="F79" s="166"/>
      <c r="G79" s="166"/>
      <c r="H79" s="166"/>
      <c r="J79" s="166"/>
      <c r="K79" s="166"/>
      <c r="L79" s="166"/>
      <c r="M79" s="166"/>
      <c r="N79" s="166"/>
      <c r="O79" s="168"/>
      <c r="P79" s="169"/>
      <c r="R79" s="171"/>
      <c r="S79" s="172"/>
    </row>
    <row r="80" spans="1:19" ht="15.75" hidden="1" outlineLevel="2" thickBot="1" x14ac:dyDescent="0.3">
      <c r="B80" s="174" t="s">
        <v>330</v>
      </c>
      <c r="C80" s="175" t="s">
        <v>326</v>
      </c>
      <c r="D80" s="186">
        <f>D74+Daten_ALLG!$D$160</f>
        <v>0.35906735751295327</v>
      </c>
    </row>
    <row r="81" spans="1:19" ht="15.75" hidden="1" outlineLevel="2" thickBot="1" x14ac:dyDescent="0.3">
      <c r="B81" s="174" t="s">
        <v>331</v>
      </c>
      <c r="C81" s="175" t="s">
        <v>326</v>
      </c>
      <c r="D81" s="186">
        <f>D80*(1-Daten_ALLG!$D$161)</f>
        <v>5.3860103626942997E-2</v>
      </c>
    </row>
    <row r="82" spans="1:19" ht="15.75" hidden="1" outlineLevel="2" thickBot="1" x14ac:dyDescent="0.3">
      <c r="B82" s="174" t="s">
        <v>328</v>
      </c>
      <c r="C82" s="175" t="s">
        <v>326</v>
      </c>
      <c r="D82" s="186">
        <f>D75</f>
        <v>0.1</v>
      </c>
    </row>
    <row r="83" spans="1:19" ht="15.75" hidden="1" outlineLevel="2" thickBot="1" x14ac:dyDescent="0.3">
      <c r="B83" s="174" t="s">
        <v>334</v>
      </c>
      <c r="C83" s="175" t="s">
        <v>326</v>
      </c>
      <c r="D83" s="202">
        <f>D81+D82</f>
        <v>0.153860103626943</v>
      </c>
    </row>
    <row r="84" spans="1:19" ht="15.75" hidden="1" outlineLevel="2" thickBot="1" x14ac:dyDescent="0.3">
      <c r="B84" s="174" t="s">
        <v>157</v>
      </c>
      <c r="C84" s="175" t="s">
        <v>13</v>
      </c>
      <c r="D84" s="323">
        <f>Daten_MFH!$D$112</f>
        <v>0.01</v>
      </c>
    </row>
    <row r="85" spans="1:19" s="162" customFormat="1" ht="15.75" outlineLevel="1" thickBot="1" x14ac:dyDescent="0.3">
      <c r="A85" s="335"/>
      <c r="B85" s="163" t="s">
        <v>329</v>
      </c>
      <c r="D85" s="335"/>
      <c r="E85" s="335"/>
      <c r="F85" s="335"/>
      <c r="O85" s="164"/>
      <c r="P85" s="165"/>
      <c r="R85" s="164" t="s">
        <v>457</v>
      </c>
      <c r="S85" s="165"/>
    </row>
    <row r="86" spans="1:19" s="170" customFormat="1" outlineLevel="1" collapsed="1" x14ac:dyDescent="0.25">
      <c r="A86" s="166"/>
      <c r="B86" s="167"/>
      <c r="C86" s="166"/>
      <c r="D86" s="166" t="s">
        <v>389</v>
      </c>
      <c r="E86" s="166" t="s">
        <v>12</v>
      </c>
      <c r="F86" s="166" t="s">
        <v>24</v>
      </c>
      <c r="G86" s="166"/>
      <c r="H86" s="166"/>
      <c r="J86" s="166"/>
      <c r="K86" s="166"/>
      <c r="L86" s="166"/>
      <c r="M86" s="166"/>
      <c r="N86" s="166"/>
      <c r="O86" s="168" t="s">
        <v>319</v>
      </c>
      <c r="P86" s="169" t="s">
        <v>332</v>
      </c>
      <c r="R86" s="171" t="s">
        <v>95</v>
      </c>
      <c r="S86" s="172" t="s">
        <v>456</v>
      </c>
    </row>
    <row r="87" spans="1:19" hidden="1" outlineLevel="2" x14ac:dyDescent="0.25">
      <c r="B87" s="174" t="s">
        <v>334</v>
      </c>
      <c r="C87" s="175" t="s">
        <v>326</v>
      </c>
      <c r="D87" s="324">
        <f>D77*D76+D84*D83</f>
        <v>0.35701528497409313</v>
      </c>
      <c r="E87" s="324">
        <f>D76</f>
        <v>0.35906735751295327</v>
      </c>
      <c r="F87" s="324">
        <f>D83</f>
        <v>0.153860103626943</v>
      </c>
      <c r="G87" s="197"/>
      <c r="H87" s="197"/>
      <c r="J87" s="197"/>
      <c r="K87" s="197"/>
      <c r="L87" s="197"/>
      <c r="M87" s="197"/>
      <c r="N87" s="197"/>
      <c r="O87" s="325">
        <f>IF($A85&lt;&gt;"",IF($D85="V",$D87,IF($E85="V",$E87,IF($F85="V",$F87,""))),$D87)</f>
        <v>0.35701528497409313</v>
      </c>
      <c r="P87" s="199">
        <f>IF($A85&lt;&gt;"",IF($D85="N",$D87,IF($E85="N",$E87,IF($F85="N",$F87,O87))),$D87)</f>
        <v>0.35701528497409313</v>
      </c>
      <c r="R87" s="204"/>
    </row>
    <row r="88" spans="1:19" hidden="1" outlineLevel="2" x14ac:dyDescent="0.25">
      <c r="B88" s="174" t="s">
        <v>336</v>
      </c>
      <c r="C88" s="175" t="s">
        <v>207</v>
      </c>
      <c r="O88" s="176">
        <f>O87*0.34*Daten_MFH!$D$20</f>
        <v>142.61700497458494</v>
      </c>
      <c r="P88" s="177">
        <f>P87*0.34*Daten_MFH!$D$20</f>
        <v>142.61700497458494</v>
      </c>
      <c r="Q88" s="185" t="s">
        <v>50</v>
      </c>
      <c r="R88" s="200">
        <f>IF(F85="N",Daten_MFH!$D$16,0)</f>
        <v>0</v>
      </c>
    </row>
    <row r="89" spans="1:19" hidden="1" outlineLevel="2" x14ac:dyDescent="0.25">
      <c r="B89" s="174" t="s">
        <v>354</v>
      </c>
      <c r="C89" s="175" t="s">
        <v>355</v>
      </c>
      <c r="D89" s="207">
        <f>D77*E89+D84*F89</f>
        <v>1.6874911413963996</v>
      </c>
      <c r="E89" s="187">
        <v>0</v>
      </c>
      <c r="F89" s="187">
        <f>Daten_ALLG!$D$162*D80*Daten_MFH!$D$20</f>
        <v>168.74911413963994</v>
      </c>
      <c r="G89" s="188"/>
      <c r="H89" s="188"/>
      <c r="J89" s="188"/>
      <c r="K89" s="188"/>
      <c r="L89" s="188"/>
      <c r="M89" s="188"/>
      <c r="N89" s="188"/>
      <c r="O89" s="189">
        <f>IF($A85&lt;&gt;"",IF($D85="V",$D89,IF($E85="V",$E89,IF($F85="V",$F89,""))),$D89)</f>
        <v>1.6874911413963996</v>
      </c>
      <c r="P89" s="190">
        <f>IF($A85&lt;&gt;"",IF($D85="N",$D89,IF($E85="N",$E89,IF($F85="N",$F89,O89))),$D89)</f>
        <v>1.6874911413963996</v>
      </c>
    </row>
    <row r="90" spans="1:19" s="159" customFormat="1" ht="14.25" customHeight="1" outlineLevel="1" collapsed="1" x14ac:dyDescent="0.25">
      <c r="A90" s="156" t="s">
        <v>559</v>
      </c>
      <c r="B90" s="157"/>
      <c r="C90" s="157"/>
      <c r="D90" s="158"/>
      <c r="O90" s="160"/>
      <c r="P90" s="161"/>
      <c r="R90" s="160"/>
      <c r="S90" s="161"/>
    </row>
    <row r="91" spans="1:19" s="162" customFormat="1" hidden="1" outlineLevel="2" x14ac:dyDescent="0.25">
      <c r="B91" s="163" t="s">
        <v>340</v>
      </c>
      <c r="O91" s="164"/>
      <c r="P91" s="165"/>
      <c r="R91" s="164"/>
      <c r="S91" s="165"/>
    </row>
    <row r="92" spans="1:19" s="170" customFormat="1" hidden="1" outlineLevel="2" x14ac:dyDescent="0.25">
      <c r="A92" s="166"/>
      <c r="B92" s="167"/>
      <c r="C92" s="166"/>
      <c r="D92" s="166"/>
      <c r="E92" s="166"/>
      <c r="F92" s="166"/>
      <c r="G92" s="166"/>
      <c r="H92" s="166"/>
      <c r="J92" s="166"/>
      <c r="K92" s="166"/>
      <c r="L92" s="166"/>
      <c r="M92" s="166"/>
      <c r="N92" s="166"/>
      <c r="O92" s="168" t="s">
        <v>319</v>
      </c>
      <c r="P92" s="169" t="s">
        <v>332</v>
      </c>
      <c r="R92" s="171"/>
      <c r="S92" s="172"/>
    </row>
    <row r="93" spans="1:19" hidden="1" outlineLevel="2" x14ac:dyDescent="0.25">
      <c r="B93" s="174" t="s">
        <v>338</v>
      </c>
      <c r="C93" s="185" t="s">
        <v>207</v>
      </c>
      <c r="O93" s="208">
        <f>O69+O88</f>
        <v>757.52934489535801</v>
      </c>
      <c r="P93" s="209">
        <f>P69+P88</f>
        <v>757.52934489535801</v>
      </c>
    </row>
    <row r="94" spans="1:19" hidden="1" outlineLevel="2" x14ac:dyDescent="0.25">
      <c r="B94" s="174" t="s">
        <v>339</v>
      </c>
      <c r="C94" s="185" t="s">
        <v>63</v>
      </c>
      <c r="O94" s="176">
        <f>O93/Daten_MFH!$D$16</f>
        <v>1.6118843734196517</v>
      </c>
      <c r="P94" s="177">
        <f>P93/Daten_MFH!$D$16</f>
        <v>1.6118843734196517</v>
      </c>
    </row>
    <row r="95" spans="1:19" hidden="1" outlineLevel="2" x14ac:dyDescent="0.25">
      <c r="B95" s="174" t="s">
        <v>309</v>
      </c>
      <c r="C95" s="185" t="s">
        <v>348</v>
      </c>
      <c r="O95" s="180">
        <f>O69*($O$26-$O$17)*$O$18*24/1000</f>
        <v>53140.067320428177</v>
      </c>
      <c r="P95" s="181">
        <f>P69*(P26-P17)*P18*24/1000</f>
        <v>53140.067320428177</v>
      </c>
    </row>
    <row r="96" spans="1:19" hidden="1" outlineLevel="2" x14ac:dyDescent="0.25">
      <c r="B96" s="174" t="s">
        <v>349</v>
      </c>
      <c r="C96" s="185" t="s">
        <v>348</v>
      </c>
      <c r="O96" s="180">
        <f>O88*($O$26-$O$17)*$O$18*24/1000</f>
        <v>12324.809169326056</v>
      </c>
      <c r="P96" s="181">
        <f>P88*($P$26-$P$17)*$P$18*24/1000</f>
        <v>12324.809169326056</v>
      </c>
    </row>
    <row r="97" spans="1:19" s="162" customFormat="1" hidden="1" outlineLevel="2" x14ac:dyDescent="0.25">
      <c r="B97" s="163" t="s">
        <v>366</v>
      </c>
      <c r="O97" s="164"/>
      <c r="P97" s="165"/>
      <c r="R97" s="164"/>
      <c r="S97" s="165"/>
    </row>
    <row r="98" spans="1:19" s="170" customFormat="1" hidden="1" outlineLevel="2" x14ac:dyDescent="0.25">
      <c r="A98" s="166"/>
      <c r="B98" s="167"/>
      <c r="C98" s="166"/>
      <c r="D98" s="166"/>
      <c r="E98" s="166"/>
      <c r="F98" s="166"/>
      <c r="G98" s="166"/>
      <c r="H98" s="166"/>
      <c r="J98" s="166"/>
      <c r="K98" s="166"/>
      <c r="L98" s="166"/>
      <c r="M98" s="166"/>
      <c r="N98" s="166"/>
      <c r="O98" s="168" t="s">
        <v>319</v>
      </c>
      <c r="P98" s="169" t="s">
        <v>332</v>
      </c>
      <c r="R98" s="171"/>
      <c r="S98" s="172"/>
    </row>
    <row r="99" spans="1:19" hidden="1" outlineLevel="2" x14ac:dyDescent="0.25">
      <c r="B99" s="174" t="s">
        <v>369</v>
      </c>
      <c r="C99" s="185" t="s">
        <v>64</v>
      </c>
      <c r="O99" s="210">
        <f>MAX(O26,20)</f>
        <v>20</v>
      </c>
      <c r="P99" s="211">
        <f>MAX(P26,20)</f>
        <v>20</v>
      </c>
    </row>
    <row r="100" spans="1:19" hidden="1" outlineLevel="2" x14ac:dyDescent="0.25">
      <c r="B100" s="174" t="s">
        <v>367</v>
      </c>
      <c r="C100" s="185" t="s">
        <v>368</v>
      </c>
      <c r="O100" s="176">
        <f>O93*(O99-Daten_ALLG!$D$16)/1000</f>
        <v>24.240939036651458</v>
      </c>
      <c r="P100" s="177">
        <f>P93*(P99-Daten_ALLG!$D$16)/1000</f>
        <v>24.240939036651458</v>
      </c>
    </row>
    <row r="101" spans="1:19" hidden="1" outlineLevel="2" x14ac:dyDescent="0.25">
      <c r="B101" s="174" t="s">
        <v>535</v>
      </c>
      <c r="C101" s="185" t="s">
        <v>761</v>
      </c>
      <c r="O101" s="176">
        <f>O100*1000/Daten_MFH!$D$16</f>
        <v>51.580299949428856</v>
      </c>
      <c r="P101" s="177">
        <f>P100*1000/Daten_MFH!$D$16</f>
        <v>51.580299949428856</v>
      </c>
    </row>
    <row r="102" spans="1:19" s="162" customFormat="1" hidden="1" outlineLevel="2" x14ac:dyDescent="0.25">
      <c r="A102" s="212" t="str">
        <f>IF(A56="","",A56)</f>
        <v/>
      </c>
      <c r="B102" s="163" t="s">
        <v>360</v>
      </c>
      <c r="D102" s="212" t="str">
        <f>IF(D56="","",D56)</f>
        <v/>
      </c>
      <c r="E102" s="212" t="str">
        <f>IF(E56="","",E56)</f>
        <v/>
      </c>
      <c r="F102" s="212" t="str">
        <f>IF(F56="","",F56)</f>
        <v/>
      </c>
      <c r="G102" s="212" t="str">
        <f>IF(G56="","",G56)</f>
        <v/>
      </c>
      <c r="H102" s="212" t="str">
        <f>IF(H56="","",H56)</f>
        <v/>
      </c>
      <c r="O102" s="164"/>
      <c r="P102" s="165"/>
      <c r="R102" s="164"/>
      <c r="S102" s="165"/>
    </row>
    <row r="103" spans="1:19" s="170" customFormat="1" hidden="1" outlineLevel="2" x14ac:dyDescent="0.25">
      <c r="A103" s="166"/>
      <c r="B103" s="167"/>
      <c r="C103" s="166"/>
      <c r="D103" s="166" t="s">
        <v>389</v>
      </c>
      <c r="E103" s="166" t="s">
        <v>143</v>
      </c>
      <c r="F103" s="166" t="s">
        <v>65</v>
      </c>
      <c r="G103" s="166" t="s">
        <v>142</v>
      </c>
      <c r="H103" s="166" t="s">
        <v>308</v>
      </c>
      <c r="J103" s="166"/>
      <c r="K103" s="166"/>
      <c r="L103" s="166"/>
      <c r="M103" s="166"/>
      <c r="N103" s="166"/>
      <c r="O103" s="168" t="s">
        <v>319</v>
      </c>
      <c r="P103" s="169" t="s">
        <v>332</v>
      </c>
      <c r="R103" s="171"/>
      <c r="S103" s="172"/>
    </row>
    <row r="104" spans="1:19" hidden="1" outlineLevel="2" x14ac:dyDescent="0.25">
      <c r="B104" s="196" t="s">
        <v>362</v>
      </c>
      <c r="C104" s="175" t="s">
        <v>13</v>
      </c>
      <c r="D104" s="186">
        <f>D58*Daten_ALLG!$D$59+Daten_ALLG!$F$59</f>
        <v>0.63059369846393176</v>
      </c>
      <c r="E104" s="186">
        <f>E58*Daten_ALLG!$D$59+Daten_ALLG!$F$59</f>
        <v>0.6951323478858713</v>
      </c>
      <c r="F104" s="186">
        <f>F58*Daten_ALLG!$D$59+Daten_ALLG!$F$59</f>
        <v>0.58471639738741821</v>
      </c>
      <c r="G104" s="186">
        <f>G58*Daten_ALLG!$D$59+Daten_ALLG!$F$59</f>
        <v>0.55460295634238554</v>
      </c>
      <c r="H104" s="186">
        <f>H58*Daten_ALLG!$D$59+Daten_ALLG!$F$59</f>
        <v>0.51445170161567533</v>
      </c>
      <c r="J104" s="197"/>
      <c r="K104" s="197"/>
      <c r="L104" s="197"/>
      <c r="M104" s="197"/>
      <c r="N104" s="197"/>
      <c r="O104" s="198">
        <f>IF($A102&lt;&gt;"",IF($D102="V",$D104,IF($E102="V",$E104,IF($F102="V",$F104,IF($G102="V",$G104,IF($H102="V",$H104,""))))),$D104)</f>
        <v>0.63059369846393176</v>
      </c>
      <c r="P104" s="199">
        <f>IF($A102&lt;&gt;"",IF($D102="N",$D104,IF($E102="N",$E104,IF($F102="N",$F104,IF($G102="N",$G104,IF($H102="N",$H104,$O104))))),$D104)</f>
        <v>0.63059369846393176</v>
      </c>
    </row>
    <row r="105" spans="1:19" hidden="1" outlineLevel="2" x14ac:dyDescent="0.25">
      <c r="B105" s="174" t="s">
        <v>361</v>
      </c>
      <c r="C105" s="185" t="s">
        <v>348</v>
      </c>
      <c r="O105" s="180">
        <f>O104*Daten_ALLG!$D$60*O22*$D$59</f>
        <v>11685.855408496449</v>
      </c>
      <c r="P105" s="181">
        <f>P104*Daten_ALLG!$D$60*P22*$D$59</f>
        <v>11685.855408496449</v>
      </c>
    </row>
    <row r="106" spans="1:19" s="162" customFormat="1" hidden="1" outlineLevel="2" x14ac:dyDescent="0.25">
      <c r="B106" s="163" t="s">
        <v>363</v>
      </c>
      <c r="O106" s="164"/>
      <c r="P106" s="165"/>
      <c r="R106" s="164"/>
      <c r="S106" s="165"/>
    </row>
    <row r="107" spans="1:19" s="170" customFormat="1" hidden="1" outlineLevel="2" x14ac:dyDescent="0.25">
      <c r="A107" s="166"/>
      <c r="B107" s="167"/>
      <c r="C107" s="166"/>
      <c r="D107" s="166"/>
      <c r="E107" s="166"/>
      <c r="F107" s="166"/>
      <c r="G107" s="166"/>
      <c r="H107" s="166"/>
      <c r="J107" s="166"/>
      <c r="K107" s="166"/>
      <c r="L107" s="166"/>
      <c r="M107" s="166"/>
      <c r="N107" s="166"/>
      <c r="O107" s="168" t="s">
        <v>319</v>
      </c>
      <c r="P107" s="169" t="s">
        <v>332</v>
      </c>
      <c r="R107" s="171"/>
      <c r="S107" s="172"/>
    </row>
    <row r="108" spans="1:19" hidden="1" outlineLevel="2" x14ac:dyDescent="0.25">
      <c r="B108" s="174" t="s">
        <v>364</v>
      </c>
      <c r="C108" s="185" t="s">
        <v>348</v>
      </c>
      <c r="O108" s="180">
        <f>O18*24*Daten_ALLG!$D$55*Daten_MFH!$D$6</f>
        <v>11810.732100605421</v>
      </c>
      <c r="P108" s="181">
        <f>P18*24*Daten_ALLG!$D$55*Daten_MFH!$D$6</f>
        <v>11810.732100605421</v>
      </c>
    </row>
    <row r="109" spans="1:19" s="162" customFormat="1" hidden="1" outlineLevel="2" x14ac:dyDescent="0.25">
      <c r="B109" s="163" t="s">
        <v>395</v>
      </c>
      <c r="O109" s="164"/>
      <c r="P109" s="165"/>
      <c r="R109" s="164"/>
      <c r="S109" s="165"/>
    </row>
    <row r="110" spans="1:19" s="170" customFormat="1" hidden="1" outlineLevel="2" x14ac:dyDescent="0.25">
      <c r="A110" s="166"/>
      <c r="B110" s="167"/>
      <c r="C110" s="166"/>
      <c r="D110" s="166"/>
      <c r="E110" s="166"/>
      <c r="F110" s="166"/>
      <c r="G110" s="166"/>
      <c r="H110" s="166"/>
      <c r="J110" s="166"/>
      <c r="K110" s="166"/>
      <c r="L110" s="166"/>
      <c r="M110" s="166"/>
      <c r="N110" s="166"/>
      <c r="O110" s="168" t="s">
        <v>319</v>
      </c>
      <c r="P110" s="169" t="s">
        <v>332</v>
      </c>
      <c r="R110" s="171"/>
      <c r="S110" s="172"/>
    </row>
    <row r="111" spans="1:19" hidden="1" outlineLevel="2" x14ac:dyDescent="0.25">
      <c r="B111" s="174" t="s">
        <v>475</v>
      </c>
      <c r="C111" s="185" t="s">
        <v>348</v>
      </c>
      <c r="O111" s="180">
        <f>O166</f>
        <v>2478.5457520242585</v>
      </c>
      <c r="P111" s="181">
        <f>P166</f>
        <v>2478.5457520242585</v>
      </c>
    </row>
    <row r="112" spans="1:19" s="162" customFormat="1" hidden="1" outlineLevel="2" x14ac:dyDescent="0.25">
      <c r="B112" s="163" t="s">
        <v>359</v>
      </c>
      <c r="O112" s="164"/>
      <c r="P112" s="165"/>
      <c r="R112" s="164"/>
      <c r="S112" s="165"/>
    </row>
    <row r="113" spans="1:19" s="170" customFormat="1" hidden="1" outlineLevel="2" x14ac:dyDescent="0.25">
      <c r="A113" s="166"/>
      <c r="B113" s="167"/>
      <c r="C113" s="166"/>
      <c r="D113" s="166"/>
      <c r="E113" s="166"/>
      <c r="F113" s="166"/>
      <c r="G113" s="166"/>
      <c r="H113" s="166"/>
      <c r="J113" s="166"/>
      <c r="K113" s="166"/>
      <c r="L113" s="166"/>
      <c r="M113" s="166"/>
      <c r="N113" s="166"/>
      <c r="O113" s="168" t="s">
        <v>319</v>
      </c>
      <c r="P113" s="169" t="s">
        <v>332</v>
      </c>
      <c r="R113" s="171"/>
      <c r="S113" s="172"/>
    </row>
    <row r="114" spans="1:19" hidden="1" outlineLevel="2" x14ac:dyDescent="0.25">
      <c r="B114" s="174" t="s">
        <v>396</v>
      </c>
      <c r="C114" s="185" t="s">
        <v>348</v>
      </c>
      <c r="O114" s="180">
        <f>O95+O96-O105-O108-O111</f>
        <v>39489.743228628111</v>
      </c>
      <c r="P114" s="181">
        <f>P95+P96-P105-P108-P111</f>
        <v>39489.743228628111</v>
      </c>
    </row>
    <row r="115" spans="1:19" s="159" customFormat="1" ht="14.25" customHeight="1" thickBot="1" x14ac:dyDescent="0.3">
      <c r="A115" s="156" t="s">
        <v>400</v>
      </c>
      <c r="B115" s="157"/>
      <c r="C115" s="157"/>
      <c r="D115" s="158"/>
      <c r="O115" s="160"/>
      <c r="P115" s="161"/>
      <c r="R115" s="160"/>
      <c r="S115" s="161"/>
    </row>
    <row r="116" spans="1:19" s="162" customFormat="1" ht="15.75" hidden="1" outlineLevel="2" thickBot="1" x14ac:dyDescent="0.3">
      <c r="B116" s="163" t="s">
        <v>762</v>
      </c>
      <c r="O116" s="164"/>
      <c r="P116" s="165"/>
      <c r="R116" s="164"/>
      <c r="S116" s="165"/>
    </row>
    <row r="117" spans="1:19" s="170" customFormat="1" ht="15.75" hidden="1" outlineLevel="2" thickBot="1" x14ac:dyDescent="0.3">
      <c r="A117" s="166"/>
      <c r="B117" s="167"/>
      <c r="C117" s="166"/>
      <c r="D117" s="166"/>
      <c r="E117" s="166"/>
      <c r="F117" s="166"/>
      <c r="G117" s="166"/>
      <c r="H117" s="166"/>
      <c r="J117" s="166"/>
      <c r="K117" s="166"/>
      <c r="L117" s="166"/>
      <c r="M117" s="166"/>
      <c r="N117" s="166"/>
      <c r="O117" s="168"/>
      <c r="P117" s="169"/>
      <c r="R117" s="171"/>
      <c r="S117" s="172"/>
    </row>
    <row r="118" spans="1:19" ht="15.75" hidden="1" outlineLevel="2" thickBot="1" x14ac:dyDescent="0.3">
      <c r="B118" s="174" t="s">
        <v>390</v>
      </c>
      <c r="C118" s="185" t="s">
        <v>128</v>
      </c>
      <c r="D118" s="213">
        <f>Daten_ALLG!$D$89*Daten_MFH!$D$16</f>
        <v>70.494759802923184</v>
      </c>
      <c r="E118" s="173" t="s">
        <v>377</v>
      </c>
    </row>
    <row r="119" spans="1:19" s="162" customFormat="1" ht="15.75" hidden="1" outlineLevel="2" thickBot="1" x14ac:dyDescent="0.3">
      <c r="B119" s="163" t="s">
        <v>374</v>
      </c>
      <c r="O119" s="164"/>
      <c r="P119" s="165"/>
      <c r="R119" s="164"/>
      <c r="S119" s="165"/>
    </row>
    <row r="120" spans="1:19" s="170" customFormat="1" ht="15.75" hidden="1" outlineLevel="2" thickBot="1" x14ac:dyDescent="0.3">
      <c r="A120" s="166"/>
      <c r="B120" s="167"/>
      <c r="C120" s="166"/>
      <c r="D120" s="166" t="s">
        <v>563</v>
      </c>
      <c r="E120" s="166" t="s">
        <v>564</v>
      </c>
      <c r="F120" s="166"/>
      <c r="G120" s="166"/>
      <c r="H120" s="166"/>
      <c r="J120" s="166"/>
      <c r="K120" s="166"/>
      <c r="L120" s="166"/>
      <c r="M120" s="166"/>
      <c r="N120" s="166"/>
      <c r="O120" s="168" t="s">
        <v>319</v>
      </c>
      <c r="P120" s="169" t="s">
        <v>332</v>
      </c>
      <c r="R120" s="171"/>
      <c r="S120" s="172"/>
    </row>
    <row r="121" spans="1:19" ht="15.75" hidden="1" outlineLevel="2" thickBot="1" x14ac:dyDescent="0.3">
      <c r="B121" s="174" t="s">
        <v>373</v>
      </c>
      <c r="C121" s="185" t="s">
        <v>64</v>
      </c>
      <c r="D121" s="207">
        <f>Daten_ALLG!$D$76+Daten_ALLG!$F$76*O94</f>
        <v>36.68327821887334</v>
      </c>
      <c r="E121" s="207">
        <f>Daten_ALLG!$D$76+Daten_ALLG!$F$76*P94</f>
        <v>36.68327821887334</v>
      </c>
    </row>
    <row r="122" spans="1:19" ht="15.75" hidden="1" outlineLevel="2" thickBot="1" x14ac:dyDescent="0.3">
      <c r="B122" s="174" t="s">
        <v>375</v>
      </c>
      <c r="C122" s="185" t="s">
        <v>348</v>
      </c>
      <c r="O122" s="180">
        <f>$D$118*Daten_ALLG!$D$88*(D121-Daten_ALLG!$D$29)*O18*24/1000</f>
        <v>2701.3234457737517</v>
      </c>
      <c r="P122" s="181">
        <f>$D$118*Daten_ALLG!$D$88*(E121-Daten_ALLG!$D$29)*P18*24/1000</f>
        <v>2701.3234457737517</v>
      </c>
    </row>
    <row r="123" spans="1:19" ht="15.75" hidden="1" outlineLevel="2" thickBot="1" x14ac:dyDescent="0.3">
      <c r="B123" s="174" t="s">
        <v>157</v>
      </c>
      <c r="C123" s="185" t="s">
        <v>13</v>
      </c>
      <c r="D123" s="202">
        <f>Daten_MFH!$D$66*Daten_MFH!$D$69</f>
        <v>0.81</v>
      </c>
      <c r="E123" s="173" t="s">
        <v>442</v>
      </c>
    </row>
    <row r="124" spans="1:19" s="162" customFormat="1" ht="15.75" hidden="1" outlineLevel="2" thickBot="1" x14ac:dyDescent="0.3">
      <c r="B124" s="163" t="s">
        <v>174</v>
      </c>
      <c r="O124" s="164"/>
      <c r="P124" s="165"/>
      <c r="R124" s="164"/>
      <c r="S124" s="165"/>
    </row>
    <row r="125" spans="1:19" s="170" customFormat="1" ht="15.75" hidden="1" outlineLevel="2" thickBot="1" x14ac:dyDescent="0.3">
      <c r="A125" s="166"/>
      <c r="B125" s="167"/>
      <c r="C125" s="166"/>
      <c r="D125" s="166" t="s">
        <v>563</v>
      </c>
      <c r="E125" s="166" t="s">
        <v>564</v>
      </c>
      <c r="F125" s="166"/>
      <c r="G125" s="166"/>
      <c r="H125" s="166"/>
      <c r="J125" s="166"/>
      <c r="K125" s="166"/>
      <c r="L125" s="166"/>
      <c r="M125" s="166"/>
      <c r="N125" s="166"/>
      <c r="O125" s="168" t="s">
        <v>319</v>
      </c>
      <c r="P125" s="169" t="s">
        <v>332</v>
      </c>
      <c r="R125" s="171"/>
      <c r="S125" s="172"/>
    </row>
    <row r="126" spans="1:19" ht="15.75" hidden="1" outlineLevel="2" thickBot="1" x14ac:dyDescent="0.3">
      <c r="B126" s="174" t="s">
        <v>373</v>
      </c>
      <c r="C126" s="185" t="s">
        <v>64</v>
      </c>
      <c r="D126" s="207">
        <f>Daten_ALLG!$D$77+Daten_ALLG!$F$77*O94</f>
        <v>28.399016951782446</v>
      </c>
      <c r="E126" s="207">
        <f>Daten_ALLG!$D$77+Daten_ALLG!$F$77*P94</f>
        <v>28.399016951782446</v>
      </c>
    </row>
    <row r="127" spans="1:19" ht="15.75" hidden="1" outlineLevel="2" thickBot="1" x14ac:dyDescent="0.3">
      <c r="B127" s="174" t="s">
        <v>375</v>
      </c>
      <c r="C127" s="185" t="s">
        <v>348</v>
      </c>
      <c r="O127" s="180">
        <f>$D$118*Daten_ALLG!$D$88*(D126-Daten_ALLG!$D$29)*O18*24/1000</f>
        <v>1756.4175512057241</v>
      </c>
      <c r="P127" s="181">
        <f>$D$118*Daten_ALLG!$D$88*(E126-Daten_ALLG!$D$29)*P18*24/1000</f>
        <v>1756.4175512057241</v>
      </c>
    </row>
    <row r="128" spans="1:19" ht="15.75" hidden="1" outlineLevel="2" thickBot="1" x14ac:dyDescent="0.3">
      <c r="B128" s="174" t="s">
        <v>157</v>
      </c>
      <c r="C128" s="185" t="s">
        <v>13</v>
      </c>
      <c r="D128" s="202">
        <f>Daten_MFH!$D$65*Daten_MFH!$D$69</f>
        <v>9.0000000000000011E-2</v>
      </c>
      <c r="E128" s="173" t="s">
        <v>442</v>
      </c>
    </row>
    <row r="129" spans="1:19" s="162" customFormat="1" ht="15.75" outlineLevel="1" thickBot="1" x14ac:dyDescent="0.3">
      <c r="A129" s="335"/>
      <c r="B129" s="163" t="s">
        <v>394</v>
      </c>
      <c r="D129" s="335"/>
      <c r="E129" s="335"/>
      <c r="F129" s="335"/>
      <c r="G129" s="335"/>
      <c r="O129" s="164"/>
      <c r="P129" s="165"/>
      <c r="R129" s="164"/>
      <c r="S129" s="165"/>
    </row>
    <row r="130" spans="1:19" s="170" customFormat="1" outlineLevel="1" collapsed="1" x14ac:dyDescent="0.25">
      <c r="A130" s="166"/>
      <c r="B130" s="167"/>
      <c r="C130" s="166"/>
      <c r="D130" s="166" t="s">
        <v>389</v>
      </c>
      <c r="E130" s="166" t="s">
        <v>399</v>
      </c>
      <c r="F130" s="166" t="s">
        <v>398</v>
      </c>
      <c r="G130" s="166" t="s">
        <v>441</v>
      </c>
      <c r="H130" s="166"/>
      <c r="J130" s="166"/>
      <c r="K130" s="166"/>
      <c r="L130" s="166"/>
      <c r="M130" s="166"/>
      <c r="N130" s="166"/>
      <c r="O130" s="168" t="s">
        <v>319</v>
      </c>
      <c r="P130" s="169" t="s">
        <v>332</v>
      </c>
      <c r="R130" s="171"/>
      <c r="S130" s="172"/>
    </row>
    <row r="131" spans="1:19" hidden="1" outlineLevel="2" x14ac:dyDescent="0.25">
      <c r="B131" s="196" t="s">
        <v>397</v>
      </c>
      <c r="C131" s="185" t="s">
        <v>348</v>
      </c>
      <c r="D131" s="187">
        <f>$D$123*E131+$D$128*F131</f>
        <v>2346.1495706852538</v>
      </c>
      <c r="E131" s="214">
        <f>O122</f>
        <v>2701.3234457737517</v>
      </c>
      <c r="F131" s="214">
        <f>O127</f>
        <v>1756.4175512057241</v>
      </c>
      <c r="G131" s="214">
        <v>0</v>
      </c>
      <c r="H131" s="215"/>
      <c r="I131" s="197"/>
      <c r="J131" s="197"/>
      <c r="K131" s="197"/>
      <c r="L131" s="197"/>
      <c r="M131" s="197"/>
      <c r="N131" s="197"/>
      <c r="O131" s="216">
        <f>IF($A129&lt;&gt;"",IF($D129="V",$D131,IF($E129="V",$E131,IF($F129="V",$F131,IF($G129="V",$G131,"")))),$D131)</f>
        <v>2346.1495706852538</v>
      </c>
      <c r="P131" s="217">
        <f>IF($A129&lt;&gt;"",IF($D129="N",$D132,IF($E129="N",$E132,IF($F129="N",$F132,IF($G129="N",$G132,SUMPRODUCT(D132:G132,D133:G133))))),$D132)</f>
        <v>2346.1495706852538</v>
      </c>
    </row>
    <row r="132" spans="1:19" hidden="1" outlineLevel="2" x14ac:dyDescent="0.25">
      <c r="C132" s="185" t="s">
        <v>348</v>
      </c>
      <c r="D132" s="187">
        <f>$D$123*E132+$D$128*F132</f>
        <v>2346.1495706852538</v>
      </c>
      <c r="E132" s="214">
        <f>P122</f>
        <v>2701.3234457737517</v>
      </c>
      <c r="F132" s="214">
        <f>P127</f>
        <v>1756.4175512057241</v>
      </c>
      <c r="G132" s="214">
        <v>0</v>
      </c>
      <c r="H132" s="174"/>
    </row>
    <row r="133" spans="1:19" hidden="1" outlineLevel="2" x14ac:dyDescent="0.25">
      <c r="C133" s="185"/>
      <c r="D133" s="218">
        <f>IF(D129="V",1,0)</f>
        <v>0</v>
      </c>
      <c r="E133" s="218">
        <f t="shared" ref="E133:G133" si="3">IF(E129="V",1,0)</f>
        <v>0</v>
      </c>
      <c r="F133" s="218">
        <f t="shared" si="3"/>
        <v>0</v>
      </c>
      <c r="G133" s="218">
        <f t="shared" si="3"/>
        <v>0</v>
      </c>
      <c r="H133" s="174"/>
    </row>
    <row r="134" spans="1:19" hidden="1" outlineLevel="2" x14ac:dyDescent="0.25">
      <c r="B134" s="174" t="s">
        <v>373</v>
      </c>
      <c r="C134" s="185" t="s">
        <v>64</v>
      </c>
      <c r="D134" s="207">
        <f>Daten_MFH!$D$66*E134+Daten_MFH!$D$65*F134</f>
        <v>35.854852092164251</v>
      </c>
      <c r="E134" s="219">
        <f>D121</f>
        <v>36.68327821887334</v>
      </c>
      <c r="F134" s="219">
        <f>D126</f>
        <v>28.399016951782446</v>
      </c>
      <c r="G134" s="220"/>
      <c r="H134" s="215"/>
      <c r="I134" s="197"/>
      <c r="J134" s="197"/>
      <c r="K134" s="197"/>
      <c r="L134" s="197"/>
      <c r="M134" s="197"/>
      <c r="N134" s="197"/>
      <c r="O134" s="208">
        <f>IF($A129&lt;&gt;"",IF($D129="V",$D134,IF($E129="V",$E134,IF($F129="V",$F134,IF($G129="V",$G134,"")))),$D134)</f>
        <v>35.854852092164251</v>
      </c>
      <c r="P134" s="209">
        <f>IF($A129&lt;&gt;"",IF($D129="N",$D135,IF($E129="N",$E135,IF($F129="N",$F135,IF($G129="N",$G135,SUMPRODUCT(D135:G135,D136:G136))))),$D135)</f>
        <v>35.854852092164251</v>
      </c>
    </row>
    <row r="135" spans="1:19" hidden="1" outlineLevel="2" x14ac:dyDescent="0.25">
      <c r="C135" s="185" t="s">
        <v>64</v>
      </c>
      <c r="D135" s="207">
        <f>Daten_MFH!$D$66*E135+Daten_MFH!$D$65*F135</f>
        <v>35.854852092164251</v>
      </c>
      <c r="E135" s="219">
        <f>E121</f>
        <v>36.68327821887334</v>
      </c>
      <c r="F135" s="219">
        <f>E126</f>
        <v>28.399016951782446</v>
      </c>
      <c r="G135" s="220"/>
      <c r="H135" s="174"/>
    </row>
    <row r="136" spans="1:19" hidden="1" outlineLevel="2" x14ac:dyDescent="0.25">
      <c r="C136" s="185"/>
      <c r="D136" s="218">
        <f>IF(D129="V",1,0)</f>
        <v>0</v>
      </c>
      <c r="E136" s="218">
        <f t="shared" ref="E136:F136" si="4">IF(E129="V",1,0)</f>
        <v>0</v>
      </c>
      <c r="F136" s="218">
        <f t="shared" si="4"/>
        <v>0</v>
      </c>
      <c r="G136" s="218"/>
      <c r="H136" s="174"/>
    </row>
    <row r="137" spans="1:19" s="159" customFormat="1" ht="14.25" customHeight="1" thickBot="1" x14ac:dyDescent="0.3">
      <c r="A137" s="156" t="s">
        <v>401</v>
      </c>
      <c r="B137" s="157"/>
      <c r="C137" s="157"/>
      <c r="D137" s="158"/>
      <c r="O137" s="160"/>
      <c r="P137" s="161"/>
      <c r="R137" s="160"/>
      <c r="S137" s="161"/>
    </row>
    <row r="138" spans="1:19" s="162" customFormat="1" ht="15.75" hidden="1" outlineLevel="2" thickBot="1" x14ac:dyDescent="0.3">
      <c r="B138" s="163" t="s">
        <v>376</v>
      </c>
      <c r="O138" s="164"/>
      <c r="P138" s="165"/>
      <c r="R138" s="164"/>
      <c r="S138" s="165"/>
    </row>
    <row r="139" spans="1:19" s="170" customFormat="1" ht="15.75" hidden="1" outlineLevel="2" thickBot="1" x14ac:dyDescent="0.3">
      <c r="A139" s="166"/>
      <c r="B139" s="167"/>
      <c r="C139" s="166"/>
      <c r="D139" s="166"/>
      <c r="E139" s="166"/>
      <c r="F139" s="166"/>
      <c r="G139" s="166"/>
      <c r="H139" s="166"/>
      <c r="J139" s="166"/>
      <c r="K139" s="166"/>
      <c r="L139" s="166"/>
      <c r="M139" s="166"/>
      <c r="N139" s="166"/>
      <c r="O139" s="168"/>
      <c r="P139" s="169"/>
      <c r="R139" s="171"/>
      <c r="S139" s="172"/>
    </row>
    <row r="140" spans="1:19" ht="15.75" hidden="1" outlineLevel="2" thickBot="1" x14ac:dyDescent="0.3">
      <c r="B140" s="174" t="s">
        <v>391</v>
      </c>
      <c r="C140" s="185" t="s">
        <v>128</v>
      </c>
      <c r="D140" s="213">
        <f>Daten_ALLG!$D$95*Daten_MFH!$D$16</f>
        <v>23.498253267641065</v>
      </c>
      <c r="E140" s="173" t="s">
        <v>378</v>
      </c>
      <c r="G140" s="173" t="s">
        <v>377</v>
      </c>
    </row>
    <row r="141" spans="1:19" ht="15.75" hidden="1" outlineLevel="2" thickBot="1" x14ac:dyDescent="0.3">
      <c r="B141" s="174" t="s">
        <v>391</v>
      </c>
      <c r="C141" s="185" t="s">
        <v>128</v>
      </c>
      <c r="D141" s="213">
        <f>Daten_ALLG!$D$94*Daten_MFH!$D$16</f>
        <v>93.99301307056426</v>
      </c>
      <c r="E141" s="173" t="s">
        <v>378</v>
      </c>
      <c r="G141" s="173" t="s">
        <v>379</v>
      </c>
    </row>
    <row r="142" spans="1:19" ht="15.75" hidden="1" outlineLevel="2" thickBot="1" x14ac:dyDescent="0.3">
      <c r="B142" s="174" t="s">
        <v>391</v>
      </c>
      <c r="C142" s="185" t="s">
        <v>128</v>
      </c>
      <c r="D142" s="213">
        <f>Daten_ALLG!$D$95*Daten_ALLG!$F$95*Daten_MFH!$D$16</f>
        <v>46.99650653528213</v>
      </c>
      <c r="E142" s="173" t="s">
        <v>380</v>
      </c>
      <c r="G142" s="173" t="s">
        <v>377</v>
      </c>
    </row>
    <row r="143" spans="1:19" ht="15.75" hidden="1" outlineLevel="2" thickBot="1" x14ac:dyDescent="0.3">
      <c r="B143" s="174" t="s">
        <v>391</v>
      </c>
      <c r="C143" s="185" t="s">
        <v>128</v>
      </c>
      <c r="D143" s="213">
        <f>Daten_ALLG!$D$94*Daten_ALLG!$F$94*Daten_MFH!$D$16</f>
        <v>122.19091699173354</v>
      </c>
      <c r="E143" s="173" t="s">
        <v>380</v>
      </c>
      <c r="G143" s="173" t="s">
        <v>379</v>
      </c>
    </row>
    <row r="144" spans="1:19" ht="15.75" hidden="1" outlineLevel="2" thickBot="1" x14ac:dyDescent="0.3">
      <c r="B144" s="174" t="s">
        <v>391</v>
      </c>
      <c r="C144" s="185" t="s">
        <v>128</v>
      </c>
      <c r="D144" s="213">
        <f>Daten_ALLG!$D$93*D118</f>
        <v>7.0494759802923186</v>
      </c>
      <c r="E144" s="173" t="s">
        <v>189</v>
      </c>
    </row>
    <row r="145" spans="1:19" s="162" customFormat="1" ht="15.75" hidden="1" outlineLevel="2" thickBot="1" x14ac:dyDescent="0.3">
      <c r="B145" s="163" t="s">
        <v>383</v>
      </c>
      <c r="O145" s="164"/>
      <c r="P145" s="165"/>
      <c r="R145" s="164"/>
      <c r="S145" s="165"/>
    </row>
    <row r="146" spans="1:19" s="170" customFormat="1" ht="15.75" hidden="1" outlineLevel="2" thickBot="1" x14ac:dyDescent="0.3">
      <c r="A146" s="166"/>
      <c r="B146" s="167"/>
      <c r="C146" s="166"/>
      <c r="D146" s="166"/>
      <c r="E146" s="166"/>
      <c r="F146" s="166"/>
      <c r="G146" s="166"/>
      <c r="H146" s="166"/>
      <c r="J146" s="166"/>
      <c r="K146" s="166"/>
      <c r="L146" s="166"/>
      <c r="M146" s="166"/>
      <c r="N146" s="166"/>
      <c r="O146" s="168" t="s">
        <v>319</v>
      </c>
      <c r="P146" s="169" t="s">
        <v>332</v>
      </c>
      <c r="R146" s="171"/>
      <c r="S146" s="172"/>
    </row>
    <row r="147" spans="1:19" ht="15.75" hidden="1" outlineLevel="2" thickBot="1" x14ac:dyDescent="0.3">
      <c r="B147" s="174" t="s">
        <v>375</v>
      </c>
      <c r="C147" s="185" t="s">
        <v>348</v>
      </c>
      <c r="O147" s="180">
        <f>$D$144*Daten_ALLG!$D$92*(Daten_ALLG!$D$39-O26)*8.76</f>
        <v>126.08401150258871</v>
      </c>
      <c r="P147" s="181">
        <f>$D$144*Daten_ALLG!$D$92*(Daten_ALLG!$D$39-P26)*8.76</f>
        <v>126.08401150258871</v>
      </c>
    </row>
    <row r="148" spans="1:19" ht="15.75" hidden="1" outlineLevel="2" thickBot="1" x14ac:dyDescent="0.3">
      <c r="B148" s="174" t="s">
        <v>157</v>
      </c>
      <c r="C148" s="185" t="s">
        <v>13</v>
      </c>
      <c r="D148" s="202">
        <f>Daten_MFH!$D$73</f>
        <v>0.18</v>
      </c>
    </row>
    <row r="149" spans="1:19" s="162" customFormat="1" ht="15.75" hidden="1" outlineLevel="2" thickBot="1" x14ac:dyDescent="0.3">
      <c r="B149" s="163" t="s">
        <v>387</v>
      </c>
      <c r="O149" s="164"/>
      <c r="P149" s="165"/>
      <c r="R149" s="164"/>
      <c r="S149" s="165"/>
    </row>
    <row r="150" spans="1:19" s="170" customFormat="1" ht="15.75" hidden="1" outlineLevel="2" thickBot="1" x14ac:dyDescent="0.3">
      <c r="A150" s="166"/>
      <c r="B150" s="167"/>
      <c r="C150" s="166"/>
      <c r="D150" s="166"/>
      <c r="E150" s="166"/>
      <c r="F150" s="166"/>
      <c r="G150" s="166"/>
      <c r="H150" s="166"/>
      <c r="J150" s="166"/>
      <c r="K150" s="166"/>
      <c r="L150" s="166"/>
      <c r="M150" s="166"/>
      <c r="N150" s="166"/>
      <c r="O150" s="168" t="s">
        <v>319</v>
      </c>
      <c r="P150" s="169" t="s">
        <v>332</v>
      </c>
      <c r="R150" s="171"/>
      <c r="S150" s="172"/>
    </row>
    <row r="151" spans="1:19" ht="15.75" hidden="1" outlineLevel="2" thickBot="1" x14ac:dyDescent="0.3">
      <c r="B151" s="174" t="s">
        <v>382</v>
      </c>
      <c r="C151" s="185" t="s">
        <v>348</v>
      </c>
      <c r="O151" s="193">
        <f>$D$143*Daten_ALLG!$D$92*(Daten_ALLG!$D$38-O26)*8.76</f>
        <v>6467.0259307685483</v>
      </c>
      <c r="P151" s="194">
        <f>$D$143*Daten_ALLG!$D$92*(Daten_ALLG!$D$38-P26)*8.76</f>
        <v>6467.0259307685483</v>
      </c>
    </row>
    <row r="152" spans="1:19" ht="15.75" hidden="1" outlineLevel="2" thickBot="1" x14ac:dyDescent="0.3">
      <c r="B152" s="174" t="s">
        <v>381</v>
      </c>
      <c r="C152" s="185" t="s">
        <v>348</v>
      </c>
      <c r="O152" s="221">
        <f>$D$142*Daten_ALLG!$D$92*(Daten_ALLG!$D$38-Daten_ALLG!$D$29)*8.76</f>
        <v>3046.501539643129</v>
      </c>
      <c r="P152" s="222">
        <f>$D$142*Daten_ALLG!$D$92*(Daten_ALLG!$D$38-Daten_ALLG!$D$29)*8.76</f>
        <v>3046.501539643129</v>
      </c>
    </row>
    <row r="153" spans="1:19" ht="15.75" hidden="1" outlineLevel="2" thickBot="1" x14ac:dyDescent="0.3">
      <c r="B153" s="174" t="s">
        <v>375</v>
      </c>
      <c r="C153" s="185" t="s">
        <v>348</v>
      </c>
      <c r="O153" s="180">
        <f>O151+O152</f>
        <v>9513.5274704116782</v>
      </c>
      <c r="P153" s="181">
        <f>P151+P152</f>
        <v>9513.5274704116782</v>
      </c>
    </row>
    <row r="154" spans="1:19" ht="15.75" hidden="1" outlineLevel="2" thickBot="1" x14ac:dyDescent="0.3">
      <c r="B154" s="174" t="s">
        <v>157</v>
      </c>
      <c r="C154" s="185" t="s">
        <v>13</v>
      </c>
      <c r="D154" s="202">
        <f>Daten_MFH!$D$74*Daten_MFH!$D$77</f>
        <v>0.65600000000000014</v>
      </c>
    </row>
    <row r="155" spans="1:19" s="162" customFormat="1" ht="15.75" hidden="1" outlineLevel="2" thickBot="1" x14ac:dyDescent="0.3">
      <c r="B155" s="163" t="s">
        <v>388</v>
      </c>
      <c r="O155" s="164"/>
      <c r="P155" s="165"/>
      <c r="R155" s="164"/>
      <c r="S155" s="165"/>
    </row>
    <row r="156" spans="1:19" s="170" customFormat="1" ht="15.75" hidden="1" outlineLevel="2" thickBot="1" x14ac:dyDescent="0.3">
      <c r="A156" s="166"/>
      <c r="B156" s="167"/>
      <c r="C156" s="166"/>
      <c r="D156" s="166"/>
      <c r="E156" s="166"/>
      <c r="F156" s="166"/>
      <c r="G156" s="166"/>
      <c r="H156" s="166"/>
      <c r="J156" s="166"/>
      <c r="K156" s="166"/>
      <c r="L156" s="166"/>
      <c r="M156" s="166"/>
      <c r="N156" s="166"/>
      <c r="O156" s="168" t="s">
        <v>319</v>
      </c>
      <c r="P156" s="169" t="s">
        <v>332</v>
      </c>
      <c r="R156" s="171"/>
      <c r="S156" s="172"/>
    </row>
    <row r="157" spans="1:19" ht="15.75" hidden="1" outlineLevel="2" thickBot="1" x14ac:dyDescent="0.3">
      <c r="B157" s="174" t="s">
        <v>382</v>
      </c>
      <c r="C157" s="185" t="s">
        <v>348</v>
      </c>
      <c r="O157" s="193">
        <f>$D$141*Daten_ALLG!$D$92*(Daten_ALLG!$D$39-O26)*8.76</f>
        <v>1681.1201533678498</v>
      </c>
      <c r="P157" s="194">
        <f>$D$141*Daten_ALLG!$D$92*(Daten_ALLG!$D$39-P26)*8.76</f>
        <v>1681.1201533678498</v>
      </c>
    </row>
    <row r="158" spans="1:19" ht="15.75" hidden="1" outlineLevel="2" thickBot="1" x14ac:dyDescent="0.3">
      <c r="B158" s="174" t="s">
        <v>381</v>
      </c>
      <c r="C158" s="185" t="s">
        <v>348</v>
      </c>
      <c r="O158" s="221">
        <f>$D$140*Daten_ALLG!$D$92*(Daten_ALLG!$D$39-Daten_ALLG!$D$29)*8.76</f>
        <v>699.87197532342145</v>
      </c>
      <c r="P158" s="222">
        <f>$D$140*Daten_ALLG!$D$92*(Daten_ALLG!$D$39-Daten_ALLG!$D$29)*8.76</f>
        <v>699.87197532342145</v>
      </c>
    </row>
    <row r="159" spans="1:19" ht="15.75" hidden="1" outlineLevel="2" thickBot="1" x14ac:dyDescent="0.3">
      <c r="B159" s="174" t="s">
        <v>375</v>
      </c>
      <c r="C159" s="185" t="s">
        <v>348</v>
      </c>
      <c r="O159" s="180">
        <f>O157+O158</f>
        <v>2380.9921286912713</v>
      </c>
      <c r="P159" s="181">
        <f>P157+P158</f>
        <v>2380.9921286912713</v>
      </c>
    </row>
    <row r="160" spans="1:19" ht="15.75" hidden="1" outlineLevel="2" thickBot="1" x14ac:dyDescent="0.3">
      <c r="B160" s="174" t="s">
        <v>157</v>
      </c>
      <c r="C160" s="185" t="s">
        <v>13</v>
      </c>
      <c r="D160" s="202">
        <f>Daten_MFH!$D$74*Daten_MFH!$D$78</f>
        <v>0.16399999999999998</v>
      </c>
    </row>
    <row r="161" spans="1:19" s="162" customFormat="1" ht="15.75" outlineLevel="1" thickBot="1" x14ac:dyDescent="0.3">
      <c r="A161" s="335"/>
      <c r="B161" s="163" t="s">
        <v>568</v>
      </c>
      <c r="D161" s="335"/>
      <c r="E161" s="335"/>
      <c r="F161" s="335"/>
      <c r="G161" s="335"/>
      <c r="O161" s="164"/>
      <c r="P161" s="165"/>
      <c r="R161" s="164"/>
      <c r="S161" s="165"/>
    </row>
    <row r="162" spans="1:19" s="170" customFormat="1" outlineLevel="1" collapsed="1" x14ac:dyDescent="0.25">
      <c r="A162" s="166"/>
      <c r="B162" s="167"/>
      <c r="C162" s="166"/>
      <c r="D162" s="166" t="s">
        <v>389</v>
      </c>
      <c r="E162" s="166" t="s">
        <v>189</v>
      </c>
      <c r="F162" s="166" t="s">
        <v>393</v>
      </c>
      <c r="G162" s="166" t="s">
        <v>392</v>
      </c>
      <c r="H162" s="166"/>
      <c r="J162" s="166"/>
      <c r="K162" s="166"/>
      <c r="L162" s="166"/>
      <c r="M162" s="166"/>
      <c r="N162" s="166"/>
      <c r="O162" s="168" t="s">
        <v>319</v>
      </c>
      <c r="P162" s="169" t="s">
        <v>332</v>
      </c>
      <c r="R162" s="171"/>
      <c r="S162" s="172"/>
    </row>
    <row r="163" spans="1:19" hidden="1" outlineLevel="2" x14ac:dyDescent="0.25">
      <c r="B163" s="196" t="s">
        <v>477</v>
      </c>
      <c r="C163" s="185" t="s">
        <v>348</v>
      </c>
      <c r="D163" s="187">
        <f>$D$148*E163+$D$154*F163+$D$160*G163</f>
        <v>6654.0518517658966</v>
      </c>
      <c r="E163" s="214">
        <f>O147</f>
        <v>126.08401150258871</v>
      </c>
      <c r="F163" s="214">
        <f>O153</f>
        <v>9513.5274704116782</v>
      </c>
      <c r="G163" s="214">
        <f>O159</f>
        <v>2380.9921286912713</v>
      </c>
      <c r="H163" s="215" t="s">
        <v>563</v>
      </c>
      <c r="I163" s="197"/>
      <c r="J163" s="197"/>
      <c r="K163" s="197"/>
      <c r="L163" s="197"/>
      <c r="M163" s="197"/>
      <c r="N163" s="197"/>
      <c r="O163" s="216">
        <f>IF($A161&lt;&gt;"",IF($D161="V",$D163,IF($E161="V",$E163,IF($F161="V",$F163,IF($G161="V",$G163,"")))),$D163)</f>
        <v>6654.0518517658966</v>
      </c>
      <c r="P163" s="217">
        <f>IF($A161&lt;&gt;"",IF($D161="N",$D164,IF($E161="N",$E164,IF($F161="N",$F164,IF($G161="N",$G164,SUMPRODUCT(D164:G164,D165:G165))))),$D164)</f>
        <v>6654.0518517658966</v>
      </c>
    </row>
    <row r="164" spans="1:19" hidden="1" outlineLevel="2" x14ac:dyDescent="0.25">
      <c r="C164" s="185" t="s">
        <v>348</v>
      </c>
      <c r="D164" s="187">
        <f>$D$148*E164+$D$154*F164+$D$160*G164</f>
        <v>6654.0518517658966</v>
      </c>
      <c r="E164" s="214">
        <f>P147</f>
        <v>126.08401150258871</v>
      </c>
      <c r="F164" s="214">
        <f>P153</f>
        <v>9513.5274704116782</v>
      </c>
      <c r="G164" s="214">
        <f>P159</f>
        <v>2380.9921286912713</v>
      </c>
      <c r="H164" s="174" t="s">
        <v>564</v>
      </c>
    </row>
    <row r="165" spans="1:19" hidden="1" outlineLevel="2" x14ac:dyDescent="0.25">
      <c r="C165" s="185"/>
      <c r="D165" s="218">
        <f>IF(D161="V",1,0)</f>
        <v>0</v>
      </c>
      <c r="E165" s="218">
        <f t="shared" ref="E165:G165" si="5">IF(E161="V",1,0)</f>
        <v>0</v>
      </c>
      <c r="F165" s="218">
        <f t="shared" si="5"/>
        <v>0</v>
      </c>
      <c r="G165" s="218">
        <f t="shared" si="5"/>
        <v>0</v>
      </c>
      <c r="H165" s="174"/>
    </row>
    <row r="166" spans="1:19" hidden="1" outlineLevel="2" x14ac:dyDescent="0.25">
      <c r="B166" s="174" t="s">
        <v>475</v>
      </c>
      <c r="C166" s="185" t="s">
        <v>348</v>
      </c>
      <c r="D166" s="187">
        <f>O18/365*($D$148*E166+$D$154*F166+$D$160*G166)</f>
        <v>2478.5457520242585</v>
      </c>
      <c r="E166" s="214">
        <f>O18/365*(O147)</f>
        <v>93.152355057392327</v>
      </c>
      <c r="F166" s="214">
        <f>O18/365*(O151)</f>
        <v>4777.9150463970309</v>
      </c>
      <c r="G166" s="214">
        <f>O18/365*(O157)</f>
        <v>1242.0314007652312</v>
      </c>
      <c r="H166" s="174" t="s">
        <v>563</v>
      </c>
      <c r="O166" s="216">
        <f>IF($A161&lt;&gt;"",IF($D161="V",$D166,IF($E161="V",$E166,IF($F161="V",$F166,IF($G161="V",$G166,"")))),$D166)</f>
        <v>2478.5457520242585</v>
      </c>
      <c r="P166" s="217">
        <f>IF($A161&lt;&gt;"",IF($D161="N",$D167,IF($E161="N",$E167,IF($F161="N",$F167,IF($G161="N",$G167,SUMPRODUCT(D167:G167,D168:G168))))),$D167)</f>
        <v>2478.5457520242585</v>
      </c>
    </row>
    <row r="167" spans="1:19" hidden="1" outlineLevel="2" x14ac:dyDescent="0.25">
      <c r="C167" s="185" t="s">
        <v>348</v>
      </c>
      <c r="D167" s="187">
        <f>P18/365*($D$148*E167+$D$154*F167+$D$160*G167)</f>
        <v>2478.5457520242585</v>
      </c>
      <c r="E167" s="214">
        <f>P18/365*(P147)</f>
        <v>93.152355057392327</v>
      </c>
      <c r="F167" s="214">
        <f>P18/365*(P151)</f>
        <v>4777.9150463970309</v>
      </c>
      <c r="G167" s="214">
        <f>P18/365*(P157)</f>
        <v>1242.0314007652312</v>
      </c>
      <c r="H167" s="174" t="s">
        <v>564</v>
      </c>
    </row>
    <row r="168" spans="1:19" hidden="1" outlineLevel="2" x14ac:dyDescent="0.25">
      <c r="C168" s="185"/>
      <c r="D168" s="218">
        <f>IF(D161="V",1,0)</f>
        <v>0</v>
      </c>
      <c r="E168" s="218">
        <f t="shared" ref="E168:G168" si="6">IF(E161="V",1,0)</f>
        <v>0</v>
      </c>
      <c r="F168" s="218">
        <f t="shared" si="6"/>
        <v>0</v>
      </c>
      <c r="G168" s="218">
        <f t="shared" si="6"/>
        <v>0</v>
      </c>
      <c r="H168" s="174"/>
    </row>
    <row r="169" spans="1:19" s="159" customFormat="1" ht="14.25" customHeight="1" collapsed="1" x14ac:dyDescent="0.25">
      <c r="A169" s="156" t="s">
        <v>439</v>
      </c>
      <c r="B169" s="157"/>
      <c r="C169" s="157"/>
      <c r="D169" s="158"/>
      <c r="O169" s="160"/>
      <c r="P169" s="161"/>
      <c r="R169" s="160"/>
      <c r="S169" s="161"/>
    </row>
    <row r="170" spans="1:19" s="162" customFormat="1" hidden="1" outlineLevel="2" x14ac:dyDescent="0.25">
      <c r="B170" s="163" t="s">
        <v>414</v>
      </c>
      <c r="O170" s="164"/>
      <c r="P170" s="165"/>
      <c r="R170" s="164"/>
      <c r="S170" s="165"/>
    </row>
    <row r="171" spans="1:19" s="170" customFormat="1" hidden="1" outlineLevel="2" x14ac:dyDescent="0.25">
      <c r="A171" s="166"/>
      <c r="B171" s="167"/>
      <c r="C171" s="166"/>
      <c r="D171" s="166" t="s">
        <v>563</v>
      </c>
      <c r="E171" s="166" t="s">
        <v>564</v>
      </c>
      <c r="F171" s="166"/>
      <c r="G171" s="166"/>
      <c r="H171" s="166"/>
      <c r="J171" s="166" t="s">
        <v>563</v>
      </c>
      <c r="K171" s="166" t="s">
        <v>564</v>
      </c>
      <c r="L171" s="166"/>
      <c r="M171" s="166"/>
      <c r="N171" s="166"/>
      <c r="O171" s="168" t="s">
        <v>319</v>
      </c>
      <c r="P171" s="169" t="s">
        <v>332</v>
      </c>
      <c r="R171" s="171"/>
      <c r="S171" s="172"/>
    </row>
    <row r="172" spans="1:19" hidden="1" outlineLevel="2" x14ac:dyDescent="0.25">
      <c r="B172" s="174" t="s">
        <v>404</v>
      </c>
      <c r="C172" s="185" t="s">
        <v>64</v>
      </c>
      <c r="D172" s="214">
        <f>Daten_ALLG!$D$123</f>
        <v>-2</v>
      </c>
      <c r="G172" s="173" t="s">
        <v>838</v>
      </c>
      <c r="I172" s="185" t="s">
        <v>368</v>
      </c>
      <c r="J172" s="219">
        <f>O100</f>
        <v>24.240939036651458</v>
      </c>
      <c r="K172" s="219">
        <f>P100</f>
        <v>24.240939036651458</v>
      </c>
    </row>
    <row r="173" spans="1:19" hidden="1" outlineLevel="2" x14ac:dyDescent="0.25">
      <c r="B173" s="174" t="s">
        <v>405</v>
      </c>
      <c r="C173" s="185" t="s">
        <v>64</v>
      </c>
      <c r="D173" s="223">
        <f>Daten_ALLG!$D$27</f>
        <v>21</v>
      </c>
      <c r="G173" s="173" t="s">
        <v>839</v>
      </c>
      <c r="I173" s="185" t="s">
        <v>368</v>
      </c>
      <c r="J173" s="223">
        <v>0</v>
      </c>
      <c r="K173" s="223">
        <v>0</v>
      </c>
    </row>
    <row r="174" spans="1:19" hidden="1" outlineLevel="2" x14ac:dyDescent="0.25">
      <c r="B174" s="174" t="s">
        <v>406</v>
      </c>
      <c r="C174" s="185" t="s">
        <v>64</v>
      </c>
      <c r="D174" s="223">
        <f>Daten_ALLG!$D$16</f>
        <v>-12</v>
      </c>
      <c r="G174" s="173" t="s">
        <v>840</v>
      </c>
      <c r="I174" s="185" t="s">
        <v>64</v>
      </c>
      <c r="J174" s="223">
        <f>Daten_ALLG!$D$16</f>
        <v>-12</v>
      </c>
      <c r="K174" s="223">
        <f>Daten_ALLG!$D$16</f>
        <v>-12</v>
      </c>
    </row>
    <row r="175" spans="1:19" hidden="1" outlineLevel="2" x14ac:dyDescent="0.25">
      <c r="B175" s="174" t="s">
        <v>407</v>
      </c>
      <c r="C175" s="185" t="s">
        <v>64</v>
      </c>
      <c r="D175" s="214">
        <f>Daten_ALLG!$D$81+Daten_ALLG!$F$81*$O$94</f>
        <v>41.033190613937563</v>
      </c>
      <c r="E175" s="214">
        <f>Daten_ALLG!$D$81+Daten_ALLG!$F$81*$P$94</f>
        <v>41.033190613937563</v>
      </c>
      <c r="G175" s="173" t="s">
        <v>62</v>
      </c>
      <c r="I175" s="185" t="s">
        <v>64</v>
      </c>
      <c r="J175" s="219">
        <f>O16</f>
        <v>15.175486902955793</v>
      </c>
      <c r="K175" s="219">
        <f>P16</f>
        <v>15.175486902955793</v>
      </c>
    </row>
    <row r="176" spans="1:19" hidden="1" outlineLevel="2" x14ac:dyDescent="0.25">
      <c r="B176" s="174" t="s">
        <v>410</v>
      </c>
      <c r="C176" s="185" t="s">
        <v>64</v>
      </c>
      <c r="D176" s="214">
        <f>(D173-D172)*(D175-D173)/(D173-D174)+D173</f>
        <v>34.962526791532241</v>
      </c>
      <c r="E176" s="214">
        <f>(D173-D172)*(E175-D173)/(D173-D174)+D173</f>
        <v>34.962526791532241</v>
      </c>
      <c r="G176" s="173" t="s">
        <v>841</v>
      </c>
      <c r="I176" s="185" t="s">
        <v>368</v>
      </c>
      <c r="J176" s="219">
        <f>J172-(J172-J173)/(J175-J174)*($D$172-J174)</f>
        <v>15.320790108605998</v>
      </c>
      <c r="K176" s="219">
        <f>K172-(K172-K173)/(K175-K174)*($D$172-K174)</f>
        <v>15.320790108605998</v>
      </c>
    </row>
    <row r="177" spans="1:19" hidden="1" outlineLevel="2" x14ac:dyDescent="0.25">
      <c r="B177" s="174" t="s">
        <v>411</v>
      </c>
      <c r="C177" s="185" t="s">
        <v>13</v>
      </c>
      <c r="D177" s="191">
        <f>(273+D176+Daten_ALLG!$D$128)/(D176-D172+Daten_ALLG!$D$128-Daten_ALLG!$D$127)*Daten_ALLG!$L$135</f>
        <v>2.412828907059279</v>
      </c>
      <c r="E177" s="191">
        <f>(273+E176+Daten_ALLG!$D$128)/(E176-D172+Daten_ALLG!$D$128-Daten_ALLG!$D$127)*Daten_ALLG!$L$135</f>
        <v>2.412828907059279</v>
      </c>
    </row>
    <row r="178" spans="1:19" hidden="1" outlineLevel="2" x14ac:dyDescent="0.25">
      <c r="B178" s="174" t="s">
        <v>763</v>
      </c>
      <c r="C178" s="185" t="s">
        <v>13</v>
      </c>
      <c r="D178" s="191">
        <f>D176*Daten_ALLG!$F$132+Daten_ALLG!$D$132</f>
        <v>0.99931866893694976</v>
      </c>
      <c r="E178" s="191">
        <f>E176*Daten_ALLG!$F$132+Daten_ALLG!$D$132</f>
        <v>0.99931866893694976</v>
      </c>
    </row>
    <row r="179" spans="1:19" hidden="1" outlineLevel="2" x14ac:dyDescent="0.25">
      <c r="B179" s="174" t="s">
        <v>413</v>
      </c>
      <c r="C179" s="185" t="s">
        <v>13</v>
      </c>
      <c r="O179" s="224">
        <f>D177*D178/Daten_ALLG!$L$139</f>
        <v>0.9111390215924241</v>
      </c>
      <c r="P179" s="225">
        <f>E177*E178/Daten_ALLG!$L$139</f>
        <v>0.9111390215924241</v>
      </c>
    </row>
    <row r="180" spans="1:19" hidden="1" outlineLevel="2" x14ac:dyDescent="0.25">
      <c r="B180" s="174" t="s">
        <v>445</v>
      </c>
      <c r="C180" s="185" t="s">
        <v>368</v>
      </c>
      <c r="O180" s="226">
        <f>J176/O179</f>
        <v>16.814986237587991</v>
      </c>
      <c r="P180" s="227">
        <f>K176/P179</f>
        <v>16.814986237587991</v>
      </c>
    </row>
    <row r="181" spans="1:19" s="162" customFormat="1" hidden="1" outlineLevel="2" x14ac:dyDescent="0.25">
      <c r="B181" s="163" t="s">
        <v>415</v>
      </c>
      <c r="O181" s="164"/>
      <c r="P181" s="165"/>
      <c r="R181" s="164"/>
      <c r="S181" s="165"/>
    </row>
    <row r="182" spans="1:19" s="170" customFormat="1" hidden="1" outlineLevel="2" x14ac:dyDescent="0.25">
      <c r="A182" s="166"/>
      <c r="B182" s="167"/>
      <c r="C182" s="166"/>
      <c r="D182" s="166" t="s">
        <v>563</v>
      </c>
      <c r="E182" s="166" t="s">
        <v>564</v>
      </c>
      <c r="F182" s="166"/>
      <c r="G182" s="166"/>
      <c r="H182" s="166"/>
      <c r="J182" s="166"/>
      <c r="K182" s="166"/>
      <c r="L182" s="166"/>
      <c r="M182" s="166"/>
      <c r="N182" s="166"/>
      <c r="O182" s="168" t="s">
        <v>319</v>
      </c>
      <c r="P182" s="169" t="s">
        <v>332</v>
      </c>
      <c r="R182" s="171"/>
      <c r="S182" s="172"/>
    </row>
    <row r="183" spans="1:19" hidden="1" outlineLevel="2" x14ac:dyDescent="0.25">
      <c r="B183" s="174" t="s">
        <v>404</v>
      </c>
      <c r="C183" s="185" t="s">
        <v>64</v>
      </c>
      <c r="D183" s="214">
        <f>Daten_ALLG!$D$123</f>
        <v>-2</v>
      </c>
    </row>
    <row r="184" spans="1:19" hidden="1" outlineLevel="2" x14ac:dyDescent="0.25">
      <c r="B184" s="174" t="s">
        <v>405</v>
      </c>
      <c r="C184" s="185" t="s">
        <v>64</v>
      </c>
      <c r="D184" s="223">
        <f>Daten_ALLG!$D$27</f>
        <v>21</v>
      </c>
    </row>
    <row r="185" spans="1:19" hidden="1" outlineLevel="2" x14ac:dyDescent="0.25">
      <c r="B185" s="174" t="s">
        <v>406</v>
      </c>
      <c r="C185" s="185" t="s">
        <v>64</v>
      </c>
      <c r="D185" s="223">
        <f>Daten_ALLG!$D$16</f>
        <v>-12</v>
      </c>
    </row>
    <row r="186" spans="1:19" hidden="1" outlineLevel="2" x14ac:dyDescent="0.25">
      <c r="B186" s="174" t="s">
        <v>407</v>
      </c>
      <c r="C186" s="185" t="s">
        <v>64</v>
      </c>
      <c r="D186" s="214">
        <f>Daten_ALLG!$D$80+Daten_ALLG!$F$80*$O$94</f>
        <v>62.237687468393034</v>
      </c>
      <c r="E186" s="214">
        <f>Daten_ALLG!$D$80+Daten_ALLG!$F$80*$P$94</f>
        <v>62.237687468393034</v>
      </c>
    </row>
    <row r="187" spans="1:19" hidden="1" outlineLevel="2" x14ac:dyDescent="0.25">
      <c r="B187" s="174" t="s">
        <v>410</v>
      </c>
      <c r="C187" s="185" t="s">
        <v>64</v>
      </c>
      <c r="D187" s="214">
        <f>(D184-D183)*(D186-D184)/(D184-D185)+D184</f>
        <v>49.741418538576966</v>
      </c>
      <c r="E187" s="214">
        <f>(D184-D183)*(E186-D184)/(D184-D185)+D184</f>
        <v>49.741418538576966</v>
      </c>
    </row>
    <row r="188" spans="1:19" hidden="1" outlineLevel="2" x14ac:dyDescent="0.25">
      <c r="B188" s="174" t="s">
        <v>411</v>
      </c>
      <c r="C188" s="185" t="s">
        <v>13</v>
      </c>
      <c r="D188" s="191">
        <f>(273+D187+Daten_ALLG!$D$128)/(D187-D183+Daten_ALLG!$D$128-Daten_ALLG!$D$127)*Daten_ALLG!$L$135</f>
        <v>1.9025242330847623</v>
      </c>
      <c r="E188" s="191">
        <f>(273+E187+Daten_ALLG!$D$128)/(E187-D183+Daten_ALLG!$D$128-Daten_ALLG!$D$127)*Daten_ALLG!$L$135</f>
        <v>1.9025242330847623</v>
      </c>
    </row>
    <row r="189" spans="1:19" hidden="1" outlineLevel="2" x14ac:dyDescent="0.25">
      <c r="B189" s="174" t="s">
        <v>763</v>
      </c>
      <c r="C189" s="185" t="s">
        <v>13</v>
      </c>
      <c r="D189" s="191">
        <f>D187*Daten_ALLG!$F$132+Daten_ALLG!$D$132</f>
        <v>1.26802579161049</v>
      </c>
      <c r="E189" s="191">
        <f>E187*Daten_ALLG!$F$132+Daten_ALLG!$D$132</f>
        <v>1.26802579161049</v>
      </c>
    </row>
    <row r="190" spans="1:19" hidden="1" outlineLevel="2" x14ac:dyDescent="0.25">
      <c r="B190" s="174" t="s">
        <v>413</v>
      </c>
      <c r="C190" s="185" t="s">
        <v>13</v>
      </c>
      <c r="O190" s="224">
        <f>D188*D189/Daten_ALLG!$L$139</f>
        <v>0.9116169738740395</v>
      </c>
      <c r="P190" s="225">
        <f>E188*E189/Daten_ALLG!$L$139</f>
        <v>0.9116169738740395</v>
      </c>
    </row>
    <row r="191" spans="1:19" hidden="1" outlineLevel="2" x14ac:dyDescent="0.25">
      <c r="B191" s="174" t="s">
        <v>445</v>
      </c>
      <c r="C191" s="185" t="s">
        <v>368</v>
      </c>
      <c r="O191" s="226">
        <f>J176/O190</f>
        <v>16.806170297047267</v>
      </c>
      <c r="P191" s="227">
        <f>K176/P190</f>
        <v>16.806170297047267</v>
      </c>
    </row>
    <row r="192" spans="1:19" s="162" customFormat="1" hidden="1" outlineLevel="2" x14ac:dyDescent="0.25">
      <c r="B192" s="163" t="s">
        <v>486</v>
      </c>
      <c r="O192" s="164"/>
      <c r="P192" s="165"/>
      <c r="R192" s="164"/>
      <c r="S192" s="165"/>
    </row>
    <row r="193" spans="1:19" s="170" customFormat="1" hidden="1" outlineLevel="2" x14ac:dyDescent="0.25">
      <c r="A193" s="166"/>
      <c r="B193" s="167"/>
      <c r="C193" s="166"/>
      <c r="D193" s="166" t="s">
        <v>563</v>
      </c>
      <c r="E193" s="166" t="s">
        <v>564</v>
      </c>
      <c r="F193" s="166"/>
      <c r="G193" s="166"/>
      <c r="H193" s="166"/>
      <c r="J193" s="166"/>
      <c r="K193" s="166"/>
      <c r="L193" s="166"/>
      <c r="M193" s="166"/>
      <c r="N193" s="166"/>
      <c r="O193" s="168" t="s">
        <v>319</v>
      </c>
      <c r="P193" s="169" t="s">
        <v>332</v>
      </c>
      <c r="R193" s="171"/>
      <c r="S193" s="172"/>
    </row>
    <row r="194" spans="1:19" hidden="1" outlineLevel="2" x14ac:dyDescent="0.25">
      <c r="B194" s="174" t="s">
        <v>425</v>
      </c>
      <c r="C194" s="185" t="s">
        <v>64</v>
      </c>
      <c r="D194" s="219">
        <f>$O$17</f>
        <v>6.4385744005144163</v>
      </c>
      <c r="E194" s="219">
        <f>$P$17</f>
        <v>6.4385744005144163</v>
      </c>
    </row>
    <row r="195" spans="1:19" hidden="1" outlineLevel="2" x14ac:dyDescent="0.25">
      <c r="B195" s="174" t="s">
        <v>407</v>
      </c>
      <c r="C195" s="185" t="s">
        <v>64</v>
      </c>
      <c r="D195" s="214">
        <f>Daten_ALLG!$D$85+Daten_ALLG!$F$85*$O$94</f>
        <v>30.105995733607987</v>
      </c>
      <c r="E195" s="214">
        <f>Daten_ALLG!$D$85+Daten_ALLG!$F$85*$P$94</f>
        <v>30.105995733607987</v>
      </c>
    </row>
    <row r="196" spans="1:19" hidden="1" outlineLevel="2" x14ac:dyDescent="0.25">
      <c r="B196" s="174" t="s">
        <v>487</v>
      </c>
      <c r="C196" s="185" t="s">
        <v>13</v>
      </c>
      <c r="O196" s="224">
        <f>(273+D195+Daten_ALLG!$D$128)/(D195-D194+Daten_ALLG!$D$128-Daten_ALLG!$D$127)*Daten_ALLG!$L$135</f>
        <v>3.3721437998857997</v>
      </c>
      <c r="P196" s="225">
        <f>(273+E195+Daten_ALLG!$D$128)/(E195-E194+Daten_ALLG!$D$128-Daten_ALLG!$D$127)*Daten_ALLG!$L$135</f>
        <v>3.3721437998857997</v>
      </c>
    </row>
    <row r="197" spans="1:19" hidden="1" outlineLevel="2" x14ac:dyDescent="0.25">
      <c r="B197" s="174" t="s">
        <v>488</v>
      </c>
      <c r="C197" s="185" t="s">
        <v>13</v>
      </c>
      <c r="O197" s="228">
        <f>Daten_ALLG!$D$124*O196+(1-Daten_ALLG!$D$124)*Daten_ALLG!$L$120</f>
        <v>3.1064636942985904</v>
      </c>
      <c r="P197" s="229">
        <f>Daten_ALLG!$D$124*P196+(1-Daten_ALLG!$D$124)*Daten_ALLG!$L$120</f>
        <v>3.1064636942985904</v>
      </c>
    </row>
    <row r="198" spans="1:19" s="162" customFormat="1" hidden="1" outlineLevel="2" x14ac:dyDescent="0.25">
      <c r="B198" s="163" t="s">
        <v>489</v>
      </c>
      <c r="O198" s="164"/>
      <c r="P198" s="165"/>
      <c r="R198" s="164"/>
      <c r="S198" s="165"/>
    </row>
    <row r="199" spans="1:19" s="170" customFormat="1" hidden="1" outlineLevel="2" x14ac:dyDescent="0.25">
      <c r="A199" s="166"/>
      <c r="B199" s="167"/>
      <c r="C199" s="166"/>
      <c r="D199" s="166" t="s">
        <v>563</v>
      </c>
      <c r="E199" s="166" t="s">
        <v>564</v>
      </c>
      <c r="F199" s="166"/>
      <c r="G199" s="166"/>
      <c r="H199" s="166"/>
      <c r="J199" s="166"/>
      <c r="K199" s="166"/>
      <c r="L199" s="166"/>
      <c r="M199" s="166"/>
      <c r="N199" s="166"/>
      <c r="O199" s="168" t="s">
        <v>319</v>
      </c>
      <c r="P199" s="169" t="s">
        <v>332</v>
      </c>
      <c r="R199" s="171"/>
      <c r="S199" s="172"/>
    </row>
    <row r="200" spans="1:19" hidden="1" outlineLevel="2" x14ac:dyDescent="0.25">
      <c r="B200" s="174" t="s">
        <v>425</v>
      </c>
      <c r="C200" s="185" t="s">
        <v>64</v>
      </c>
      <c r="D200" s="219">
        <f>$O$17</f>
        <v>6.4385744005144163</v>
      </c>
      <c r="E200" s="219">
        <f>$P$17</f>
        <v>6.4385744005144163</v>
      </c>
    </row>
    <row r="201" spans="1:19" hidden="1" outlineLevel="2" x14ac:dyDescent="0.25">
      <c r="B201" s="174" t="s">
        <v>407</v>
      </c>
      <c r="C201" s="185" t="s">
        <v>64</v>
      </c>
      <c r="D201" s="214">
        <f>Daten_ALLG!$D$84+Daten_ALLG!$F$84*$O$94</f>
        <v>39.74440339472411</v>
      </c>
      <c r="E201" s="214">
        <f>Daten_ALLG!$D$84+Daten_ALLG!$F$84*$P$94</f>
        <v>39.74440339472411</v>
      </c>
    </row>
    <row r="202" spans="1:19" hidden="1" outlineLevel="2" x14ac:dyDescent="0.25">
      <c r="B202" s="174" t="s">
        <v>487</v>
      </c>
      <c r="C202" s="185" t="s">
        <v>13</v>
      </c>
      <c r="O202" s="224">
        <f>(273+D201+Daten_ALLG!$D$128)/(D201-D200+Daten_ALLG!$D$128-Daten_ALLG!$D$127)*Daten_ALLG!$L$135</f>
        <v>2.6669490449785158</v>
      </c>
      <c r="P202" s="225">
        <f>(273+E201+Daten_ALLG!$D$128)/(E201-E200+Daten_ALLG!$D$128-Daten_ALLG!$D$127)*Daten_ALLG!$L$135</f>
        <v>2.6669490449785158</v>
      </c>
    </row>
    <row r="203" spans="1:19" hidden="1" outlineLevel="2" x14ac:dyDescent="0.25">
      <c r="B203" s="174" t="s">
        <v>488</v>
      </c>
      <c r="C203" s="185" t="s">
        <v>13</v>
      </c>
      <c r="O203" s="228">
        <f>Daten_ALLG!$D$124*O202+(1-Daten_ALLG!$D$124)*Daten_ALLG!$L$120</f>
        <v>2.4802507519409223</v>
      </c>
      <c r="P203" s="229">
        <f>Daten_ALLG!$D$124*P202+(1-Daten_ALLG!$D$124)*Daten_ALLG!$L$120</f>
        <v>2.4802507519409223</v>
      </c>
    </row>
    <row r="204" spans="1:19" s="162" customFormat="1" hidden="1" outlineLevel="2" x14ac:dyDescent="0.25">
      <c r="A204" s="212" t="str">
        <f>IF(A129="","",A129)</f>
        <v/>
      </c>
      <c r="B204" s="163" t="s">
        <v>438</v>
      </c>
      <c r="D204" s="212" t="str">
        <f>IF(D129="","",D129)</f>
        <v/>
      </c>
      <c r="E204" s="212" t="str">
        <f>IF(E129="","",E129)</f>
        <v/>
      </c>
      <c r="F204" s="212" t="str">
        <f>IF(F129="","",F129)</f>
        <v/>
      </c>
      <c r="G204" s="212"/>
      <c r="O204" s="164"/>
      <c r="P204" s="165"/>
      <c r="R204" s="164"/>
      <c r="S204" s="165"/>
    </row>
    <row r="205" spans="1:19" s="170" customFormat="1" hidden="1" outlineLevel="2" x14ac:dyDescent="0.25">
      <c r="A205" s="166"/>
      <c r="B205" s="167"/>
      <c r="C205" s="166"/>
      <c r="D205" s="166" t="s">
        <v>389</v>
      </c>
      <c r="E205" s="166" t="s">
        <v>399</v>
      </c>
      <c r="F205" s="166" t="s">
        <v>398</v>
      </c>
      <c r="G205" s="166"/>
      <c r="H205" s="166"/>
      <c r="J205" s="166"/>
      <c r="K205" s="166"/>
      <c r="L205" s="166"/>
      <c r="M205" s="166"/>
      <c r="N205" s="166"/>
      <c r="O205" s="168" t="s">
        <v>319</v>
      </c>
      <c r="P205" s="169" t="s">
        <v>332</v>
      </c>
      <c r="R205" s="171"/>
      <c r="S205" s="172"/>
    </row>
    <row r="206" spans="1:19" hidden="1" outlineLevel="2" x14ac:dyDescent="0.25">
      <c r="B206" s="174" t="s">
        <v>178</v>
      </c>
      <c r="C206" s="185" t="s">
        <v>13</v>
      </c>
      <c r="D206" s="220"/>
      <c r="E206" s="191">
        <f>D123/(D123+D128)</f>
        <v>0.9</v>
      </c>
      <c r="F206" s="191">
        <f>1-E206</f>
        <v>9.9999999999999978E-2</v>
      </c>
      <c r="G206" s="185"/>
    </row>
    <row r="207" spans="1:19" hidden="1" outlineLevel="2" x14ac:dyDescent="0.25">
      <c r="B207" s="174" t="s">
        <v>488</v>
      </c>
      <c r="C207" s="185" t="s">
        <v>13</v>
      </c>
      <c r="D207" s="191">
        <f>$E$206*E207+$F$206*F207</f>
        <v>2.5428720461766892</v>
      </c>
      <c r="E207" s="191">
        <f>O203</f>
        <v>2.4802507519409223</v>
      </c>
      <c r="F207" s="191">
        <f>O197</f>
        <v>3.1064636942985904</v>
      </c>
      <c r="G207" s="215" t="s">
        <v>563</v>
      </c>
      <c r="O207" s="228">
        <f>IF($A204&lt;&gt;"",IF($D204="V",$D207,IF($E204="V",$E207,IF($F204="V",$F207,0))),$D207)</f>
        <v>2.5428720461766892</v>
      </c>
      <c r="P207" s="229">
        <f>IF($A204&lt;&gt;"",IF($D204="N",$D208,IF($E204="N",$E208,IF($F204="N",$F208,SUMPRODUCT(D208:F208,D209:F209)))),$D208)</f>
        <v>2.5428720461766892</v>
      </c>
    </row>
    <row r="208" spans="1:19" hidden="1" outlineLevel="2" x14ac:dyDescent="0.25">
      <c r="C208" s="185" t="s">
        <v>13</v>
      </c>
      <c r="D208" s="191">
        <f>$E$206*E208+$F$206*F208</f>
        <v>2.5428720461766892</v>
      </c>
      <c r="E208" s="191">
        <f>P203</f>
        <v>2.4802507519409223</v>
      </c>
      <c r="F208" s="191">
        <f>P197</f>
        <v>3.1064636942985904</v>
      </c>
      <c r="G208" s="174" t="s">
        <v>564</v>
      </c>
    </row>
    <row r="209" spans="1:19" hidden="1" outlineLevel="2" x14ac:dyDescent="0.25">
      <c r="C209" s="185"/>
      <c r="D209" s="218">
        <f>IF(D204="V",1,0)</f>
        <v>0</v>
      </c>
      <c r="E209" s="218">
        <f t="shared" ref="E209:F209" si="7">IF(E204="V",1,0)</f>
        <v>0</v>
      </c>
      <c r="F209" s="218">
        <f t="shared" si="7"/>
        <v>0</v>
      </c>
      <c r="G209" s="218"/>
      <c r="H209" s="174"/>
    </row>
    <row r="210" spans="1:19" hidden="1" outlineLevel="2" x14ac:dyDescent="0.25">
      <c r="B210" s="174" t="s">
        <v>420</v>
      </c>
      <c r="C210" s="185" t="s">
        <v>368</v>
      </c>
      <c r="D210" s="191">
        <f>$E$206*E210+$F$206*F210</f>
        <v>16.807051891101338</v>
      </c>
      <c r="E210" s="191">
        <f>O191</f>
        <v>16.806170297047267</v>
      </c>
      <c r="F210" s="191">
        <f>O180</f>
        <v>16.814986237587991</v>
      </c>
      <c r="G210" s="215" t="s">
        <v>563</v>
      </c>
      <c r="O210" s="226">
        <f>IF($A204&lt;&gt;"",IF($D204="V",$D210,IF($E204="V",$E210,IF($F204="V",$F210,0))),$D210)</f>
        <v>16.807051891101338</v>
      </c>
      <c r="P210" s="227">
        <f>IF($A204&lt;&gt;"",IF($D204="N",$D211,IF($E204="N",$E211,IF($F204="N",$F211,SUMPRODUCT(D211:F211,D212:F212)))),$D211)</f>
        <v>16.807051891101338</v>
      </c>
    </row>
    <row r="211" spans="1:19" hidden="1" outlineLevel="2" x14ac:dyDescent="0.25">
      <c r="C211" s="185" t="s">
        <v>368</v>
      </c>
      <c r="D211" s="191">
        <f>$E$206*E211+$F$206*F211</f>
        <v>16.807051891101338</v>
      </c>
      <c r="E211" s="191">
        <f>P191</f>
        <v>16.806170297047267</v>
      </c>
      <c r="F211" s="191">
        <f>P180</f>
        <v>16.814986237587991</v>
      </c>
      <c r="G211" s="174" t="s">
        <v>564</v>
      </c>
    </row>
    <row r="212" spans="1:19" hidden="1" outlineLevel="2" x14ac:dyDescent="0.25">
      <c r="C212" s="185"/>
      <c r="D212" s="218">
        <f>IF(D204="V",1,0)</f>
        <v>0</v>
      </c>
      <c r="E212" s="218">
        <f t="shared" ref="E212:F212" si="8">IF(E204="V",1,0)</f>
        <v>0</v>
      </c>
      <c r="F212" s="218">
        <f t="shared" si="8"/>
        <v>0</v>
      </c>
      <c r="G212" s="218"/>
      <c r="H212" s="174"/>
    </row>
    <row r="213" spans="1:19" s="162" customFormat="1" hidden="1" outlineLevel="2" x14ac:dyDescent="0.25">
      <c r="B213" s="163" t="s">
        <v>490</v>
      </c>
      <c r="O213" s="164"/>
      <c r="P213" s="165"/>
      <c r="R213" s="164"/>
      <c r="S213" s="165"/>
    </row>
    <row r="214" spans="1:19" s="170" customFormat="1" hidden="1" outlineLevel="2" x14ac:dyDescent="0.25">
      <c r="A214" s="166"/>
      <c r="B214" s="167"/>
      <c r="C214" s="166"/>
      <c r="D214" s="166"/>
      <c r="E214" s="166"/>
      <c r="F214" s="166"/>
      <c r="G214" s="166"/>
      <c r="H214" s="166"/>
      <c r="J214" s="166"/>
      <c r="K214" s="166"/>
      <c r="L214" s="166"/>
      <c r="M214" s="166"/>
      <c r="N214" s="166"/>
      <c r="O214" s="168" t="s">
        <v>319</v>
      </c>
      <c r="P214" s="169" t="s">
        <v>332</v>
      </c>
      <c r="R214" s="171"/>
      <c r="S214" s="172"/>
    </row>
    <row r="215" spans="1:19" hidden="1" outlineLevel="2" x14ac:dyDescent="0.25">
      <c r="B215" s="174" t="s">
        <v>424</v>
      </c>
      <c r="C215" s="185" t="s">
        <v>64</v>
      </c>
      <c r="D215" s="219">
        <f>Daten_ALLG!$D$7</f>
        <v>9.60602185258848</v>
      </c>
      <c r="E215" s="230"/>
    </row>
    <row r="216" spans="1:19" hidden="1" outlineLevel="2" x14ac:dyDescent="0.25">
      <c r="B216" s="174" t="s">
        <v>407</v>
      </c>
      <c r="C216" s="185" t="s">
        <v>64</v>
      </c>
      <c r="D216" s="214">
        <f>Daten_ALLG!$D$37</f>
        <v>55</v>
      </c>
      <c r="E216" s="220"/>
    </row>
    <row r="217" spans="1:19" hidden="1" outlineLevel="2" x14ac:dyDescent="0.25">
      <c r="B217" s="174" t="s">
        <v>491</v>
      </c>
      <c r="C217" s="185" t="s">
        <v>13</v>
      </c>
      <c r="O217" s="224">
        <f>(273+D216+Daten_ALLG!$D$128)/(D216-D215+Daten_ALLG!$D$128-Daten_ALLG!$D$127)*Daten_ALLG!$L$135</f>
        <v>2.1631652858141517</v>
      </c>
      <c r="P217" s="225">
        <f>(273+D216+Daten_ALLG!$D$128)/(D216-D215+Daten_ALLG!$D$128-Daten_ALLG!$D$127)*Daten_ALLG!$L$135</f>
        <v>2.1631652858141517</v>
      </c>
    </row>
    <row r="218" spans="1:19" hidden="1" outlineLevel="2" x14ac:dyDescent="0.25">
      <c r="B218" s="174" t="s">
        <v>492</v>
      </c>
      <c r="C218" s="185" t="s">
        <v>13</v>
      </c>
      <c r="O218" s="228">
        <f>Daten_ALLG!$D$124*O217+(1-Daten_ALLG!$D$124)*Daten_ALLG!$L$120</f>
        <v>2.0328907738029667</v>
      </c>
      <c r="P218" s="229">
        <f>Daten_ALLG!$D$124*P217+(1-Daten_ALLG!$D$124)*Daten_ALLG!$L$120</f>
        <v>2.0328907738029667</v>
      </c>
    </row>
    <row r="219" spans="1:19" s="159" customFormat="1" ht="14.25" customHeight="1" collapsed="1" x14ac:dyDescent="0.25">
      <c r="A219" s="156" t="s">
        <v>440</v>
      </c>
      <c r="B219" s="157"/>
      <c r="C219" s="157"/>
      <c r="D219" s="158"/>
      <c r="O219" s="160"/>
      <c r="P219" s="161"/>
      <c r="R219" s="160"/>
      <c r="S219" s="161"/>
    </row>
    <row r="220" spans="1:19" s="162" customFormat="1" hidden="1" outlineLevel="2" x14ac:dyDescent="0.25">
      <c r="B220" s="163" t="s">
        <v>417</v>
      </c>
      <c r="O220" s="164"/>
      <c r="P220" s="165"/>
      <c r="R220" s="164"/>
      <c r="S220" s="165"/>
    </row>
    <row r="221" spans="1:19" s="170" customFormat="1" hidden="1" outlineLevel="2" x14ac:dyDescent="0.25">
      <c r="A221" s="166"/>
      <c r="B221" s="167"/>
      <c r="C221" s="166"/>
      <c r="D221" s="166" t="s">
        <v>563</v>
      </c>
      <c r="E221" s="166" t="s">
        <v>564</v>
      </c>
      <c r="F221" s="166"/>
      <c r="G221" s="166"/>
      <c r="H221" s="166"/>
      <c r="J221" s="166"/>
      <c r="K221" s="166"/>
      <c r="L221" s="166"/>
      <c r="M221" s="166"/>
      <c r="N221" s="166"/>
      <c r="O221" s="168" t="s">
        <v>319</v>
      </c>
      <c r="P221" s="169" t="s">
        <v>332</v>
      </c>
      <c r="R221" s="171"/>
      <c r="S221" s="172"/>
    </row>
    <row r="222" spans="1:19" hidden="1" outlineLevel="2" x14ac:dyDescent="0.25">
      <c r="B222" s="174" t="s">
        <v>423</v>
      </c>
      <c r="C222" s="185" t="s">
        <v>64</v>
      </c>
      <c r="D222" s="223">
        <f>Daten_ALLG!$D$17</f>
        <v>-2</v>
      </c>
    </row>
    <row r="223" spans="1:19" hidden="1" outlineLevel="2" x14ac:dyDescent="0.25">
      <c r="B223" s="174" t="s">
        <v>407</v>
      </c>
      <c r="C223" s="185" t="s">
        <v>64</v>
      </c>
      <c r="D223" s="214">
        <f>Daten_ALLG!$D$81+Daten_ALLG!$F$81*$O$94</f>
        <v>41.033190613937563</v>
      </c>
      <c r="E223" s="214">
        <f>Daten_ALLG!$D$81+Daten_ALLG!$F$81*$P$94</f>
        <v>41.033190613937563</v>
      </c>
    </row>
    <row r="224" spans="1:19" hidden="1" outlineLevel="2" x14ac:dyDescent="0.25">
      <c r="B224" s="174" t="s">
        <v>416</v>
      </c>
      <c r="C224" s="185" t="s">
        <v>13</v>
      </c>
      <c r="D224" s="191">
        <f>(273+D223+Daten_ALLG!$D$128)/(D223-D222+Daten_ALLG!$D$128-Daten_ALLG!$D$127)*Daten_ALLG!$L$136</f>
        <v>2.4151526262944318</v>
      </c>
      <c r="E224" s="191">
        <f>(273+E223+Daten_ALLG!$D$128)/(E223-D222+Daten_ALLG!$D$128-Daten_ALLG!$D$127)*Daten_ALLG!$L$136</f>
        <v>2.4151526262944318</v>
      </c>
    </row>
    <row r="225" spans="1:19" hidden="1" outlineLevel="2" x14ac:dyDescent="0.25">
      <c r="B225" s="174" t="s">
        <v>763</v>
      </c>
      <c r="C225" s="185" t="s">
        <v>13</v>
      </c>
      <c r="D225" s="191">
        <f>D223*Daten_ALLG!$F$132+Daten_ALLG!$D$132</f>
        <v>1.1096943747988646</v>
      </c>
      <c r="E225" s="191">
        <f>E223*Daten_ALLG!$F$132+Daten_ALLG!$D$132</f>
        <v>1.1096943747988646</v>
      </c>
    </row>
    <row r="226" spans="1:19" hidden="1" outlineLevel="2" x14ac:dyDescent="0.25">
      <c r="B226" s="174" t="s">
        <v>419</v>
      </c>
      <c r="C226" s="185" t="s">
        <v>13</v>
      </c>
      <c r="O226" s="224">
        <f>D224*D225/Daten_ALLG!$L$140</f>
        <v>0.95321335978680155</v>
      </c>
      <c r="P226" s="225">
        <f>E224*E225/Daten_ALLG!$L$140</f>
        <v>0.95321335978680155</v>
      </c>
    </row>
    <row r="227" spans="1:19" hidden="1" outlineLevel="2" x14ac:dyDescent="0.25">
      <c r="B227" s="174" t="s">
        <v>445</v>
      </c>
      <c r="C227" s="185" t="s">
        <v>368</v>
      </c>
      <c r="O227" s="226">
        <f>$O$100/O226</f>
        <v>25.43075879892541</v>
      </c>
      <c r="P227" s="227">
        <f>$P$100/P226</f>
        <v>25.43075879892541</v>
      </c>
    </row>
    <row r="228" spans="1:19" s="162" customFormat="1" hidden="1" outlineLevel="2" x14ac:dyDescent="0.25">
      <c r="B228" s="163" t="s">
        <v>418</v>
      </c>
      <c r="O228" s="164"/>
      <c r="P228" s="165"/>
      <c r="R228" s="164"/>
      <c r="S228" s="165"/>
    </row>
    <row r="229" spans="1:19" s="170" customFormat="1" hidden="1" outlineLevel="2" x14ac:dyDescent="0.25">
      <c r="A229" s="166"/>
      <c r="B229" s="167"/>
      <c r="C229" s="166"/>
      <c r="D229" s="166" t="s">
        <v>563</v>
      </c>
      <c r="E229" s="166" t="s">
        <v>564</v>
      </c>
      <c r="F229" s="166"/>
      <c r="G229" s="166"/>
      <c r="H229" s="166"/>
      <c r="J229" s="166"/>
      <c r="K229" s="166"/>
      <c r="L229" s="166"/>
      <c r="M229" s="166"/>
      <c r="N229" s="166"/>
      <c r="O229" s="168" t="s">
        <v>319</v>
      </c>
      <c r="P229" s="169" t="s">
        <v>332</v>
      </c>
      <c r="R229" s="171"/>
      <c r="S229" s="172"/>
    </row>
    <row r="230" spans="1:19" hidden="1" outlineLevel="2" x14ac:dyDescent="0.25">
      <c r="B230" s="174" t="s">
        <v>423</v>
      </c>
      <c r="C230" s="185" t="s">
        <v>64</v>
      </c>
      <c r="D230" s="223">
        <f>Daten_ALLG!$D$17</f>
        <v>-2</v>
      </c>
    </row>
    <row r="231" spans="1:19" hidden="1" outlineLevel="2" x14ac:dyDescent="0.25">
      <c r="B231" s="174" t="s">
        <v>407</v>
      </c>
      <c r="C231" s="185" t="s">
        <v>64</v>
      </c>
      <c r="D231" s="214">
        <f>Daten_ALLG!$D$80+Daten_ALLG!$F$80*$O$94</f>
        <v>62.237687468393034</v>
      </c>
      <c r="E231" s="214">
        <f>Daten_ALLG!$D$80+Daten_ALLG!$F$80*$P$94</f>
        <v>62.237687468393034</v>
      </c>
    </row>
    <row r="232" spans="1:19" hidden="1" outlineLevel="2" x14ac:dyDescent="0.25">
      <c r="B232" s="174" t="s">
        <v>416</v>
      </c>
      <c r="C232" s="185" t="s">
        <v>13</v>
      </c>
      <c r="D232" s="191">
        <f>(273+D231+Daten_ALLG!$D$128)/(D231-D230+Daten_ALLG!$D$128-Daten_ALLG!$D$127)*Daten_ALLG!$L$136</f>
        <v>1.8206936395938738</v>
      </c>
      <c r="E232" s="191">
        <f>(273+E231+Daten_ALLG!$D$128)/(E231-D230+Daten_ALLG!$D$128-Daten_ALLG!$D$127)*Daten_ALLG!$L$136</f>
        <v>1.8206936395938738</v>
      </c>
    </row>
    <row r="233" spans="1:19" hidden="1" outlineLevel="2" x14ac:dyDescent="0.25">
      <c r="B233" s="174" t="s">
        <v>763</v>
      </c>
      <c r="C233" s="185" t="s">
        <v>13</v>
      </c>
      <c r="D233" s="191">
        <f>D231*Daten_ALLG!$F$132+Daten_ALLG!$D$132</f>
        <v>1.4952306812435094</v>
      </c>
      <c r="E233" s="191">
        <f>E231*Daten_ALLG!$F$132+Daten_ALLG!$D$132</f>
        <v>1.4952306812435094</v>
      </c>
    </row>
    <row r="234" spans="1:19" hidden="1" outlineLevel="2" x14ac:dyDescent="0.25">
      <c r="B234" s="174" t="s">
        <v>419</v>
      </c>
      <c r="C234" s="185" t="s">
        <v>13</v>
      </c>
      <c r="O234" s="224">
        <f>D232*D233/Daten_ALLG!$L$140</f>
        <v>0.96824938474626887</v>
      </c>
      <c r="P234" s="225">
        <f>E232*E233/Daten_ALLG!$L$140</f>
        <v>0.96824938474626887</v>
      </c>
    </row>
    <row r="235" spans="1:19" hidden="1" outlineLevel="2" x14ac:dyDescent="0.25">
      <c r="B235" s="174" t="s">
        <v>445</v>
      </c>
      <c r="C235" s="185" t="s">
        <v>368</v>
      </c>
      <c r="O235" s="226">
        <f>$O$100/O234</f>
        <v>25.035842437435505</v>
      </c>
      <c r="P235" s="227">
        <f>$P$100/P234</f>
        <v>25.035842437435505</v>
      </c>
    </row>
    <row r="236" spans="1:19" s="162" customFormat="1" hidden="1" outlineLevel="2" x14ac:dyDescent="0.25">
      <c r="B236" s="163" t="s">
        <v>493</v>
      </c>
      <c r="O236" s="164"/>
      <c r="P236" s="165"/>
      <c r="R236" s="164"/>
      <c r="S236" s="165"/>
    </row>
    <row r="237" spans="1:19" s="170" customFormat="1" hidden="1" outlineLevel="2" x14ac:dyDescent="0.25">
      <c r="A237" s="166"/>
      <c r="B237" s="167"/>
      <c r="C237" s="166"/>
      <c r="D237" s="166" t="s">
        <v>563</v>
      </c>
      <c r="E237" s="166" t="s">
        <v>564</v>
      </c>
      <c r="F237" s="166"/>
      <c r="G237" s="166"/>
      <c r="H237" s="166"/>
      <c r="J237" s="166"/>
      <c r="K237" s="166"/>
      <c r="L237" s="166"/>
      <c r="M237" s="166"/>
      <c r="N237" s="166"/>
      <c r="O237" s="168" t="s">
        <v>319</v>
      </c>
      <c r="P237" s="169" t="s">
        <v>332</v>
      </c>
      <c r="R237" s="171"/>
      <c r="S237" s="172"/>
    </row>
    <row r="238" spans="1:19" hidden="1" outlineLevel="2" x14ac:dyDescent="0.25">
      <c r="B238" s="174" t="s">
        <v>426</v>
      </c>
      <c r="C238" s="185" t="s">
        <v>64</v>
      </c>
      <c r="D238" s="219">
        <f>Daten_ALLG!$D$13</f>
        <v>8.60602185258848</v>
      </c>
      <c r="E238" s="219">
        <f>Daten_ALLG!$D$13</f>
        <v>8.60602185258848</v>
      </c>
    </row>
    <row r="239" spans="1:19" hidden="1" outlineLevel="2" x14ac:dyDescent="0.25">
      <c r="B239" s="174" t="s">
        <v>407</v>
      </c>
      <c r="C239" s="185" t="s">
        <v>64</v>
      </c>
      <c r="D239" s="214">
        <f>Daten_ALLG!$D$85+Daten_ALLG!$F$85*$O$94</f>
        <v>30.105995733607987</v>
      </c>
      <c r="E239" s="214">
        <f>Daten_ALLG!$D$85+Daten_ALLG!$F$85*$P$94</f>
        <v>30.105995733607987</v>
      </c>
    </row>
    <row r="240" spans="1:19" hidden="1" outlineLevel="2" x14ac:dyDescent="0.25">
      <c r="B240" s="174" t="s">
        <v>487</v>
      </c>
      <c r="C240" s="185" t="s">
        <v>13</v>
      </c>
      <c r="O240" s="228">
        <f>(273+D239+Daten_ALLG!$D$128)/(D239-D238+Daten_ALLG!$D$128-Daten_ALLG!$D$127)*Daten_ALLG!$L$136</f>
        <v>4.0336082606726302</v>
      </c>
      <c r="P240" s="229">
        <f>(273+E239+Daten_ALLG!$D$128)/(E239-E238+Daten_ALLG!$D$128-Daten_ALLG!$D$127)*Daten_ALLG!$L$136</f>
        <v>4.0336082606726302</v>
      </c>
    </row>
    <row r="241" spans="1:19" s="162" customFormat="1" hidden="1" outlineLevel="2" x14ac:dyDescent="0.25">
      <c r="B241" s="163" t="s">
        <v>494</v>
      </c>
      <c r="O241" s="164"/>
      <c r="P241" s="165"/>
      <c r="R241" s="164"/>
      <c r="S241" s="165"/>
    </row>
    <row r="242" spans="1:19" s="170" customFormat="1" hidden="1" outlineLevel="2" x14ac:dyDescent="0.25">
      <c r="A242" s="166"/>
      <c r="B242" s="167"/>
      <c r="C242" s="166"/>
      <c r="D242" s="166" t="s">
        <v>563</v>
      </c>
      <c r="E242" s="166" t="s">
        <v>564</v>
      </c>
      <c r="F242" s="166"/>
      <c r="G242" s="166"/>
      <c r="H242" s="166"/>
      <c r="J242" s="166"/>
      <c r="K242" s="166"/>
      <c r="L242" s="166"/>
      <c r="M242" s="166"/>
      <c r="N242" s="166"/>
      <c r="O242" s="168" t="s">
        <v>319</v>
      </c>
      <c r="P242" s="169" t="s">
        <v>332</v>
      </c>
      <c r="R242" s="171"/>
      <c r="S242" s="172"/>
    </row>
    <row r="243" spans="1:19" hidden="1" outlineLevel="2" x14ac:dyDescent="0.25">
      <c r="B243" s="174" t="s">
        <v>426</v>
      </c>
      <c r="C243" s="185" t="s">
        <v>64</v>
      </c>
      <c r="D243" s="219">
        <f>Daten_ALLG!$D$13</f>
        <v>8.60602185258848</v>
      </c>
      <c r="E243" s="219">
        <f>Daten_ALLG!$D$13</f>
        <v>8.60602185258848</v>
      </c>
    </row>
    <row r="244" spans="1:19" hidden="1" outlineLevel="2" x14ac:dyDescent="0.25">
      <c r="B244" s="174" t="s">
        <v>407</v>
      </c>
      <c r="C244" s="185" t="s">
        <v>64</v>
      </c>
      <c r="D244" s="214">
        <f>Daten_ALLG!$D$84+Daten_ALLG!$F$84*$O$94</f>
        <v>39.74440339472411</v>
      </c>
      <c r="E244" s="214">
        <f>Daten_ALLG!$D$84+Daten_ALLG!$F$84*$P$94</f>
        <v>39.74440339472411</v>
      </c>
    </row>
    <row r="245" spans="1:19" hidden="1" outlineLevel="2" x14ac:dyDescent="0.25">
      <c r="B245" s="174" t="s">
        <v>487</v>
      </c>
      <c r="C245" s="185" t="s">
        <v>13</v>
      </c>
      <c r="O245" s="228">
        <f>(273+D244+Daten_ALLG!$D$128)/(D244-D243+Daten_ALLG!$D$128-Daten_ALLG!$D$127)*Daten_ALLG!$L$136</f>
        <v>3.1363156187690526</v>
      </c>
      <c r="P245" s="229">
        <f>(273+E244+Daten_ALLG!$D$128)/(E244-E243+Daten_ALLG!$D$128-Daten_ALLG!$D$127)*Daten_ALLG!$L$136</f>
        <v>3.1363156187690526</v>
      </c>
    </row>
    <row r="246" spans="1:19" s="162" customFormat="1" hidden="1" outlineLevel="2" x14ac:dyDescent="0.25">
      <c r="A246" s="212" t="str">
        <f>IF(A129="","",A129)</f>
        <v/>
      </c>
      <c r="B246" s="163" t="s">
        <v>438</v>
      </c>
      <c r="D246" s="212" t="str">
        <f>IF(D129="","",D129)</f>
        <v/>
      </c>
      <c r="E246" s="212" t="str">
        <f>IF(E129="","",E129)</f>
        <v/>
      </c>
      <c r="F246" s="212" t="str">
        <f t="shared" ref="F246:G246" si="9">IF(F129="","",F129)</f>
        <v/>
      </c>
      <c r="G246" s="212" t="str">
        <f t="shared" si="9"/>
        <v/>
      </c>
      <c r="O246" s="164"/>
      <c r="P246" s="165"/>
      <c r="R246" s="164"/>
      <c r="S246" s="165"/>
    </row>
    <row r="247" spans="1:19" s="170" customFormat="1" hidden="1" outlineLevel="2" x14ac:dyDescent="0.25">
      <c r="A247" s="166"/>
      <c r="B247" s="167"/>
      <c r="C247" s="166"/>
      <c r="D247" s="166" t="s">
        <v>389</v>
      </c>
      <c r="E247" s="166" t="s">
        <v>399</v>
      </c>
      <c r="F247" s="166" t="s">
        <v>398</v>
      </c>
      <c r="G247" s="166"/>
      <c r="H247" s="166"/>
      <c r="J247" s="166"/>
      <c r="K247" s="166"/>
      <c r="L247" s="166"/>
      <c r="M247" s="166"/>
      <c r="N247" s="166"/>
      <c r="O247" s="168" t="s">
        <v>319</v>
      </c>
      <c r="P247" s="169" t="s">
        <v>332</v>
      </c>
      <c r="R247" s="171"/>
      <c r="S247" s="172"/>
    </row>
    <row r="248" spans="1:19" hidden="1" outlineLevel="2" x14ac:dyDescent="0.25">
      <c r="B248" s="174" t="s">
        <v>178</v>
      </c>
      <c r="C248" s="185" t="s">
        <v>13</v>
      </c>
      <c r="D248" s="220"/>
      <c r="E248" s="191">
        <f>D123/(D128+D123)</f>
        <v>0.9</v>
      </c>
      <c r="F248" s="191">
        <f>1-E248</f>
        <v>9.9999999999999978E-2</v>
      </c>
      <c r="G248" s="185"/>
    </row>
    <row r="249" spans="1:19" hidden="1" outlineLevel="2" x14ac:dyDescent="0.25">
      <c r="B249" s="174" t="s">
        <v>487</v>
      </c>
      <c r="C249" s="185" t="s">
        <v>13</v>
      </c>
      <c r="D249" s="191">
        <f>$E$206*E249+$F$206*F249</f>
        <v>3.2260448829594104</v>
      </c>
      <c r="E249" s="191">
        <f>O245</f>
        <v>3.1363156187690526</v>
      </c>
      <c r="F249" s="191">
        <f>O240</f>
        <v>4.0336082606726302</v>
      </c>
      <c r="G249" s="215" t="s">
        <v>563</v>
      </c>
      <c r="O249" s="228">
        <f>IF($A246&lt;&gt;"",IF($D246="V",$D249,IF($E246="V",$E249,IF($F246="V",$F249,0))),$D249)</f>
        <v>3.2260448829594104</v>
      </c>
      <c r="P249" s="229">
        <f>IF($A246&lt;&gt;"",IF($D246="N",$D250,IF($E246="N",$E250,IF($F246="N",$F250,SUMPRODUCT(D250:F250,D251:F251)))),$D250)</f>
        <v>3.2260448829594104</v>
      </c>
    </row>
    <row r="250" spans="1:19" hidden="1" outlineLevel="2" x14ac:dyDescent="0.25">
      <c r="C250" s="185" t="s">
        <v>13</v>
      </c>
      <c r="D250" s="191">
        <f>$E$206*E250+$F$206*F250</f>
        <v>3.2260448829594104</v>
      </c>
      <c r="E250" s="191">
        <f>P245</f>
        <v>3.1363156187690526</v>
      </c>
      <c r="F250" s="191">
        <f>P240</f>
        <v>4.0336082606726302</v>
      </c>
      <c r="G250" s="174" t="s">
        <v>564</v>
      </c>
    </row>
    <row r="251" spans="1:19" hidden="1" outlineLevel="2" x14ac:dyDescent="0.25">
      <c r="C251" s="185"/>
      <c r="D251" s="218">
        <f>IF(D246="V",1,0)</f>
        <v>0</v>
      </c>
      <c r="E251" s="218">
        <f t="shared" ref="E251:F251" si="10">IF(E246="V",1,0)</f>
        <v>0</v>
      </c>
      <c r="F251" s="218">
        <f t="shared" si="10"/>
        <v>0</v>
      </c>
      <c r="G251" s="218"/>
      <c r="H251" s="174"/>
    </row>
    <row r="252" spans="1:19" hidden="1" outlineLevel="2" x14ac:dyDescent="0.25">
      <c r="B252" s="174" t="s">
        <v>420</v>
      </c>
      <c r="C252" s="185" t="s">
        <v>368</v>
      </c>
      <c r="D252" s="191">
        <f>$E$206*E252+$F$206*F252</f>
        <v>25.075334073584497</v>
      </c>
      <c r="E252" s="191">
        <f>O235</f>
        <v>25.035842437435505</v>
      </c>
      <c r="F252" s="191">
        <f>O227</f>
        <v>25.43075879892541</v>
      </c>
      <c r="G252" s="215" t="s">
        <v>563</v>
      </c>
      <c r="O252" s="226">
        <f>IF($A246&lt;&gt;"",IF($D246="V",$D252,IF($E246="V",$E252,IF($F246="V",$F252,0))),$D252)</f>
        <v>25.075334073584497</v>
      </c>
      <c r="P252" s="227">
        <f>IF($A246&lt;&gt;"",IF($D246="N",$D253,IF($E246="N",$E253,IF($F246="N",$F253,SUMPRODUCT(D253:F253,D254:F254)))),$D253)</f>
        <v>25.075334073584497</v>
      </c>
    </row>
    <row r="253" spans="1:19" hidden="1" outlineLevel="2" x14ac:dyDescent="0.25">
      <c r="C253" s="185" t="s">
        <v>368</v>
      </c>
      <c r="D253" s="191">
        <f>$E$206*E253+$F$206*F253</f>
        <v>25.075334073584497</v>
      </c>
      <c r="E253" s="191">
        <f>P235</f>
        <v>25.035842437435505</v>
      </c>
      <c r="F253" s="191">
        <f>P227</f>
        <v>25.43075879892541</v>
      </c>
      <c r="G253" s="174" t="s">
        <v>564</v>
      </c>
    </row>
    <row r="254" spans="1:19" hidden="1" outlineLevel="2" x14ac:dyDescent="0.25">
      <c r="C254" s="185"/>
      <c r="D254" s="218">
        <f>IF(D246="V",1,0)</f>
        <v>0</v>
      </c>
      <c r="E254" s="218">
        <f t="shared" ref="E254:F254" si="11">IF(E246="V",1,0)</f>
        <v>0</v>
      </c>
      <c r="F254" s="218">
        <f t="shared" si="11"/>
        <v>0</v>
      </c>
      <c r="G254" s="218"/>
      <c r="H254" s="174"/>
    </row>
    <row r="255" spans="1:19" s="162" customFormat="1" hidden="1" outlineLevel="2" x14ac:dyDescent="0.25">
      <c r="B255" s="163" t="s">
        <v>495</v>
      </c>
      <c r="O255" s="164"/>
      <c r="P255" s="165"/>
      <c r="R255" s="164"/>
      <c r="S255" s="165"/>
    </row>
    <row r="256" spans="1:19" s="170" customFormat="1" hidden="1" outlineLevel="2" x14ac:dyDescent="0.25">
      <c r="A256" s="166"/>
      <c r="B256" s="167"/>
      <c r="C256" s="166"/>
      <c r="D256" s="166"/>
      <c r="E256" s="166"/>
      <c r="F256" s="166"/>
      <c r="G256" s="166"/>
      <c r="H256" s="166"/>
      <c r="J256" s="166"/>
      <c r="K256" s="166"/>
      <c r="L256" s="166"/>
      <c r="M256" s="166"/>
      <c r="N256" s="166"/>
      <c r="O256" s="168" t="s">
        <v>319</v>
      </c>
      <c r="P256" s="169" t="s">
        <v>332</v>
      </c>
      <c r="R256" s="171"/>
      <c r="S256" s="172"/>
    </row>
    <row r="257" spans="1:19" hidden="1" outlineLevel="2" x14ac:dyDescent="0.25">
      <c r="B257" s="174" t="s">
        <v>426</v>
      </c>
      <c r="C257" s="185" t="s">
        <v>64</v>
      </c>
      <c r="D257" s="219">
        <f>Daten_ALLG!$D$8</f>
        <v>10.60602185258848</v>
      </c>
      <c r="E257" s="230"/>
    </row>
    <row r="258" spans="1:19" hidden="1" outlineLevel="2" x14ac:dyDescent="0.25">
      <c r="B258" s="174" t="s">
        <v>407</v>
      </c>
      <c r="C258" s="185" t="s">
        <v>64</v>
      </c>
      <c r="D258" s="214">
        <f>Daten_ALLG!$D$37</f>
        <v>55</v>
      </c>
      <c r="E258" s="220"/>
    </row>
    <row r="259" spans="1:19" hidden="1" outlineLevel="2" x14ac:dyDescent="0.25">
      <c r="B259" s="174" t="s">
        <v>491</v>
      </c>
      <c r="C259" s="185" t="s">
        <v>13</v>
      </c>
      <c r="O259" s="228">
        <f>(273+D258+Daten_ALLG!$D$128)/(D258-D257+Daten_ALLG!$D$128-Daten_ALLG!$D$127)*Daten_ALLG!$L$136</f>
        <v>2.4563891605615429</v>
      </c>
      <c r="P259" s="229">
        <f>(273+D258+Daten_ALLG!$D$128)/(D258-D257+Daten_ALLG!$D$128-Daten_ALLG!$D$127)*Daten_ALLG!$L$136</f>
        <v>2.4563891605615429</v>
      </c>
    </row>
    <row r="260" spans="1:19" s="159" customFormat="1" ht="14.25" customHeight="1" collapsed="1" x14ac:dyDescent="0.25">
      <c r="A260" s="156" t="s">
        <v>428</v>
      </c>
      <c r="B260" s="157"/>
      <c r="C260" s="157"/>
      <c r="D260" s="158"/>
      <c r="O260" s="160"/>
      <c r="P260" s="161"/>
      <c r="R260" s="160"/>
      <c r="S260" s="161"/>
    </row>
    <row r="261" spans="1:19" s="162" customFormat="1" hidden="1" outlineLevel="2" x14ac:dyDescent="0.25">
      <c r="B261" s="163" t="s">
        <v>429</v>
      </c>
      <c r="O261" s="164"/>
      <c r="P261" s="165"/>
      <c r="R261" s="164"/>
      <c r="S261" s="165"/>
    </row>
    <row r="262" spans="1:19" s="170" customFormat="1" hidden="1" outlineLevel="2" x14ac:dyDescent="0.25">
      <c r="A262" s="166"/>
      <c r="B262" s="167"/>
      <c r="C262" s="166"/>
      <c r="D262" s="166"/>
      <c r="E262" s="166"/>
      <c r="F262" s="166"/>
      <c r="G262" s="166"/>
      <c r="H262" s="166"/>
      <c r="J262" s="166"/>
      <c r="K262" s="166"/>
      <c r="L262" s="166"/>
      <c r="M262" s="166"/>
      <c r="N262" s="166"/>
      <c r="O262" s="168" t="s">
        <v>319</v>
      </c>
      <c r="P262" s="169" t="s">
        <v>332</v>
      </c>
      <c r="R262" s="171"/>
      <c r="S262" s="172"/>
    </row>
    <row r="263" spans="1:19" hidden="1" outlineLevel="2" x14ac:dyDescent="0.25">
      <c r="B263" s="173" t="s">
        <v>21</v>
      </c>
      <c r="C263" s="185" t="s">
        <v>13</v>
      </c>
      <c r="O263" s="231">
        <f>Daten_ALLG!$L116</f>
        <v>0.75</v>
      </c>
      <c r="P263" s="232">
        <f>Daten_ALLG!$L116</f>
        <v>0.75</v>
      </c>
    </row>
    <row r="264" spans="1:19" hidden="1" outlineLevel="2" x14ac:dyDescent="0.25">
      <c r="B264" s="173" t="s">
        <v>402</v>
      </c>
      <c r="C264" s="185" t="s">
        <v>13</v>
      </c>
      <c r="O264" s="231">
        <f>Daten_ALLG!$L117</f>
        <v>0.8</v>
      </c>
      <c r="P264" s="232">
        <f>Daten_ALLG!$L117</f>
        <v>0.8</v>
      </c>
    </row>
    <row r="265" spans="1:19" hidden="1" outlineLevel="2" x14ac:dyDescent="0.25">
      <c r="B265" s="173" t="s">
        <v>403</v>
      </c>
      <c r="C265" s="185" t="s">
        <v>13</v>
      </c>
      <c r="O265" s="231">
        <f>Daten_ALLG!$L118</f>
        <v>0.93</v>
      </c>
      <c r="P265" s="232">
        <f>Daten_ALLG!$L118</f>
        <v>0.93</v>
      </c>
    </row>
    <row r="266" spans="1:19" hidden="1" outlineLevel="2" x14ac:dyDescent="0.25">
      <c r="B266" s="173" t="s">
        <v>8</v>
      </c>
      <c r="C266" s="185" t="s">
        <v>13</v>
      </c>
      <c r="O266" s="231">
        <f>Daten_ALLG!$L119</f>
        <v>0.99</v>
      </c>
      <c r="P266" s="232">
        <f>Daten_ALLG!$L119</f>
        <v>0.99</v>
      </c>
    </row>
    <row r="267" spans="1:19" hidden="1" outlineLevel="2" x14ac:dyDescent="0.25">
      <c r="B267" s="173" t="s">
        <v>7</v>
      </c>
      <c r="C267" s="185" t="s">
        <v>13</v>
      </c>
      <c r="O267" s="231">
        <f>Daten_ALLG!$L120</f>
        <v>1</v>
      </c>
      <c r="P267" s="232">
        <f>Daten_ALLG!$L120</f>
        <v>1</v>
      </c>
    </row>
    <row r="268" spans="1:19" s="162" customFormat="1" hidden="1" outlineLevel="2" x14ac:dyDescent="0.25">
      <c r="B268" s="163" t="s">
        <v>448</v>
      </c>
      <c r="O268" s="164"/>
      <c r="P268" s="165"/>
      <c r="R268" s="164"/>
      <c r="S268" s="165"/>
    </row>
    <row r="269" spans="1:19" s="170" customFormat="1" hidden="1" outlineLevel="2" x14ac:dyDescent="0.25">
      <c r="A269" s="166"/>
      <c r="B269" s="167"/>
      <c r="C269" s="166"/>
      <c r="D269" s="166"/>
      <c r="E269" s="166"/>
      <c r="F269" s="166"/>
      <c r="G269" s="166"/>
      <c r="H269" s="166"/>
      <c r="J269" s="166"/>
      <c r="K269" s="166"/>
      <c r="L269" s="166"/>
      <c r="M269" s="166"/>
      <c r="N269" s="166"/>
      <c r="O269" s="168" t="s">
        <v>319</v>
      </c>
      <c r="P269" s="169" t="s">
        <v>332</v>
      </c>
      <c r="R269" s="171"/>
      <c r="S269" s="172"/>
    </row>
    <row r="270" spans="1:19" hidden="1" outlineLevel="2" x14ac:dyDescent="0.25">
      <c r="B270" s="173" t="s">
        <v>21</v>
      </c>
      <c r="C270" s="185" t="s">
        <v>368</v>
      </c>
      <c r="O270" s="198">
        <f>MAX($O$100,Daten_ALLG!$D$111)</f>
        <v>24.240939036651458</v>
      </c>
      <c r="P270" s="199">
        <f>MAX($P$100,Daten_ALLG!$D$111)</f>
        <v>24.240939036651458</v>
      </c>
    </row>
    <row r="271" spans="1:19" hidden="1" outlineLevel="2" x14ac:dyDescent="0.25">
      <c r="B271" s="173" t="s">
        <v>402</v>
      </c>
      <c r="C271" s="185" t="s">
        <v>368</v>
      </c>
      <c r="O271" s="198">
        <f>MAX($O$100,Daten_ALLG!$D$112)</f>
        <v>24.240939036651458</v>
      </c>
      <c r="P271" s="199">
        <f>MAX($P$100,Daten_ALLG!$D$112)</f>
        <v>24.240939036651458</v>
      </c>
    </row>
    <row r="272" spans="1:19" hidden="1" outlineLevel="2" x14ac:dyDescent="0.25">
      <c r="B272" s="173" t="s">
        <v>403</v>
      </c>
      <c r="C272" s="185" t="s">
        <v>368</v>
      </c>
      <c r="O272" s="198">
        <f>MAX($O$100,Daten_ALLG!$D$113)</f>
        <v>24.240939036651458</v>
      </c>
      <c r="P272" s="199">
        <f>MAX($P$100,Daten_ALLG!$D$113)</f>
        <v>24.240939036651458</v>
      </c>
    </row>
    <row r="273" spans="1:19" hidden="1" outlineLevel="2" x14ac:dyDescent="0.25">
      <c r="B273" s="173" t="s">
        <v>8</v>
      </c>
      <c r="C273" s="185" t="s">
        <v>368</v>
      </c>
      <c r="O273" s="198">
        <f>$O$100</f>
        <v>24.240939036651458</v>
      </c>
      <c r="P273" s="199">
        <f>$P$100</f>
        <v>24.240939036651458</v>
      </c>
    </row>
    <row r="274" spans="1:19" hidden="1" outlineLevel="2" x14ac:dyDescent="0.25">
      <c r="B274" s="173" t="s">
        <v>7</v>
      </c>
      <c r="C274" s="185" t="s">
        <v>368</v>
      </c>
      <c r="O274" s="198">
        <f>$O$100</f>
        <v>24.240939036651458</v>
      </c>
      <c r="P274" s="199">
        <f>$P$100</f>
        <v>24.240939036651458</v>
      </c>
    </row>
    <row r="275" spans="1:19" s="159" customFormat="1" ht="14.25" customHeight="1" thickBot="1" x14ac:dyDescent="0.3">
      <c r="A275" s="156" t="s">
        <v>451</v>
      </c>
      <c r="B275" s="157"/>
      <c r="C275" s="157"/>
      <c r="D275" s="158"/>
      <c r="O275" s="160"/>
      <c r="P275" s="161"/>
      <c r="R275" s="160"/>
      <c r="S275" s="161"/>
    </row>
    <row r="276" spans="1:19" s="162" customFormat="1" ht="15.75" outlineLevel="1" thickBot="1" x14ac:dyDescent="0.3">
      <c r="A276" s="335"/>
      <c r="B276" s="163" t="s">
        <v>566</v>
      </c>
      <c r="D276" s="335"/>
      <c r="E276" s="335"/>
      <c r="F276" s="335"/>
      <c r="G276" s="335"/>
      <c r="H276" s="335"/>
      <c r="I276" s="335"/>
      <c r="J276" s="335"/>
      <c r="K276" s="335"/>
      <c r="L276" s="335"/>
      <c r="M276" s="335"/>
      <c r="O276" s="164"/>
      <c r="P276" s="165"/>
      <c r="R276" s="164" t="s">
        <v>457</v>
      </c>
      <c r="S276" s="165"/>
    </row>
    <row r="277" spans="1:19" s="170" customFormat="1" ht="15.75" outlineLevel="1" collapsed="1" thickBot="1" x14ac:dyDescent="0.3">
      <c r="A277" s="166"/>
      <c r="B277" s="167"/>
      <c r="C277" s="166"/>
      <c r="D277" s="166" t="s">
        <v>389</v>
      </c>
      <c r="E277" s="166" t="s">
        <v>6</v>
      </c>
      <c r="F277" s="166" t="s">
        <v>431</v>
      </c>
      <c r="G277" s="166" t="s">
        <v>432</v>
      </c>
      <c r="H277" s="166" t="s">
        <v>433</v>
      </c>
      <c r="I277" s="166" t="s">
        <v>434</v>
      </c>
      <c r="J277" s="166" t="s">
        <v>435</v>
      </c>
      <c r="K277" s="166" t="s">
        <v>7</v>
      </c>
      <c r="L277" s="166" t="s">
        <v>436</v>
      </c>
      <c r="M277" s="166" t="s">
        <v>437</v>
      </c>
      <c r="N277" s="166"/>
      <c r="O277" s="168" t="s">
        <v>319</v>
      </c>
      <c r="P277" s="169" t="s">
        <v>332</v>
      </c>
      <c r="R277" s="233" t="s">
        <v>455</v>
      </c>
      <c r="S277" s="172" t="s">
        <v>456</v>
      </c>
    </row>
    <row r="278" spans="1:19" ht="15.75" hidden="1" outlineLevel="2" thickBot="1" x14ac:dyDescent="0.3">
      <c r="B278" s="174" t="s">
        <v>178</v>
      </c>
      <c r="C278" s="234" t="s">
        <v>13</v>
      </c>
      <c r="E278" s="191">
        <f>Daten_MFH!$D$82</f>
        <v>2.1000000000000001E-2</v>
      </c>
      <c r="F278" s="191">
        <f>Daten_MFH!$D$83</f>
        <v>0.30059701492537316</v>
      </c>
      <c r="G278" s="191">
        <f>Daten_MFH!$D$84</f>
        <v>0.15074545454545454</v>
      </c>
      <c r="H278" s="191">
        <f>Daten_MFH!$D$85</f>
        <v>0.26140298507462689</v>
      </c>
      <c r="I278" s="191">
        <f>Daten_MFH!$D$86</f>
        <v>2.2654545454545452E-2</v>
      </c>
      <c r="J278" s="191">
        <f>Daten_MFH!$D$87</f>
        <v>0.19200000000000003</v>
      </c>
      <c r="K278" s="191">
        <f>Daten_MFH!$D$88</f>
        <v>3.4000000000000002E-2</v>
      </c>
      <c r="L278" s="191">
        <f>Daten_MFH!$D$89</f>
        <v>1.0912E-2</v>
      </c>
      <c r="M278" s="191">
        <f>Daten_MFH!$D$90</f>
        <v>6.6880000000000004E-3</v>
      </c>
    </row>
    <row r="279" spans="1:19" ht="15.75" hidden="1" outlineLevel="2" thickBot="1" x14ac:dyDescent="0.3">
      <c r="B279" s="174" t="s">
        <v>764</v>
      </c>
      <c r="C279" s="234" t="s">
        <v>13</v>
      </c>
      <c r="D279" s="191">
        <f>1/(E278/E279+F278/F279+G278/G279+H278/H279+I278/I279+J278/J279+K278/K279+L278/L279+M278/M279)</f>
        <v>0.88345464298346221</v>
      </c>
      <c r="E279" s="191">
        <f>O263</f>
        <v>0.75</v>
      </c>
      <c r="F279" s="191">
        <f>O264</f>
        <v>0.8</v>
      </c>
      <c r="G279" s="191">
        <f>O264</f>
        <v>0.8</v>
      </c>
      <c r="H279" s="191">
        <f>O265</f>
        <v>0.93</v>
      </c>
      <c r="I279" s="191">
        <f>O265</f>
        <v>0.93</v>
      </c>
      <c r="J279" s="191">
        <f>O266</f>
        <v>0.99</v>
      </c>
      <c r="K279" s="191">
        <f>O267</f>
        <v>1</v>
      </c>
      <c r="L279" s="191">
        <f>IF(AND(A129="x",G129="V"),1,O207)</f>
        <v>2.5428720461766892</v>
      </c>
      <c r="M279" s="191">
        <f>IF(AND(A129="x",G129="V"),1,O249)</f>
        <v>3.2260448829594104</v>
      </c>
      <c r="N279" s="215" t="s">
        <v>563</v>
      </c>
      <c r="O279" s="235">
        <f>IF($A$276&lt;&gt;"",IF($D276="V",$D279,IF($E276="V",$E279,IF($F276="V",$F279,IF($G276="V",$G279,IF($H276="V",$H279,IF($I276="V",$I279,IF($J276="V",$J279,IF($K276="V",$K279,IF($L276="V",$L279,IF($M276="V",$M279,"")))))))))),$D279)</f>
        <v>0.88345464298346221</v>
      </c>
      <c r="P279" s="236">
        <f>IF($A$276&lt;&gt;"",IF($D276="N",D280,IF($E276="N",$E280,IF($F276="N",$F280,IF($G276="N",$G280,IF($H276="N",$H280,IF($I276="N",$I280,IF($J276="N",$J280,IF($K276="N",$K280,IF($L276="N",$L280,IF($M276="N",$M280,SUMPRODUCT(D281:M281,D280:M280))))))))))),$D280)</f>
        <v>0.88345464298346221</v>
      </c>
    </row>
    <row r="280" spans="1:19" ht="15.75" hidden="1" outlineLevel="2" thickBot="1" x14ac:dyDescent="0.3">
      <c r="C280" s="234" t="s">
        <v>13</v>
      </c>
      <c r="D280" s="191">
        <f>1/(E278/E280+F278/F280+G278/G280+H278/H280+I278/I280+J278/J280+K278/K280+L278/L280+M278/M280)</f>
        <v>0.88345464298346221</v>
      </c>
      <c r="E280" s="191">
        <f>P263</f>
        <v>0.75</v>
      </c>
      <c r="F280" s="191">
        <f>P264</f>
        <v>0.8</v>
      </c>
      <c r="G280" s="191">
        <f>P264</f>
        <v>0.8</v>
      </c>
      <c r="H280" s="191">
        <f>P265</f>
        <v>0.93</v>
      </c>
      <c r="I280" s="191">
        <f>P265</f>
        <v>0.93</v>
      </c>
      <c r="J280" s="191">
        <f>P266</f>
        <v>0.99</v>
      </c>
      <c r="K280" s="191">
        <f>P267</f>
        <v>1</v>
      </c>
      <c r="L280" s="191">
        <f>IF(AND(A129="x",OR(G129="V",G129="N"),D129="",E129="",F129=""),1,P207)</f>
        <v>2.5428720461766892</v>
      </c>
      <c r="M280" s="191">
        <f>IF(AND(A129="x",OR(G129="V",G129="N"),D129="",E129="",F129=""),1,P249)</f>
        <v>3.2260448829594104</v>
      </c>
      <c r="N280" s="174" t="s">
        <v>564</v>
      </c>
    </row>
    <row r="281" spans="1:19" ht="15.75" hidden="1" outlineLevel="2" thickBot="1" x14ac:dyDescent="0.3">
      <c r="C281" s="185"/>
      <c r="D281" s="218">
        <f>IF(D276="V",1,0)</f>
        <v>0</v>
      </c>
      <c r="E281" s="218">
        <f t="shared" ref="E281:M281" si="12">IF(E276="V",1,0)</f>
        <v>0</v>
      </c>
      <c r="F281" s="218">
        <f t="shared" si="12"/>
        <v>0</v>
      </c>
      <c r="G281" s="218">
        <f t="shared" si="12"/>
        <v>0</v>
      </c>
      <c r="H281" s="218">
        <f t="shared" si="12"/>
        <v>0</v>
      </c>
      <c r="I281" s="218">
        <f t="shared" si="12"/>
        <v>0</v>
      </c>
      <c r="J281" s="218">
        <f t="shared" si="12"/>
        <v>0</v>
      </c>
      <c r="K281" s="218">
        <f t="shared" si="12"/>
        <v>0</v>
      </c>
      <c r="L281" s="218">
        <f t="shared" si="12"/>
        <v>0</v>
      </c>
      <c r="M281" s="218">
        <f t="shared" si="12"/>
        <v>0</v>
      </c>
    </row>
    <row r="282" spans="1:19" ht="15.75" hidden="1" outlineLevel="2" thickBot="1" x14ac:dyDescent="0.3">
      <c r="B282" s="174" t="s">
        <v>420</v>
      </c>
      <c r="C282" s="185" t="s">
        <v>368</v>
      </c>
      <c r="D282" s="191">
        <f>SUMPRODUCT(E278:M278,E282:M282)</f>
        <v>24.165400894126225</v>
      </c>
      <c r="E282" s="191">
        <f>O270</f>
        <v>24.240939036651458</v>
      </c>
      <c r="F282" s="191">
        <f>O271</f>
        <v>24.240939036651458</v>
      </c>
      <c r="G282" s="191">
        <f>O271</f>
        <v>24.240939036651458</v>
      </c>
      <c r="H282" s="191">
        <f>O272</f>
        <v>24.240939036651458</v>
      </c>
      <c r="I282" s="191">
        <f>O272</f>
        <v>24.240939036651458</v>
      </c>
      <c r="J282" s="191">
        <f>O273</f>
        <v>24.240939036651458</v>
      </c>
      <c r="K282" s="191">
        <f>O274</f>
        <v>24.240939036651458</v>
      </c>
      <c r="L282" s="191">
        <f>O210</f>
        <v>16.807051891101338</v>
      </c>
      <c r="M282" s="191">
        <f>O252</f>
        <v>25.075334073584497</v>
      </c>
      <c r="N282" s="215" t="s">
        <v>563</v>
      </c>
      <c r="O282" s="226">
        <f>IF($A$276&lt;&gt;"",IF($D276="V",$D282,IF($E276="V",$E282,IF($F276="V",$F282,IF($G276="V",$G282,IF($H276="V",$H282,IF($I276="V",$I282,IF($J276="V",$J282,IF($K276="V",$K282,IF($L276="V",$L282,IF($M276="V",$M282,"")))))))))),$D282)</f>
        <v>24.165400894126225</v>
      </c>
      <c r="P282" s="227">
        <f>IF($A$276&lt;&gt;"",IF($D276="N",D283,IF($E276="N",$E283,IF($F276="N",$F283,IF($G276="N",$G283,IF($H276="N",$H283,IF($I276="N",$I283,IF($J276="N",$J283,IF($K276="N",$K283,IF($L276="N",$L283,IF($M276="N",$M283,SUMPRODUCT(D284:M284,D283:M283))))))))))),$D283)</f>
        <v>24.165400894126225</v>
      </c>
      <c r="Q282" s="185" t="s">
        <v>368</v>
      </c>
      <c r="R282" s="228">
        <f>P282</f>
        <v>24.165400894126225</v>
      </c>
      <c r="S282" s="229">
        <f>H283</f>
        <v>24.240939036651458</v>
      </c>
    </row>
    <row r="283" spans="1:19" ht="15.75" hidden="1" outlineLevel="2" thickBot="1" x14ac:dyDescent="0.3">
      <c r="C283" s="185" t="s">
        <v>368</v>
      </c>
      <c r="D283" s="191">
        <f>SUMPRODUCT(E278:M278,E283:M283)</f>
        <v>24.165400894126225</v>
      </c>
      <c r="E283" s="191">
        <f>P270</f>
        <v>24.240939036651458</v>
      </c>
      <c r="F283" s="191">
        <f>P271</f>
        <v>24.240939036651458</v>
      </c>
      <c r="G283" s="191">
        <f>P271</f>
        <v>24.240939036651458</v>
      </c>
      <c r="H283" s="191">
        <f>P272</f>
        <v>24.240939036651458</v>
      </c>
      <c r="I283" s="191">
        <f>P272</f>
        <v>24.240939036651458</v>
      </c>
      <c r="J283" s="191">
        <f>P273</f>
        <v>24.240939036651458</v>
      </c>
      <c r="K283" s="191">
        <f>P274</f>
        <v>24.240939036651458</v>
      </c>
      <c r="L283" s="191">
        <f>P210</f>
        <v>16.807051891101338</v>
      </c>
      <c r="M283" s="191">
        <f>P252</f>
        <v>25.075334073584497</v>
      </c>
      <c r="N283" s="174" t="s">
        <v>564</v>
      </c>
    </row>
    <row r="284" spans="1:19" ht="15.75" hidden="1" outlineLevel="2" thickBot="1" x14ac:dyDescent="0.3">
      <c r="C284" s="185"/>
      <c r="D284" s="218">
        <f>IF(D276="V",1,0)</f>
        <v>0</v>
      </c>
      <c r="E284" s="218">
        <f t="shared" ref="E284:M284" si="13">IF(E276="V",1,0)</f>
        <v>0</v>
      </c>
      <c r="F284" s="218">
        <f t="shared" si="13"/>
        <v>0</v>
      </c>
      <c r="G284" s="218">
        <f t="shared" si="13"/>
        <v>0</v>
      </c>
      <c r="H284" s="218">
        <f t="shared" si="13"/>
        <v>0</v>
      </c>
      <c r="I284" s="218">
        <f t="shared" si="13"/>
        <v>0</v>
      </c>
      <c r="J284" s="218">
        <f t="shared" si="13"/>
        <v>0</v>
      </c>
      <c r="K284" s="218">
        <f t="shared" si="13"/>
        <v>0</v>
      </c>
      <c r="L284" s="218">
        <f t="shared" si="13"/>
        <v>0</v>
      </c>
      <c r="M284" s="218">
        <f t="shared" si="13"/>
        <v>0</v>
      </c>
    </row>
    <row r="285" spans="1:19" s="162" customFormat="1" ht="15.75" hidden="1" outlineLevel="2" thickBot="1" x14ac:dyDescent="0.3">
      <c r="B285" s="163" t="s">
        <v>673</v>
      </c>
      <c r="O285" s="164"/>
      <c r="P285" s="165"/>
      <c r="R285" s="164"/>
      <c r="S285" s="165"/>
    </row>
    <row r="286" spans="1:19" s="170" customFormat="1" ht="15.75" hidden="1" outlineLevel="2" thickBot="1" x14ac:dyDescent="0.3">
      <c r="A286" s="166"/>
      <c r="B286" s="167"/>
      <c r="C286" s="166"/>
      <c r="D286" s="166" t="s">
        <v>389</v>
      </c>
      <c r="E286" s="166" t="s">
        <v>6</v>
      </c>
      <c r="F286" s="166" t="s">
        <v>431</v>
      </c>
      <c r="G286" s="166" t="s">
        <v>432</v>
      </c>
      <c r="H286" s="166" t="s">
        <v>433</v>
      </c>
      <c r="I286" s="170" t="s">
        <v>434</v>
      </c>
      <c r="J286" s="166" t="s">
        <v>435</v>
      </c>
      <c r="K286" s="166" t="s">
        <v>7</v>
      </c>
      <c r="L286" s="166" t="s">
        <v>436</v>
      </c>
      <c r="M286" s="166" t="s">
        <v>437</v>
      </c>
      <c r="N286" s="166"/>
      <c r="O286" s="168" t="s">
        <v>319</v>
      </c>
      <c r="P286" s="169" t="s">
        <v>332</v>
      </c>
      <c r="R286" s="171"/>
      <c r="S286" s="172"/>
    </row>
    <row r="287" spans="1:19" ht="15.75" hidden="1" outlineLevel="2" thickBot="1" x14ac:dyDescent="0.3">
      <c r="B287" s="174" t="s">
        <v>570</v>
      </c>
      <c r="C287" s="234" t="s">
        <v>13</v>
      </c>
      <c r="D287" s="192"/>
      <c r="E287" s="191">
        <f>Daten_ALLG!$D$186</f>
        <v>0.2</v>
      </c>
      <c r="F287" s="191">
        <f>Daten_ALLG!$D$182</f>
        <v>1.1000000000000001</v>
      </c>
      <c r="G287" s="191">
        <f>Daten_ALLG!$D$183</f>
        <v>1.1000000000000001</v>
      </c>
      <c r="H287" s="191">
        <f>Daten_ALLG!$D$182</f>
        <v>1.1000000000000001</v>
      </c>
      <c r="I287" s="191">
        <f>Daten_ALLG!$D$183</f>
        <v>1.1000000000000001</v>
      </c>
      <c r="J287" s="191">
        <f>Daten_ALLG!$D$188</f>
        <v>0.8</v>
      </c>
      <c r="K287" s="191">
        <f>Daten_ALLG!$D$187</f>
        <v>1.8</v>
      </c>
      <c r="L287" s="191">
        <f>Daten_ALLG!$D$187</f>
        <v>1.8</v>
      </c>
      <c r="M287" s="191">
        <f>Daten_ALLG!$D$187</f>
        <v>1.8</v>
      </c>
    </row>
    <row r="288" spans="1:19" ht="15.75" hidden="1" outlineLevel="2" thickBot="1" x14ac:dyDescent="0.3">
      <c r="B288" s="174" t="s">
        <v>573</v>
      </c>
      <c r="C288" s="234" t="s">
        <v>13</v>
      </c>
      <c r="D288" s="191">
        <f>SUMPRODUCT(E278:M278,E288:M288)</f>
        <v>1.1899852436612754</v>
      </c>
      <c r="E288" s="191">
        <f>E$287/E279</f>
        <v>0.26666666666666666</v>
      </c>
      <c r="F288" s="191">
        <f>F$287/F279</f>
        <v>1.375</v>
      </c>
      <c r="G288" s="191">
        <f>G$287/G279</f>
        <v>1.375</v>
      </c>
      <c r="H288" s="191">
        <f>H$287/H279</f>
        <v>1.1827956989247312</v>
      </c>
      <c r="I288" s="191">
        <f t="shared" ref="F288:M289" si="14">I$287/I279</f>
        <v>1.1827956989247312</v>
      </c>
      <c r="J288" s="191">
        <f t="shared" si="14"/>
        <v>0.80808080808080818</v>
      </c>
      <c r="K288" s="191">
        <f t="shared" si="14"/>
        <v>1.8</v>
      </c>
      <c r="L288" s="191">
        <f t="shared" si="14"/>
        <v>0.70786101986781946</v>
      </c>
      <c r="M288" s="191">
        <f t="shared" si="14"/>
        <v>0.55795875919394244</v>
      </c>
      <c r="N288" s="215" t="s">
        <v>563</v>
      </c>
      <c r="O288" s="235">
        <f>IF($A$276&lt;&gt;"",IF($D276="V",$D288,IF($E276="V",$E288,IF($F276="V",$F288,IF($G276="V",$G288,IF($H276="V",$H288,IF($I276="V",$I288,IF($J276="V",$J288,IF($K276="V",$K288,IF($L276="V",$L288,IF($M276="V",$M288,"")))))))))),$D288)</f>
        <v>1.1899852436612754</v>
      </c>
      <c r="P288" s="236">
        <f>IF($A$276&lt;&gt;"",IF($D276="N",D289,IF($E276="N",$E289,IF($F276="N",$F289,IF($G276="N",$G289,IF($H276="N",$H289,IF($I276="N",$I289,IF($J276="N",$J289,IF($K276="N",$K289,IF($L276="N",$L289,IF($M276="N",$M289,SUMPRODUCT(D290:M290,D289:M289))))))))))),$D289)</f>
        <v>1.1899852436612754</v>
      </c>
    </row>
    <row r="289" spans="1:19" ht="15.75" hidden="1" outlineLevel="2" thickBot="1" x14ac:dyDescent="0.3">
      <c r="C289" s="234" t="s">
        <v>13</v>
      </c>
      <c r="D289" s="191">
        <f>SUMPRODUCT(E278:M278,E289:M289)</f>
        <v>1.1899852436612754</v>
      </c>
      <c r="E289" s="191">
        <f>E$287/E280</f>
        <v>0.26666666666666666</v>
      </c>
      <c r="F289" s="191">
        <f t="shared" si="14"/>
        <v>1.375</v>
      </c>
      <c r="G289" s="191">
        <f t="shared" si="14"/>
        <v>1.375</v>
      </c>
      <c r="H289" s="191">
        <f t="shared" si="14"/>
        <v>1.1827956989247312</v>
      </c>
      <c r="I289" s="191">
        <f t="shared" si="14"/>
        <v>1.1827956989247312</v>
      </c>
      <c r="J289" s="191">
        <f t="shared" si="14"/>
        <v>0.80808080808080818</v>
      </c>
      <c r="K289" s="191">
        <f t="shared" si="14"/>
        <v>1.8</v>
      </c>
      <c r="L289" s="191">
        <f t="shared" si="14"/>
        <v>0.70786101986781946</v>
      </c>
      <c r="M289" s="191">
        <f t="shared" si="14"/>
        <v>0.55795875919394244</v>
      </c>
      <c r="N289" s="174" t="s">
        <v>564</v>
      </c>
    </row>
    <row r="290" spans="1:19" ht="15.75" hidden="1" outlineLevel="2" thickBot="1" x14ac:dyDescent="0.3">
      <c r="C290" s="185"/>
      <c r="D290" s="218">
        <f>IF(D276="V",1,0)</f>
        <v>0</v>
      </c>
      <c r="E290" s="218">
        <f t="shared" ref="E290:M290" si="15">IF(E276="V",1,0)</f>
        <v>0</v>
      </c>
      <c r="F290" s="218">
        <f t="shared" si="15"/>
        <v>0</v>
      </c>
      <c r="G290" s="218">
        <f t="shared" si="15"/>
        <v>0</v>
      </c>
      <c r="H290" s="218">
        <f t="shared" si="15"/>
        <v>0</v>
      </c>
      <c r="I290" s="218">
        <f t="shared" si="15"/>
        <v>0</v>
      </c>
      <c r="J290" s="218">
        <f t="shared" si="15"/>
        <v>0</v>
      </c>
      <c r="K290" s="218">
        <f t="shared" si="15"/>
        <v>0</v>
      </c>
      <c r="L290" s="218">
        <f t="shared" si="15"/>
        <v>0</v>
      </c>
      <c r="M290" s="218">
        <f t="shared" si="15"/>
        <v>0</v>
      </c>
    </row>
    <row r="291" spans="1:19" s="162" customFormat="1" ht="15.75" hidden="1" outlineLevel="2" thickBot="1" x14ac:dyDescent="0.3">
      <c r="B291" s="163" t="s">
        <v>674</v>
      </c>
      <c r="O291" s="164"/>
      <c r="P291" s="165"/>
      <c r="R291" s="164"/>
      <c r="S291" s="165"/>
    </row>
    <row r="292" spans="1:19" s="170" customFormat="1" ht="15.75" hidden="1" outlineLevel="2" thickBot="1" x14ac:dyDescent="0.3">
      <c r="A292" s="166"/>
      <c r="B292" s="167"/>
      <c r="C292" s="166"/>
      <c r="D292" s="166" t="s">
        <v>389</v>
      </c>
      <c r="E292" s="166" t="s">
        <v>6</v>
      </c>
      <c r="F292" s="166" t="s">
        <v>431</v>
      </c>
      <c r="G292" s="166" t="s">
        <v>432</v>
      </c>
      <c r="H292" s="166" t="s">
        <v>433</v>
      </c>
      <c r="I292" s="166" t="s">
        <v>434</v>
      </c>
      <c r="J292" s="166" t="s">
        <v>435</v>
      </c>
      <c r="K292" s="166" t="s">
        <v>7</v>
      </c>
      <c r="L292" s="166" t="s">
        <v>436</v>
      </c>
      <c r="M292" s="166" t="s">
        <v>437</v>
      </c>
      <c r="N292" s="166"/>
      <c r="O292" s="168" t="s">
        <v>319</v>
      </c>
      <c r="P292" s="169" t="s">
        <v>332</v>
      </c>
      <c r="R292" s="171"/>
      <c r="S292" s="172"/>
    </row>
    <row r="293" spans="1:19" ht="15.75" hidden="1" outlineLevel="2" thickBot="1" x14ac:dyDescent="0.3">
      <c r="B293" s="174" t="s">
        <v>571</v>
      </c>
      <c r="C293" s="234" t="s">
        <v>227</v>
      </c>
      <c r="D293" s="192"/>
      <c r="E293" s="214">
        <f>Daten_ALLG!$D$208</f>
        <v>15</v>
      </c>
      <c r="F293" s="214">
        <f>Daten_ALLG!$D$204</f>
        <v>208</v>
      </c>
      <c r="G293" s="214">
        <f>Daten_ALLG!$D$205</f>
        <v>292</v>
      </c>
      <c r="H293" s="214">
        <f>Daten_ALLG!$D$204</f>
        <v>208</v>
      </c>
      <c r="I293" s="214">
        <f>Daten_ALLG!$D$205</f>
        <v>292</v>
      </c>
      <c r="J293" s="214">
        <f>Daten_ALLG!$D$210</f>
        <v>240</v>
      </c>
      <c r="K293" s="214">
        <f>Daten_ALLG!$D$209</f>
        <v>444</v>
      </c>
      <c r="L293" s="214">
        <f>Daten_ALLG!$D$209</f>
        <v>444</v>
      </c>
      <c r="M293" s="214">
        <f>Daten_ALLG!$D$209</f>
        <v>444</v>
      </c>
    </row>
    <row r="294" spans="1:19" ht="15.75" hidden="1" outlineLevel="2" thickBot="1" x14ac:dyDescent="0.3">
      <c r="B294" s="174" t="s">
        <v>572</v>
      </c>
      <c r="C294" s="234" t="s">
        <v>13</v>
      </c>
      <c r="D294" s="214">
        <f>SUMPRODUCT(E278:M278,E294:M294)</f>
        <v>263.64189883905368</v>
      </c>
      <c r="E294" s="214">
        <f t="shared" ref="E294:M295" si="16">E$293/E279</f>
        <v>20</v>
      </c>
      <c r="F294" s="214">
        <f t="shared" si="16"/>
        <v>260</v>
      </c>
      <c r="G294" s="214">
        <f t="shared" si="16"/>
        <v>365</v>
      </c>
      <c r="H294" s="214">
        <f t="shared" si="16"/>
        <v>223.65591397849462</v>
      </c>
      <c r="I294" s="214">
        <f t="shared" si="16"/>
        <v>313.97849462365588</v>
      </c>
      <c r="J294" s="214">
        <f t="shared" si="16"/>
        <v>242.42424242424244</v>
      </c>
      <c r="K294" s="214">
        <f t="shared" si="16"/>
        <v>444</v>
      </c>
      <c r="L294" s="214">
        <f t="shared" si="16"/>
        <v>174.60571823406212</v>
      </c>
      <c r="M294" s="214">
        <f t="shared" si="16"/>
        <v>137.62982726783915</v>
      </c>
      <c r="N294" s="215" t="s">
        <v>563</v>
      </c>
      <c r="O294" s="216">
        <f>IF($A$276&lt;&gt;"",IF($D276="V",$D294,IF($E276="V",$E294,IF($F276="V",$F294,IF($G276="V",$G294,IF($H276="V",$H294,IF($I276="V",$I294,IF($J276="V",$J294,IF($K276="V",$K294,IF($L276="V",$L294,IF($M276="V",$M294,"")))))))))),$D294)</f>
        <v>263.64189883905368</v>
      </c>
      <c r="P294" s="217">
        <f>IF($A$276&lt;&gt;"",IF($D276="N",D295,IF($E276="N",$E295,IF($F276="N",$F295,IF($G276="N",$G295,IF($H276="N",$H295,IF($I276="N",$I295,IF($J276="N",$J295,IF($K276="N",$K295,IF($L276="N",$L295,IF($M276="N",$M295,SUMPRODUCT(D296:M296,D295:M295))))))))))),$D295)</f>
        <v>263.64189883905368</v>
      </c>
    </row>
    <row r="295" spans="1:19" ht="15.75" hidden="1" outlineLevel="2" thickBot="1" x14ac:dyDescent="0.3">
      <c r="C295" s="234" t="s">
        <v>13</v>
      </c>
      <c r="D295" s="214">
        <f>SUMPRODUCT(E278:M278,E295:M295)</f>
        <v>263.64189883905368</v>
      </c>
      <c r="E295" s="214">
        <f t="shared" si="16"/>
        <v>20</v>
      </c>
      <c r="F295" s="214">
        <f t="shared" si="16"/>
        <v>260</v>
      </c>
      <c r="G295" s="214">
        <f t="shared" si="16"/>
        <v>365</v>
      </c>
      <c r="H295" s="214">
        <f t="shared" si="16"/>
        <v>223.65591397849462</v>
      </c>
      <c r="I295" s="214">
        <f t="shared" si="16"/>
        <v>313.97849462365588</v>
      </c>
      <c r="J295" s="214">
        <f t="shared" si="16"/>
        <v>242.42424242424244</v>
      </c>
      <c r="K295" s="214">
        <f t="shared" si="16"/>
        <v>444</v>
      </c>
      <c r="L295" s="214">
        <f t="shared" si="16"/>
        <v>174.60571823406212</v>
      </c>
      <c r="M295" s="214">
        <f t="shared" si="16"/>
        <v>137.62982726783915</v>
      </c>
      <c r="N295" s="174" t="s">
        <v>564</v>
      </c>
    </row>
    <row r="296" spans="1:19" ht="15.75" hidden="1" outlineLevel="2" thickBot="1" x14ac:dyDescent="0.3">
      <c r="C296" s="185"/>
      <c r="D296" s="218">
        <f>IF(D276="V",1,0)</f>
        <v>0</v>
      </c>
      <c r="E296" s="218">
        <f t="shared" ref="E296:M296" si="17">IF(E276="V",1,0)</f>
        <v>0</v>
      </c>
      <c r="F296" s="218">
        <f t="shared" si="17"/>
        <v>0</v>
      </c>
      <c r="G296" s="218">
        <f t="shared" si="17"/>
        <v>0</v>
      </c>
      <c r="H296" s="218">
        <f t="shared" si="17"/>
        <v>0</v>
      </c>
      <c r="I296" s="218">
        <f t="shared" si="17"/>
        <v>0</v>
      </c>
      <c r="J296" s="218">
        <f t="shared" si="17"/>
        <v>0</v>
      </c>
      <c r="K296" s="218">
        <f t="shared" si="17"/>
        <v>0</v>
      </c>
      <c r="L296" s="218">
        <f t="shared" si="17"/>
        <v>0</v>
      </c>
      <c r="M296" s="218">
        <f t="shared" si="17"/>
        <v>0</v>
      </c>
    </row>
    <row r="297" spans="1:19" s="162" customFormat="1" ht="15.75" hidden="1" outlineLevel="2" thickBot="1" x14ac:dyDescent="0.3">
      <c r="B297" s="163" t="s">
        <v>675</v>
      </c>
      <c r="O297" s="164"/>
      <c r="P297" s="165"/>
      <c r="R297" s="164"/>
      <c r="S297" s="165"/>
    </row>
    <row r="298" spans="1:19" s="170" customFormat="1" ht="15.75" hidden="1" outlineLevel="2" thickBot="1" x14ac:dyDescent="0.3">
      <c r="A298" s="166"/>
      <c r="B298" s="167"/>
      <c r="C298" s="166"/>
      <c r="D298" s="166" t="s">
        <v>389</v>
      </c>
      <c r="E298" s="166" t="s">
        <v>6</v>
      </c>
      <c r="F298" s="166" t="s">
        <v>431</v>
      </c>
      <c r="G298" s="166" t="s">
        <v>432</v>
      </c>
      <c r="H298" s="166" t="s">
        <v>433</v>
      </c>
      <c r="I298" s="166" t="s">
        <v>434</v>
      </c>
      <c r="J298" s="166" t="s">
        <v>435</v>
      </c>
      <c r="K298" s="166" t="s">
        <v>7</v>
      </c>
      <c r="L298" s="166" t="s">
        <v>436</v>
      </c>
      <c r="M298" s="166" t="s">
        <v>437</v>
      </c>
      <c r="N298" s="166"/>
      <c r="O298" s="168" t="s">
        <v>319</v>
      </c>
      <c r="P298" s="169" t="s">
        <v>332</v>
      </c>
      <c r="R298" s="171"/>
      <c r="S298" s="172"/>
    </row>
    <row r="299" spans="1:19" ht="15.75" hidden="1" outlineLevel="2" thickBot="1" x14ac:dyDescent="0.3">
      <c r="B299" s="174" t="s">
        <v>671</v>
      </c>
      <c r="C299" s="234" t="s">
        <v>31</v>
      </c>
      <c r="D299" s="192"/>
      <c r="E299" s="237">
        <f>Daten_ALLG!$D$281</f>
        <v>0.05</v>
      </c>
      <c r="F299" s="237">
        <f>Daten_ALLG!$D$276</f>
        <v>8.6999999999999994E-2</v>
      </c>
      <c r="G299" s="237">
        <f>Daten_ALLG!$D$277</f>
        <v>0.122</v>
      </c>
      <c r="H299" s="237">
        <f>Daten_ALLG!$D$276</f>
        <v>8.6999999999999994E-2</v>
      </c>
      <c r="I299" s="237">
        <f>Daten_ALLG!$D$277</f>
        <v>0.122</v>
      </c>
      <c r="J299" s="237">
        <f>Daten_ALLG!$D$280</f>
        <v>0.10199999999999999</v>
      </c>
      <c r="K299" s="237">
        <f>Daten_ALLG!$D$278</f>
        <v>0.186</v>
      </c>
      <c r="L299" s="237">
        <f>Daten_ALLG!$D$279</f>
        <v>0.186</v>
      </c>
      <c r="M299" s="237">
        <f>Daten_ALLG!$D$279</f>
        <v>0.186</v>
      </c>
    </row>
    <row r="300" spans="1:19" ht="15.75" hidden="1" outlineLevel="2" thickBot="1" x14ac:dyDescent="0.3">
      <c r="B300" s="174" t="s">
        <v>677</v>
      </c>
      <c r="C300" s="234" t="s">
        <v>13</v>
      </c>
      <c r="D300" s="237">
        <f>SUMPRODUCT(E278:M278,E300:M300)</f>
        <v>0.11179390640562642</v>
      </c>
      <c r="E300" s="237">
        <f>E$299/E279</f>
        <v>6.6666666666666666E-2</v>
      </c>
      <c r="F300" s="237">
        <f t="shared" ref="F300:M301" si="18">F$299/F279</f>
        <v>0.10874999999999999</v>
      </c>
      <c r="G300" s="237">
        <f t="shared" si="18"/>
        <v>0.1525</v>
      </c>
      <c r="H300" s="237">
        <f t="shared" si="18"/>
        <v>9.3548387096774183E-2</v>
      </c>
      <c r="I300" s="237">
        <f t="shared" si="18"/>
        <v>0.13118279569892471</v>
      </c>
      <c r="J300" s="237">
        <f t="shared" si="18"/>
        <v>0.10303030303030303</v>
      </c>
      <c r="K300" s="237">
        <f t="shared" si="18"/>
        <v>0.186</v>
      </c>
      <c r="L300" s="237">
        <f t="shared" si="18"/>
        <v>7.314563871967468E-2</v>
      </c>
      <c r="M300" s="237">
        <f t="shared" si="18"/>
        <v>5.7655738450040725E-2</v>
      </c>
      <c r="N300" s="215" t="s">
        <v>563</v>
      </c>
      <c r="O300" s="235">
        <f>IF($A$276&lt;&gt;"",IF($D276="V",$D300,IF($E276="V",$E300,IF($F276="V",$F300,IF($G276="V",$G300,IF($H276="V",$H300,IF($I276="V",$I300,IF($J276="V",$J300,IF($K276="V",$K300,IF($L276="V",$L300,IF($M276="V",$M300,"")))))))))),$D300)</f>
        <v>0.11179390640562642</v>
      </c>
      <c r="P300" s="236">
        <f>IF($A$276&lt;&gt;"",IF($D276="N",D301,IF($E276="N",$E301,IF($F276="N",$F301,IF($G276="N",$G301,IF($H276="N",$H301,IF($I276="N",$I301,IF($J276="N",$J301,IF($K276="N",$K301,IF($L276="N",$L301,IF($M276="N",$M301,SUMPRODUCT(D302:M302,D301:M301))))))))))),$D301)</f>
        <v>0.11179390640562642</v>
      </c>
    </row>
    <row r="301" spans="1:19" ht="15.75" hidden="1" outlineLevel="2" thickBot="1" x14ac:dyDescent="0.3">
      <c r="C301" s="234" t="s">
        <v>13</v>
      </c>
      <c r="D301" s="237">
        <f>SUMPRODUCT(E278:M278,E301:M301)</f>
        <v>0.11179390640562642</v>
      </c>
      <c r="E301" s="237">
        <f>E$299/E280</f>
        <v>6.6666666666666666E-2</v>
      </c>
      <c r="F301" s="237">
        <f t="shared" si="18"/>
        <v>0.10874999999999999</v>
      </c>
      <c r="G301" s="237">
        <f t="shared" si="18"/>
        <v>0.1525</v>
      </c>
      <c r="H301" s="237">
        <f t="shared" si="18"/>
        <v>9.3548387096774183E-2</v>
      </c>
      <c r="I301" s="237">
        <f t="shared" si="18"/>
        <v>0.13118279569892471</v>
      </c>
      <c r="J301" s="237">
        <f t="shared" si="18"/>
        <v>0.10303030303030303</v>
      </c>
      <c r="K301" s="237">
        <f t="shared" si="18"/>
        <v>0.186</v>
      </c>
      <c r="L301" s="237">
        <f t="shared" si="18"/>
        <v>7.314563871967468E-2</v>
      </c>
      <c r="M301" s="237">
        <f t="shared" si="18"/>
        <v>5.7655738450040725E-2</v>
      </c>
      <c r="N301" s="174" t="s">
        <v>564</v>
      </c>
    </row>
    <row r="302" spans="1:19" ht="15.75" hidden="1" outlineLevel="2" thickBot="1" x14ac:dyDescent="0.3">
      <c r="C302" s="185"/>
      <c r="D302" s="218">
        <f>IF(D276="V",1,0)</f>
        <v>0</v>
      </c>
      <c r="E302" s="218">
        <f t="shared" ref="E302:M302" si="19">IF(E276="V",1,0)</f>
        <v>0</v>
      </c>
      <c r="F302" s="218">
        <f t="shared" si="19"/>
        <v>0</v>
      </c>
      <c r="G302" s="218">
        <f t="shared" si="19"/>
        <v>0</v>
      </c>
      <c r="H302" s="218">
        <f t="shared" si="19"/>
        <v>0</v>
      </c>
      <c r="I302" s="218">
        <f t="shared" si="19"/>
        <v>0</v>
      </c>
      <c r="J302" s="218">
        <f t="shared" si="19"/>
        <v>0</v>
      </c>
      <c r="K302" s="218">
        <f t="shared" si="19"/>
        <v>0</v>
      </c>
      <c r="L302" s="218">
        <f t="shared" si="19"/>
        <v>0</v>
      </c>
      <c r="M302" s="218">
        <f t="shared" si="19"/>
        <v>0</v>
      </c>
    </row>
    <row r="303" spans="1:19" s="162" customFormat="1" ht="15.75" outlineLevel="1" thickBot="1" x14ac:dyDescent="0.3">
      <c r="A303" s="335"/>
      <c r="B303" s="163" t="s">
        <v>567</v>
      </c>
      <c r="D303" s="335"/>
      <c r="E303" s="335"/>
      <c r="F303" s="335"/>
      <c r="G303" s="335"/>
      <c r="H303" s="335"/>
      <c r="I303" s="335"/>
      <c r="J303" s="335"/>
      <c r="K303" s="335"/>
      <c r="L303" s="335"/>
      <c r="M303" s="335"/>
      <c r="O303" s="164"/>
      <c r="P303" s="165"/>
      <c r="R303" s="164" t="s">
        <v>457</v>
      </c>
      <c r="S303" s="165"/>
    </row>
    <row r="304" spans="1:19" s="170" customFormat="1" outlineLevel="1" collapsed="1" x14ac:dyDescent="0.25">
      <c r="A304" s="166"/>
      <c r="B304" s="167"/>
      <c r="C304" s="166"/>
      <c r="D304" s="166" t="s">
        <v>389</v>
      </c>
      <c r="E304" s="166" t="s">
        <v>6</v>
      </c>
      <c r="F304" s="166" t="s">
        <v>431</v>
      </c>
      <c r="G304" s="166" t="s">
        <v>432</v>
      </c>
      <c r="H304" s="166" t="s">
        <v>433</v>
      </c>
      <c r="I304" s="166" t="s">
        <v>434</v>
      </c>
      <c r="J304" s="166" t="s">
        <v>435</v>
      </c>
      <c r="K304" s="166" t="s">
        <v>7</v>
      </c>
      <c r="L304" s="166" t="s">
        <v>436</v>
      </c>
      <c r="M304" s="166" t="s">
        <v>437</v>
      </c>
      <c r="N304" s="166"/>
      <c r="O304" s="168" t="s">
        <v>319</v>
      </c>
      <c r="P304" s="169" t="s">
        <v>332</v>
      </c>
      <c r="R304" s="233" t="s">
        <v>455</v>
      </c>
      <c r="S304" s="172" t="s">
        <v>456</v>
      </c>
    </row>
    <row r="305" spans="1:19" hidden="1" outlineLevel="2" x14ac:dyDescent="0.25">
      <c r="B305" s="174" t="s">
        <v>178</v>
      </c>
      <c r="C305" s="234" t="s">
        <v>13</v>
      </c>
      <c r="E305" s="191">
        <f>Daten_MFH!$D$93</f>
        <v>2.1000000000000001E-2</v>
      </c>
      <c r="F305" s="191">
        <f>Daten_MFH!$D$94</f>
        <v>0.24179163034210971</v>
      </c>
      <c r="G305" s="191">
        <f>Daten_MFH!$D$95</f>
        <v>0.12125532660481259</v>
      </c>
      <c r="H305" s="191">
        <f>Daten_MFH!$D$96</f>
        <v>0.21026507516443443</v>
      </c>
      <c r="I305" s="191">
        <f>Daten_MFH!$D$97</f>
        <v>1.8222667585284822E-2</v>
      </c>
      <c r="J305" s="191">
        <f>Daten_MFH!$D$98</f>
        <v>0.19200000000000003</v>
      </c>
      <c r="K305" s="191">
        <f>Daten_MFH!$D$99</f>
        <v>0.18</v>
      </c>
      <c r="L305" s="191">
        <f>Daten_MFH!$D$100</f>
        <v>8.7773003033583784E-3</v>
      </c>
      <c r="M305" s="191">
        <f>Daten_MFH!$D$101</f>
        <v>6.6880000000000004E-3</v>
      </c>
    </row>
    <row r="306" spans="1:19" hidden="1" outlineLevel="2" x14ac:dyDescent="0.25">
      <c r="B306" s="174" t="s">
        <v>485</v>
      </c>
      <c r="C306" s="234" t="s">
        <v>13</v>
      </c>
      <c r="D306" s="191">
        <f>1/(E305/E306+F305/F306+G305/G306+H305/H306+I305/I306+J305/J306+K305/K306+L305/L306+M305/M306)</f>
        <v>0.90214099899931721</v>
      </c>
      <c r="E306" s="191">
        <f>O263</f>
        <v>0.75</v>
      </c>
      <c r="F306" s="191">
        <f>O264</f>
        <v>0.8</v>
      </c>
      <c r="G306" s="191">
        <f>O264</f>
        <v>0.8</v>
      </c>
      <c r="H306" s="191">
        <f>O265</f>
        <v>0.93</v>
      </c>
      <c r="I306" s="191">
        <f>O265</f>
        <v>0.93</v>
      </c>
      <c r="J306" s="191">
        <f>O266</f>
        <v>0.99</v>
      </c>
      <c r="K306" s="191">
        <f>O267</f>
        <v>1</v>
      </c>
      <c r="L306" s="191">
        <f>O218</f>
        <v>2.0328907738029667</v>
      </c>
      <c r="M306" s="191">
        <f>O259</f>
        <v>2.4563891605615429</v>
      </c>
      <c r="N306" s="215" t="s">
        <v>563</v>
      </c>
      <c r="O306" s="235">
        <f>IF($A$303&lt;&gt;"",IF($D303="V",$D306,IF($E303="V",$E306,IF($F303="V",$F306,IF($G303="V",$G306,IF($H303="V",$H306,IF($I303="V",$I306,IF($J303="V",$J306,IF($K303="V",$K306,IF($L303="V",$L306,IF($M303="V",$M306,"")))))))))),$D306)</f>
        <v>0.90214099899931721</v>
      </c>
      <c r="P306" s="236">
        <f>IF($A$303&lt;&gt;"",IF($D303="N",D307,IF($E303="N",$E307,IF($F303="N",$F307,IF($G303="N",$G307,IF($H303="N",$H307,IF($I303="N",$I307,IF($J303="N",$J307,IF($K303="N",$K307,IF($L303="N",$L307,IF($M303="N",$M307,SUMPRODUCT(D308:M308,D307:M307))))))))))),$D307)</f>
        <v>0.90214099899931721</v>
      </c>
      <c r="Q306" s="185" t="s">
        <v>48</v>
      </c>
      <c r="R306" s="228">
        <f>IF(K303="N",Daten_MFH!$D$17,0)</f>
        <v>0</v>
      </c>
    </row>
    <row r="307" spans="1:19" hidden="1" outlineLevel="2" x14ac:dyDescent="0.25">
      <c r="C307" s="234" t="s">
        <v>13</v>
      </c>
      <c r="D307" s="191">
        <f>1/(E305/E307+F305/F307+G305/G307+H305/H307+I305/I307+J305/J307+K305/K307+L305/L307+M305/M307)</f>
        <v>0.90214099899931721</v>
      </c>
      <c r="E307" s="191">
        <f>P263</f>
        <v>0.75</v>
      </c>
      <c r="F307" s="191">
        <f>P264</f>
        <v>0.8</v>
      </c>
      <c r="G307" s="191">
        <f>P264</f>
        <v>0.8</v>
      </c>
      <c r="H307" s="191">
        <f>P265</f>
        <v>0.93</v>
      </c>
      <c r="I307" s="191">
        <f>P265</f>
        <v>0.93</v>
      </c>
      <c r="J307" s="191">
        <f>P266</f>
        <v>0.99</v>
      </c>
      <c r="K307" s="191">
        <f>P267</f>
        <v>1</v>
      </c>
      <c r="L307" s="191">
        <f>P218</f>
        <v>2.0328907738029667</v>
      </c>
      <c r="M307" s="191">
        <f>P259</f>
        <v>2.4563891605615429</v>
      </c>
      <c r="N307" s="174" t="s">
        <v>564</v>
      </c>
    </row>
    <row r="308" spans="1:19" hidden="1" outlineLevel="2" x14ac:dyDescent="0.25">
      <c r="C308" s="185"/>
      <c r="D308" s="218">
        <f>IF(D303="V",1,0)</f>
        <v>0</v>
      </c>
      <c r="E308" s="218">
        <f t="shared" ref="E308:M308" si="20">IF(E303="V",1,0)</f>
        <v>0</v>
      </c>
      <c r="F308" s="218">
        <f t="shared" si="20"/>
        <v>0</v>
      </c>
      <c r="G308" s="218">
        <f t="shared" si="20"/>
        <v>0</v>
      </c>
      <c r="H308" s="218">
        <f t="shared" si="20"/>
        <v>0</v>
      </c>
      <c r="I308" s="218">
        <f t="shared" si="20"/>
        <v>0</v>
      </c>
      <c r="J308" s="218">
        <f t="shared" si="20"/>
        <v>0</v>
      </c>
      <c r="K308" s="218">
        <f t="shared" si="20"/>
        <v>0</v>
      </c>
      <c r="L308" s="218">
        <f t="shared" si="20"/>
        <v>0</v>
      </c>
      <c r="M308" s="218">
        <f t="shared" si="20"/>
        <v>0</v>
      </c>
      <c r="N308" s="218"/>
    </row>
    <row r="309" spans="1:19" s="162" customFormat="1" hidden="1" outlineLevel="2" x14ac:dyDescent="0.25">
      <c r="B309" s="163" t="s">
        <v>672</v>
      </c>
      <c r="O309" s="164"/>
      <c r="P309" s="165"/>
      <c r="R309" s="164"/>
      <c r="S309" s="165"/>
    </row>
    <row r="310" spans="1:19" s="170" customFormat="1" hidden="1" outlineLevel="2" x14ac:dyDescent="0.25">
      <c r="A310" s="166"/>
      <c r="B310" s="167"/>
      <c r="C310" s="166"/>
      <c r="D310" s="166" t="s">
        <v>389</v>
      </c>
      <c r="E310" s="166" t="s">
        <v>6</v>
      </c>
      <c r="F310" s="166" t="s">
        <v>431</v>
      </c>
      <c r="G310" s="166" t="s">
        <v>432</v>
      </c>
      <c r="H310" s="166" t="s">
        <v>433</v>
      </c>
      <c r="I310" s="166" t="s">
        <v>434</v>
      </c>
      <c r="J310" s="166" t="s">
        <v>435</v>
      </c>
      <c r="K310" s="166" t="s">
        <v>7</v>
      </c>
      <c r="L310" s="166" t="s">
        <v>436</v>
      </c>
      <c r="M310" s="166" t="s">
        <v>437</v>
      </c>
      <c r="N310" s="166"/>
      <c r="O310" s="168" t="s">
        <v>319</v>
      </c>
      <c r="P310" s="169" t="s">
        <v>332</v>
      </c>
      <c r="R310" s="171"/>
      <c r="S310" s="172"/>
    </row>
    <row r="311" spans="1:19" hidden="1" outlineLevel="2" x14ac:dyDescent="0.25">
      <c r="B311" s="174" t="s">
        <v>570</v>
      </c>
      <c r="C311" s="234" t="s">
        <v>13</v>
      </c>
      <c r="D311" s="192"/>
      <c r="E311" s="191">
        <f>Daten_ALLG!$D$186</f>
        <v>0.2</v>
      </c>
      <c r="F311" s="191">
        <f>Daten_ALLG!$D$182</f>
        <v>1.1000000000000001</v>
      </c>
      <c r="G311" s="191">
        <f>Daten_ALLG!$D$183</f>
        <v>1.1000000000000001</v>
      </c>
      <c r="H311" s="191">
        <f>Daten_ALLG!$D$182</f>
        <v>1.1000000000000001</v>
      </c>
      <c r="I311" s="191">
        <f>Daten_ALLG!$D$183</f>
        <v>1.1000000000000001</v>
      </c>
      <c r="J311" s="191">
        <f>Daten_ALLG!$D$188</f>
        <v>0.8</v>
      </c>
      <c r="K311" s="191">
        <f>Daten_ALLG!$D$187</f>
        <v>1.8</v>
      </c>
      <c r="L311" s="191">
        <f>Daten_ALLG!$D$187</f>
        <v>1.8</v>
      </c>
      <c r="M311" s="191">
        <f>Daten_ALLG!$D$187</f>
        <v>1.8</v>
      </c>
    </row>
    <row r="312" spans="1:19" hidden="1" outlineLevel="2" x14ac:dyDescent="0.25">
      <c r="B312" s="174" t="s">
        <v>576</v>
      </c>
      <c r="C312" s="234" t="s">
        <v>13</v>
      </c>
      <c r="D312" s="191">
        <f>SUMPRODUCT(E305:M305,E312:M312)</f>
        <v>1.2668680131067402</v>
      </c>
      <c r="E312" s="191">
        <f t="shared" ref="E312:M313" si="21">E$311/E306</f>
        <v>0.26666666666666666</v>
      </c>
      <c r="F312" s="191">
        <f t="shared" si="21"/>
        <v>1.375</v>
      </c>
      <c r="G312" s="191">
        <f t="shared" si="21"/>
        <v>1.375</v>
      </c>
      <c r="H312" s="191">
        <f t="shared" si="21"/>
        <v>1.1827956989247312</v>
      </c>
      <c r="I312" s="191">
        <f t="shared" si="21"/>
        <v>1.1827956989247312</v>
      </c>
      <c r="J312" s="191">
        <f t="shared" si="21"/>
        <v>0.80808080808080818</v>
      </c>
      <c r="K312" s="191">
        <f t="shared" si="21"/>
        <v>1.8</v>
      </c>
      <c r="L312" s="191">
        <f t="shared" si="21"/>
        <v>0.88543861932764178</v>
      </c>
      <c r="M312" s="191">
        <f t="shared" si="21"/>
        <v>0.73278291115260863</v>
      </c>
      <c r="N312" s="215" t="s">
        <v>563</v>
      </c>
      <c r="O312" s="235">
        <f>IF($A$303&lt;&gt;"",IF($D303="V",$D312,IF($E303="V",$E312,IF($F303="V",$F312,IF($G303="V",$G312,IF($H303="V",$H312,IF($I303="V",$I312,IF($J303="V",$J312,IF($K303="V",$K312,IF($L303="V",$L312,IF($M303="V",$M312,"")))))))))),$D312)</f>
        <v>1.2668680131067402</v>
      </c>
      <c r="P312" s="236">
        <f>IF($A$303&lt;&gt;"",IF($D303="N",D313,IF($E303="N",$E313,IF($F303="N",$F313,IF($G303="N",$G313,IF($H303="N",$H313,IF($I303="N",$I313,IF($J303="N",$J313,IF($K303="N",$K313,IF($L303="N",$L313,IF($M303="N",$M313,SUMPRODUCT(D314:M314,D313:M313))))))))))),$D313)</f>
        <v>1.2668680131067402</v>
      </c>
    </row>
    <row r="313" spans="1:19" hidden="1" outlineLevel="2" x14ac:dyDescent="0.25">
      <c r="C313" s="234" t="s">
        <v>13</v>
      </c>
      <c r="D313" s="191">
        <f>SUMPRODUCT(E305:M305,E313:M313)</f>
        <v>1.2668680131067402</v>
      </c>
      <c r="E313" s="191">
        <f t="shared" si="21"/>
        <v>0.26666666666666666</v>
      </c>
      <c r="F313" s="191">
        <f t="shared" si="21"/>
        <v>1.375</v>
      </c>
      <c r="G313" s="191">
        <f t="shared" si="21"/>
        <v>1.375</v>
      </c>
      <c r="H313" s="191">
        <f t="shared" si="21"/>
        <v>1.1827956989247312</v>
      </c>
      <c r="I313" s="191">
        <f t="shared" si="21"/>
        <v>1.1827956989247312</v>
      </c>
      <c r="J313" s="191">
        <f t="shared" si="21"/>
        <v>0.80808080808080818</v>
      </c>
      <c r="K313" s="191">
        <f t="shared" si="21"/>
        <v>1.8</v>
      </c>
      <c r="L313" s="191">
        <f t="shared" si="21"/>
        <v>0.88543861932764178</v>
      </c>
      <c r="M313" s="191">
        <f t="shared" si="21"/>
        <v>0.73278291115260863</v>
      </c>
      <c r="N313" s="174" t="s">
        <v>564</v>
      </c>
    </row>
    <row r="314" spans="1:19" hidden="1" outlineLevel="2" x14ac:dyDescent="0.25">
      <c r="C314" s="185"/>
      <c r="D314" s="218">
        <f t="shared" ref="D314:M314" si="22">IF(D303="V",1,0)</f>
        <v>0</v>
      </c>
      <c r="E314" s="218">
        <f t="shared" si="22"/>
        <v>0</v>
      </c>
      <c r="F314" s="218">
        <f t="shared" si="22"/>
        <v>0</v>
      </c>
      <c r="G314" s="218">
        <f t="shared" si="22"/>
        <v>0</v>
      </c>
      <c r="H314" s="218">
        <f t="shared" si="22"/>
        <v>0</v>
      </c>
      <c r="I314" s="218">
        <f t="shared" si="22"/>
        <v>0</v>
      </c>
      <c r="J314" s="218">
        <f t="shared" si="22"/>
        <v>0</v>
      </c>
      <c r="K314" s="218">
        <f t="shared" si="22"/>
        <v>0</v>
      </c>
      <c r="L314" s="218">
        <f t="shared" si="22"/>
        <v>0</v>
      </c>
      <c r="M314" s="218">
        <f t="shared" si="22"/>
        <v>0</v>
      </c>
      <c r="N314" s="218"/>
    </row>
    <row r="315" spans="1:19" s="162" customFormat="1" hidden="1" outlineLevel="2" x14ac:dyDescent="0.25">
      <c r="B315" s="163" t="s">
        <v>676</v>
      </c>
      <c r="O315" s="164"/>
      <c r="P315" s="165"/>
      <c r="R315" s="164"/>
      <c r="S315" s="165"/>
    </row>
    <row r="316" spans="1:19" s="170" customFormat="1" hidden="1" outlineLevel="2" x14ac:dyDescent="0.25">
      <c r="A316" s="166"/>
      <c r="B316" s="167"/>
      <c r="C316" s="166"/>
      <c r="D316" s="166" t="s">
        <v>389</v>
      </c>
      <c r="E316" s="166" t="s">
        <v>6</v>
      </c>
      <c r="F316" s="166" t="s">
        <v>431</v>
      </c>
      <c r="G316" s="166" t="s">
        <v>432</v>
      </c>
      <c r="H316" s="166" t="s">
        <v>433</v>
      </c>
      <c r="I316" s="166" t="s">
        <v>434</v>
      </c>
      <c r="J316" s="166" t="s">
        <v>435</v>
      </c>
      <c r="K316" s="166" t="s">
        <v>7</v>
      </c>
      <c r="L316" s="166" t="s">
        <v>436</v>
      </c>
      <c r="M316" s="166" t="s">
        <v>437</v>
      </c>
      <c r="N316" s="166"/>
      <c r="O316" s="168" t="s">
        <v>319</v>
      </c>
      <c r="P316" s="169" t="s">
        <v>332</v>
      </c>
      <c r="R316" s="171"/>
      <c r="S316" s="172"/>
    </row>
    <row r="317" spans="1:19" hidden="1" outlineLevel="2" x14ac:dyDescent="0.25">
      <c r="B317" s="174" t="s">
        <v>571</v>
      </c>
      <c r="C317" s="234" t="s">
        <v>227</v>
      </c>
      <c r="D317" s="192"/>
      <c r="E317" s="214">
        <f>Daten_ALLG!$D$208</f>
        <v>15</v>
      </c>
      <c r="F317" s="214">
        <f>Daten_ALLG!$D$204</f>
        <v>208</v>
      </c>
      <c r="G317" s="214">
        <f>Daten_ALLG!$D$205</f>
        <v>292</v>
      </c>
      <c r="H317" s="214">
        <f>Daten_ALLG!$D$204</f>
        <v>208</v>
      </c>
      <c r="I317" s="214">
        <f>Daten_ALLG!$D$205</f>
        <v>292</v>
      </c>
      <c r="J317" s="214">
        <f>Daten_ALLG!$D$210</f>
        <v>240</v>
      </c>
      <c r="K317" s="214">
        <f>Daten_ALLG!$D$209</f>
        <v>444</v>
      </c>
      <c r="L317" s="214">
        <f>Daten_ALLG!$D$209</f>
        <v>444</v>
      </c>
      <c r="M317" s="214">
        <f>Daten_ALLG!$D$209</f>
        <v>444</v>
      </c>
    </row>
    <row r="318" spans="1:19" hidden="1" outlineLevel="2" x14ac:dyDescent="0.25">
      <c r="B318" s="174" t="s">
        <v>577</v>
      </c>
      <c r="C318" s="234" t="s">
        <v>13</v>
      </c>
      <c r="D318" s="214">
        <f>SUMPRODUCT(E305:M305,E318:M318)</f>
        <v>289.88393709565509</v>
      </c>
      <c r="E318" s="214">
        <f t="shared" ref="E318:M319" si="23">E$317/E306</f>
        <v>20</v>
      </c>
      <c r="F318" s="214">
        <f t="shared" si="23"/>
        <v>260</v>
      </c>
      <c r="G318" s="214">
        <f t="shared" si="23"/>
        <v>365</v>
      </c>
      <c r="H318" s="214">
        <f t="shared" si="23"/>
        <v>223.65591397849462</v>
      </c>
      <c r="I318" s="214">
        <f t="shared" si="23"/>
        <v>313.97849462365588</v>
      </c>
      <c r="J318" s="214">
        <f t="shared" si="23"/>
        <v>242.42424242424244</v>
      </c>
      <c r="K318" s="214">
        <f t="shared" si="23"/>
        <v>444</v>
      </c>
      <c r="L318" s="214">
        <f t="shared" si="23"/>
        <v>218.40819276748496</v>
      </c>
      <c r="M318" s="214">
        <f t="shared" si="23"/>
        <v>180.75311808431013</v>
      </c>
      <c r="N318" s="215" t="s">
        <v>563</v>
      </c>
      <c r="O318" s="216">
        <f>IF($A$303&lt;&gt;"",IF($D303="V",$D318,IF($E303="V",$E318,IF($F303="V",$F318,IF($G303="V",$G318,IF($H303="V",$H318,IF($I303="V",$I318,IF($J303="V",$J318,IF($K303="V",$K318,IF($L303="V",$L318,IF($M303="V",$M318,"")))))))))),$D318)</f>
        <v>289.88393709565509</v>
      </c>
      <c r="P318" s="217">
        <f>IF($A$303&lt;&gt;"",IF($D303="N",D319,IF($E303="N",$E319,IF($F303="N",$F319,IF($G303="N",$G319,IF($H303="N",$H319,IF($I303="N",$I319,IF($J303="N",$J319,IF($K303="N",$K319,IF($L303="N",$L319,IF($M303="N",$M319,SUMPRODUCT(D320:M320,D319:M319))))))))))),$D319)</f>
        <v>289.88393709565509</v>
      </c>
    </row>
    <row r="319" spans="1:19" hidden="1" outlineLevel="2" x14ac:dyDescent="0.25">
      <c r="C319" s="234" t="s">
        <v>13</v>
      </c>
      <c r="D319" s="214">
        <f>SUMPRODUCT(E305:M305,E319:M319)</f>
        <v>289.88393709565509</v>
      </c>
      <c r="E319" s="214">
        <f t="shared" si="23"/>
        <v>20</v>
      </c>
      <c r="F319" s="214">
        <f t="shared" si="23"/>
        <v>260</v>
      </c>
      <c r="G319" s="214">
        <f t="shared" si="23"/>
        <v>365</v>
      </c>
      <c r="H319" s="214">
        <f t="shared" si="23"/>
        <v>223.65591397849462</v>
      </c>
      <c r="I319" s="214">
        <f t="shared" si="23"/>
        <v>313.97849462365588</v>
      </c>
      <c r="J319" s="214">
        <f t="shared" si="23"/>
        <v>242.42424242424244</v>
      </c>
      <c r="K319" s="214">
        <f t="shared" si="23"/>
        <v>444</v>
      </c>
      <c r="L319" s="214">
        <f t="shared" si="23"/>
        <v>218.40819276748496</v>
      </c>
      <c r="M319" s="214">
        <f t="shared" si="23"/>
        <v>180.75311808431013</v>
      </c>
      <c r="N319" s="174" t="s">
        <v>564</v>
      </c>
    </row>
    <row r="320" spans="1:19" hidden="1" outlineLevel="2" x14ac:dyDescent="0.25">
      <c r="C320" s="185"/>
      <c r="D320" s="218">
        <f t="shared" ref="D320:M320" si="24">IF(D303="V",1,0)</f>
        <v>0</v>
      </c>
      <c r="E320" s="218">
        <f t="shared" si="24"/>
        <v>0</v>
      </c>
      <c r="F320" s="218">
        <f t="shared" si="24"/>
        <v>0</v>
      </c>
      <c r="G320" s="218">
        <f t="shared" si="24"/>
        <v>0</v>
      </c>
      <c r="H320" s="218">
        <f t="shared" si="24"/>
        <v>0</v>
      </c>
      <c r="I320" s="218">
        <f t="shared" si="24"/>
        <v>0</v>
      </c>
      <c r="J320" s="218">
        <f t="shared" si="24"/>
        <v>0</v>
      </c>
      <c r="K320" s="218">
        <f t="shared" si="24"/>
        <v>0</v>
      </c>
      <c r="L320" s="218">
        <f t="shared" si="24"/>
        <v>0</v>
      </c>
      <c r="M320" s="218">
        <f t="shared" si="24"/>
        <v>0</v>
      </c>
    </row>
    <row r="321" spans="1:19" s="162" customFormat="1" hidden="1" outlineLevel="2" x14ac:dyDescent="0.25">
      <c r="B321" s="163" t="s">
        <v>679</v>
      </c>
      <c r="O321" s="164"/>
      <c r="P321" s="165"/>
      <c r="R321" s="164"/>
      <c r="S321" s="165"/>
    </row>
    <row r="322" spans="1:19" s="170" customFormat="1" hidden="1" outlineLevel="2" x14ac:dyDescent="0.25">
      <c r="A322" s="166"/>
      <c r="B322" s="167"/>
      <c r="C322" s="166"/>
      <c r="D322" s="166" t="s">
        <v>389</v>
      </c>
      <c r="E322" s="166" t="s">
        <v>6</v>
      </c>
      <c r="F322" s="166" t="s">
        <v>431</v>
      </c>
      <c r="G322" s="166" t="s">
        <v>432</v>
      </c>
      <c r="H322" s="166" t="s">
        <v>433</v>
      </c>
      <c r="I322" s="166" t="s">
        <v>434</v>
      </c>
      <c r="J322" s="166" t="s">
        <v>435</v>
      </c>
      <c r="K322" s="166" t="s">
        <v>7</v>
      </c>
      <c r="L322" s="166" t="s">
        <v>436</v>
      </c>
      <c r="M322" s="166" t="s">
        <v>437</v>
      </c>
      <c r="N322" s="166"/>
      <c r="O322" s="168" t="s">
        <v>319</v>
      </c>
      <c r="P322" s="169" t="s">
        <v>332</v>
      </c>
      <c r="R322" s="171"/>
      <c r="S322" s="172"/>
    </row>
    <row r="323" spans="1:19" hidden="1" outlineLevel="2" x14ac:dyDescent="0.25">
      <c r="B323" s="174" t="s">
        <v>671</v>
      </c>
      <c r="C323" s="234" t="s">
        <v>227</v>
      </c>
      <c r="E323" s="237">
        <f>Daten_ALLG!$D$281</f>
        <v>0.05</v>
      </c>
      <c r="F323" s="237">
        <f>Daten_ALLG!$D$276</f>
        <v>8.6999999999999994E-2</v>
      </c>
      <c r="G323" s="237">
        <f>Daten_ALLG!$D$277</f>
        <v>0.122</v>
      </c>
      <c r="H323" s="237">
        <f>Daten_ALLG!$D$276</f>
        <v>8.6999999999999994E-2</v>
      </c>
      <c r="I323" s="237">
        <f>Daten_ALLG!$D$277</f>
        <v>0.122</v>
      </c>
      <c r="J323" s="237">
        <f>Daten_ALLG!$D$280</f>
        <v>0.10199999999999999</v>
      </c>
      <c r="K323" s="237">
        <f>Daten_ALLG!$D$278</f>
        <v>0.186</v>
      </c>
      <c r="L323" s="237">
        <f>Daten_ALLG!$D$279</f>
        <v>0.186</v>
      </c>
      <c r="M323" s="237">
        <f>Daten_ALLG!$D$279</f>
        <v>0.186</v>
      </c>
    </row>
    <row r="324" spans="1:19" hidden="1" outlineLevel="2" x14ac:dyDescent="0.25">
      <c r="B324" s="174" t="s">
        <v>678</v>
      </c>
      <c r="C324" s="234" t="s">
        <v>13</v>
      </c>
      <c r="D324" s="237">
        <f>SUMPRODUCT(E305:M305,E324:M324)</f>
        <v>0.12281805773185575</v>
      </c>
      <c r="E324" s="237">
        <f t="shared" ref="E324:M325" si="25">E$323/E306</f>
        <v>6.6666666666666666E-2</v>
      </c>
      <c r="F324" s="237">
        <f t="shared" si="25"/>
        <v>0.10874999999999999</v>
      </c>
      <c r="G324" s="237">
        <f t="shared" si="25"/>
        <v>0.1525</v>
      </c>
      <c r="H324" s="237">
        <f t="shared" si="25"/>
        <v>9.3548387096774183E-2</v>
      </c>
      <c r="I324" s="237">
        <f t="shared" si="25"/>
        <v>0.13118279569892471</v>
      </c>
      <c r="J324" s="237">
        <f t="shared" si="25"/>
        <v>0.10303030303030303</v>
      </c>
      <c r="K324" s="237">
        <f t="shared" si="25"/>
        <v>0.186</v>
      </c>
      <c r="L324" s="237">
        <f t="shared" si="25"/>
        <v>9.149532399718964E-2</v>
      </c>
      <c r="M324" s="237">
        <f t="shared" si="25"/>
        <v>7.572090081910289E-2</v>
      </c>
      <c r="N324" s="215" t="s">
        <v>563</v>
      </c>
      <c r="O324" s="235">
        <f>IF($A$303&lt;&gt;"",IF($D303="V",$D324,IF($E303="V",$E324,IF($F303="V",$F324,IF($G303="V",$G324,IF($H303="V",$H324,IF($I303="V",$I324,IF($J303="V",$J324,IF($K303="V",$K324,IF($L303="V",$L324,IF($M303="V",$M324,"")))))))))),$D324)</f>
        <v>0.12281805773185575</v>
      </c>
      <c r="P324" s="236">
        <f>IF($A$303&lt;&gt;"",IF($D303="N",D325,IF($E303="N",$E325,IF($F303="N",$F325,IF($G303="N",$G325,IF($H303="N",$H325,IF($I303="N",$I325,IF($J303="N",$J325,IF($K303="N",$K325,IF($L303="N",$L325,IF($M303="N",$M325,SUMPRODUCT(D326:M326,D325:M325))))))))))),$D325)</f>
        <v>0.12281805773185575</v>
      </c>
    </row>
    <row r="325" spans="1:19" hidden="1" outlineLevel="2" x14ac:dyDescent="0.25">
      <c r="C325" s="234" t="s">
        <v>13</v>
      </c>
      <c r="D325" s="237">
        <f>SUMPRODUCT(E305:M305,E325:M325)</f>
        <v>0.12281805773185575</v>
      </c>
      <c r="E325" s="237">
        <f t="shared" si="25"/>
        <v>6.6666666666666666E-2</v>
      </c>
      <c r="F325" s="237">
        <f t="shared" si="25"/>
        <v>0.10874999999999999</v>
      </c>
      <c r="G325" s="237">
        <f t="shared" si="25"/>
        <v>0.1525</v>
      </c>
      <c r="H325" s="237">
        <f t="shared" si="25"/>
        <v>9.3548387096774183E-2</v>
      </c>
      <c r="I325" s="237">
        <f t="shared" si="25"/>
        <v>0.13118279569892471</v>
      </c>
      <c r="J325" s="237">
        <f t="shared" si="25"/>
        <v>0.10303030303030303</v>
      </c>
      <c r="K325" s="237">
        <f t="shared" si="25"/>
        <v>0.186</v>
      </c>
      <c r="L325" s="237">
        <f t="shared" si="25"/>
        <v>9.149532399718964E-2</v>
      </c>
      <c r="M325" s="237">
        <f t="shared" si="25"/>
        <v>7.572090081910289E-2</v>
      </c>
      <c r="N325" s="174" t="s">
        <v>564</v>
      </c>
    </row>
    <row r="326" spans="1:19" hidden="1" outlineLevel="2" x14ac:dyDescent="0.25">
      <c r="C326" s="185"/>
      <c r="D326" s="218">
        <f t="shared" ref="D326:M326" si="26">IF(D303="V",1,0)</f>
        <v>0</v>
      </c>
      <c r="E326" s="218">
        <f t="shared" si="26"/>
        <v>0</v>
      </c>
      <c r="F326" s="218">
        <f t="shared" si="26"/>
        <v>0</v>
      </c>
      <c r="G326" s="218">
        <f t="shared" si="26"/>
        <v>0</v>
      </c>
      <c r="H326" s="218">
        <f t="shared" si="26"/>
        <v>0</v>
      </c>
      <c r="I326" s="218">
        <f t="shared" si="26"/>
        <v>0</v>
      </c>
      <c r="J326" s="218">
        <f t="shared" si="26"/>
        <v>0</v>
      </c>
      <c r="K326" s="218">
        <f t="shared" si="26"/>
        <v>0</v>
      </c>
      <c r="L326" s="218">
        <f t="shared" si="26"/>
        <v>0</v>
      </c>
      <c r="M326" s="218">
        <f t="shared" si="26"/>
        <v>0</v>
      </c>
    </row>
    <row r="327" spans="1:19" s="159" customFormat="1" ht="14.25" customHeight="1" collapsed="1" x14ac:dyDescent="0.25">
      <c r="A327" s="156" t="s">
        <v>465</v>
      </c>
      <c r="B327" s="157"/>
      <c r="C327" s="157"/>
      <c r="D327" s="158"/>
      <c r="O327" s="160"/>
      <c r="P327" s="161"/>
      <c r="R327" s="160"/>
      <c r="S327" s="161"/>
    </row>
    <row r="328" spans="1:19" s="162" customFormat="1" hidden="1" outlineLevel="2" x14ac:dyDescent="0.25">
      <c r="A328" s="212" t="str">
        <f>IF(A276="","",A276)</f>
        <v/>
      </c>
      <c r="B328" s="163" t="s">
        <v>461</v>
      </c>
      <c r="D328" s="212" t="str">
        <f t="shared" ref="D328:M328" si="27">IF(D276="","",D276)</f>
        <v/>
      </c>
      <c r="E328" s="212" t="str">
        <f t="shared" si="27"/>
        <v/>
      </c>
      <c r="F328" s="212" t="str">
        <f t="shared" si="27"/>
        <v/>
      </c>
      <c r="G328" s="212" t="str">
        <f t="shared" si="27"/>
        <v/>
      </c>
      <c r="H328" s="212" t="str">
        <f t="shared" si="27"/>
        <v/>
      </c>
      <c r="I328" s="212" t="str">
        <f t="shared" si="27"/>
        <v/>
      </c>
      <c r="J328" s="212" t="str">
        <f t="shared" si="27"/>
        <v/>
      </c>
      <c r="K328" s="212" t="str">
        <f t="shared" si="27"/>
        <v/>
      </c>
      <c r="L328" s="212" t="str">
        <f t="shared" si="27"/>
        <v/>
      </c>
      <c r="M328" s="212" t="str">
        <f t="shared" si="27"/>
        <v/>
      </c>
      <c r="O328" s="164"/>
      <c r="P328" s="165"/>
      <c r="R328" s="164" t="s">
        <v>457</v>
      </c>
      <c r="S328" s="165"/>
    </row>
    <row r="329" spans="1:19" s="170" customFormat="1" hidden="1" outlineLevel="2" x14ac:dyDescent="0.25">
      <c r="A329" s="166"/>
      <c r="B329" s="167"/>
      <c r="C329" s="166"/>
      <c r="D329" s="166" t="s">
        <v>389</v>
      </c>
      <c r="E329" s="166" t="s">
        <v>6</v>
      </c>
      <c r="F329" s="166" t="s">
        <v>431</v>
      </c>
      <c r="G329" s="166" t="s">
        <v>432</v>
      </c>
      <c r="H329" s="166" t="s">
        <v>433</v>
      </c>
      <c r="I329" s="170" t="s">
        <v>434</v>
      </c>
      <c r="J329" s="166" t="s">
        <v>435</v>
      </c>
      <c r="K329" s="166" t="s">
        <v>7</v>
      </c>
      <c r="L329" s="166" t="s">
        <v>436</v>
      </c>
      <c r="M329" s="166" t="s">
        <v>437</v>
      </c>
      <c r="N329" s="166"/>
      <c r="O329" s="168" t="s">
        <v>319</v>
      </c>
      <c r="P329" s="169" t="s">
        <v>332</v>
      </c>
      <c r="R329" s="171" t="s">
        <v>446</v>
      </c>
      <c r="S329" s="172" t="s">
        <v>456</v>
      </c>
    </row>
    <row r="330" spans="1:19" hidden="1" outlineLevel="2" x14ac:dyDescent="0.25">
      <c r="B330" s="174" t="s">
        <v>444</v>
      </c>
      <c r="C330" s="234" t="s">
        <v>427</v>
      </c>
      <c r="D330" s="214">
        <f>SUMPRODUCT(E278:M278,E330:M330)</f>
        <v>43.008105214475577</v>
      </c>
      <c r="E330" s="214">
        <f>E282*Daten_ALLG!$D$98</f>
        <v>1212.0469518325729</v>
      </c>
      <c r="L330" s="214">
        <f>L282*Daten_ALLG!$D$98</f>
        <v>840.35259455506684</v>
      </c>
      <c r="M330" s="214">
        <f>M282*Daten_ALLG!$D$98</f>
        <v>1253.7667036792247</v>
      </c>
      <c r="N330" s="215" t="s">
        <v>563</v>
      </c>
    </row>
    <row r="331" spans="1:19" hidden="1" outlineLevel="2" x14ac:dyDescent="0.25">
      <c r="C331" s="234" t="s">
        <v>427</v>
      </c>
      <c r="D331" s="214">
        <f>SUMPRODUCT(E278:M278,E331:M331)</f>
        <v>43.008105214475577</v>
      </c>
      <c r="E331" s="214">
        <f>E283*Daten_ALLG!$D$98</f>
        <v>1212.0469518325729</v>
      </c>
      <c r="L331" s="214">
        <f>L283*Daten_ALLG!$D$98</f>
        <v>840.35259455506684</v>
      </c>
      <c r="M331" s="214">
        <f>M283*Daten_ALLG!$D$98</f>
        <v>1253.7667036792247</v>
      </c>
      <c r="N331" s="174" t="s">
        <v>564</v>
      </c>
      <c r="O331" s="193">
        <f>IF($A$328&lt;&gt;"",IF($D328="V",$D330,IF($E328="V",$E330,IF($F328="V",$F330,IF($G328="V",$G330,IF($H328="V",$H330,IF($I328="V",$I330,IF($J328="V",$J330,IF($K328="V",$K330,IF($L328="V",$L330,IF($M328="V",$M330,"")))))))))),$D330)</f>
        <v>43.008105214475577</v>
      </c>
      <c r="P331" s="194">
        <f>IF($A$328&lt;&gt;"",IF($D328="N",D331,IF($E328="N",$E331,IF($F328="N",$F331,IF($G328="N",$G331,IF($H328="N",$H331,IF($I328="N",$I331,IF($J328="N",$J331,IF($K328="N",$K331,IF($L328="N",$L331,IF($M328="N",$M331,SUMPRODUCT(D332:M332,D331:M331))))))))))),$D331)</f>
        <v>43.008105214475577</v>
      </c>
      <c r="Q331" s="185" t="s">
        <v>427</v>
      </c>
      <c r="R331" s="180">
        <f>IF(A328&lt;&gt;"",IF(OR(L328="n",M328="n",E328="n"),P331,0),0)</f>
        <v>0</v>
      </c>
    </row>
    <row r="332" spans="1:19" hidden="1" outlineLevel="2" x14ac:dyDescent="0.25">
      <c r="C332" s="185"/>
      <c r="D332" s="218">
        <f>IF(D328="V",1,0)</f>
        <v>0</v>
      </c>
      <c r="E332" s="218">
        <f t="shared" ref="E332:M332" si="28">IF(E328="V",1,0)</f>
        <v>0</v>
      </c>
      <c r="F332" s="218">
        <f t="shared" si="28"/>
        <v>0</v>
      </c>
      <c r="G332" s="218">
        <f t="shared" si="28"/>
        <v>0</v>
      </c>
      <c r="H332" s="218">
        <f t="shared" si="28"/>
        <v>0</v>
      </c>
      <c r="I332" s="218">
        <f t="shared" si="28"/>
        <v>0</v>
      </c>
      <c r="J332" s="218">
        <f t="shared" si="28"/>
        <v>0</v>
      </c>
      <c r="K332" s="218">
        <f t="shared" si="28"/>
        <v>0</v>
      </c>
      <c r="L332" s="218">
        <f t="shared" si="28"/>
        <v>0</v>
      </c>
      <c r="M332" s="218">
        <f t="shared" si="28"/>
        <v>0</v>
      </c>
    </row>
    <row r="333" spans="1:19" s="162" customFormat="1" hidden="1" outlineLevel="2" x14ac:dyDescent="0.25">
      <c r="B333" s="163" t="s">
        <v>443</v>
      </c>
      <c r="O333" s="164"/>
      <c r="P333" s="165"/>
      <c r="R333" s="164"/>
      <c r="S333" s="165"/>
    </row>
    <row r="334" spans="1:19" s="170" customFormat="1" hidden="1" outlineLevel="2" x14ac:dyDescent="0.25">
      <c r="A334" s="166"/>
      <c r="B334" s="167"/>
      <c r="C334" s="166"/>
      <c r="D334" s="166"/>
      <c r="E334" s="166"/>
      <c r="F334" s="166"/>
      <c r="G334" s="166"/>
      <c r="H334" s="166"/>
      <c r="J334" s="166"/>
      <c r="K334" s="166"/>
      <c r="L334" s="166"/>
      <c r="M334" s="166"/>
      <c r="N334" s="166"/>
      <c r="O334" s="168" t="s">
        <v>319</v>
      </c>
      <c r="P334" s="169" t="s">
        <v>332</v>
      </c>
      <c r="R334" s="171"/>
      <c r="S334" s="172"/>
    </row>
    <row r="335" spans="1:19" hidden="1" outlineLevel="2" x14ac:dyDescent="0.25">
      <c r="B335" s="174" t="s">
        <v>447</v>
      </c>
      <c r="C335" s="234" t="s">
        <v>355</v>
      </c>
      <c r="D335" s="214">
        <f>Daten_ALLG!$L$105*O331^Daten_ALLG!$L$107*(O134-O26)</f>
        <v>9.7408451405529561</v>
      </c>
      <c r="E335" s="214">
        <f>Daten_ALLG!$L$105*P331^Daten_ALLG!$L$107*(P134-P26)</f>
        <v>9.7408451405529561</v>
      </c>
      <c r="O335" s="238"/>
      <c r="P335" s="239"/>
    </row>
    <row r="336" spans="1:19" hidden="1" outlineLevel="2" x14ac:dyDescent="0.25">
      <c r="B336" s="174" t="s">
        <v>478</v>
      </c>
      <c r="C336" s="234" t="s">
        <v>348</v>
      </c>
      <c r="O336" s="216">
        <f>D335*O18*24/1000</f>
        <v>63.042665374281221</v>
      </c>
      <c r="P336" s="217">
        <f>E335*P18*24/1000</f>
        <v>63.042665374281221</v>
      </c>
    </row>
    <row r="337" spans="1:19" s="162" customFormat="1" hidden="1" outlineLevel="2" x14ac:dyDescent="0.25">
      <c r="A337" s="212" t="str">
        <f>IF(A349="","",A349)</f>
        <v/>
      </c>
      <c r="B337" s="163" t="s">
        <v>462</v>
      </c>
      <c r="D337" s="212" t="str">
        <f>IF(D349="","",D349)</f>
        <v/>
      </c>
      <c r="E337" s="212" t="str">
        <f>IF(E349="","",E349)</f>
        <v/>
      </c>
      <c r="F337" s="212" t="str">
        <f>IF(F349="","",F349)</f>
        <v/>
      </c>
      <c r="G337" s="212"/>
      <c r="H337" s="212"/>
      <c r="I337" s="212"/>
      <c r="J337" s="212"/>
      <c r="K337" s="212"/>
      <c r="L337" s="212"/>
      <c r="M337" s="212"/>
      <c r="O337" s="164"/>
      <c r="P337" s="165"/>
      <c r="R337" s="164" t="s">
        <v>457</v>
      </c>
      <c r="S337" s="165"/>
    </row>
    <row r="338" spans="1:19" s="170" customFormat="1" hidden="1" outlineLevel="2" x14ac:dyDescent="0.25">
      <c r="A338" s="166"/>
      <c r="B338" s="167"/>
      <c r="C338" s="166"/>
      <c r="D338" s="166" t="s">
        <v>389</v>
      </c>
      <c r="E338" s="166" t="s">
        <v>180</v>
      </c>
      <c r="F338" s="166" t="s">
        <v>23</v>
      </c>
      <c r="H338" s="166"/>
      <c r="J338" s="166"/>
      <c r="K338" s="166"/>
      <c r="L338" s="166"/>
      <c r="M338" s="166"/>
      <c r="N338" s="166"/>
      <c r="O338" s="168" t="s">
        <v>319</v>
      </c>
      <c r="P338" s="169" t="s">
        <v>332</v>
      </c>
      <c r="R338" s="171" t="s">
        <v>446</v>
      </c>
      <c r="S338" s="172" t="s">
        <v>456</v>
      </c>
    </row>
    <row r="339" spans="1:19" hidden="1" outlineLevel="2" x14ac:dyDescent="0.25">
      <c r="B339" s="174" t="s">
        <v>444</v>
      </c>
      <c r="C339" s="234" t="s">
        <v>427</v>
      </c>
      <c r="D339" s="214">
        <f>E351*E339+F351*F339</f>
        <v>374.8093579994611</v>
      </c>
      <c r="E339" s="214">
        <f>Daten_ALLG!$D$101*Daten_MFH!$D$18+Daten_ALLG!$F$101</f>
        <v>303.50521520871564</v>
      </c>
      <c r="F339" s="214">
        <f>Daten_ALLG!$D$102*F353</f>
        <v>1095.7734684392206</v>
      </c>
      <c r="L339" s="220"/>
      <c r="M339" s="220"/>
      <c r="O339" s="193">
        <f>IF($A337&lt;&gt;"",IF($D337="V",$D339,IF($E337="V",$E339,IF($F337="V",F339,""))),$D339)</f>
        <v>374.8093579994611</v>
      </c>
      <c r="P339" s="194">
        <f>IF($A337&lt;&gt;"",IF($D337="N",$D339,IF($E337="N",$E339,IF($F337="N",F339,O339))),$D339)</f>
        <v>374.8093579994611</v>
      </c>
      <c r="Q339" s="185" t="s">
        <v>427</v>
      </c>
      <c r="R339" s="180">
        <f>IF(A303="",0,IF(F349="N",F339,IF(E349="N",E339,0)))</f>
        <v>0</v>
      </c>
      <c r="S339" s="181">
        <f>IF(A303="",0,IF(R339=0,0,E339))</f>
        <v>0</v>
      </c>
    </row>
    <row r="340" spans="1:19" s="162" customFormat="1" hidden="1" outlineLevel="2" x14ac:dyDescent="0.25">
      <c r="B340" s="163" t="s">
        <v>464</v>
      </c>
      <c r="O340" s="164"/>
      <c r="P340" s="165"/>
      <c r="R340" s="164"/>
      <c r="S340" s="165"/>
    </row>
    <row r="341" spans="1:19" s="170" customFormat="1" hidden="1" outlineLevel="2" x14ac:dyDescent="0.25">
      <c r="A341" s="166"/>
      <c r="B341" s="167"/>
      <c r="C341" s="166"/>
      <c r="D341" s="166"/>
      <c r="E341" s="166"/>
      <c r="F341" s="166"/>
      <c r="G341" s="166"/>
      <c r="H341" s="166"/>
      <c r="J341" s="166"/>
      <c r="K341" s="166"/>
      <c r="L341" s="166"/>
      <c r="M341" s="166"/>
      <c r="N341" s="166"/>
      <c r="O341" s="168" t="s">
        <v>319</v>
      </c>
      <c r="P341" s="169" t="s">
        <v>332</v>
      </c>
      <c r="R341" s="171"/>
      <c r="S341" s="172"/>
    </row>
    <row r="342" spans="1:19" hidden="1" outlineLevel="2" x14ac:dyDescent="0.25">
      <c r="B342" s="174" t="s">
        <v>447</v>
      </c>
      <c r="C342" s="234" t="s">
        <v>355</v>
      </c>
      <c r="D342" s="214">
        <f>Daten_ALLG!$L$105*O339^Daten_ALLG!$L$107*(Daten_ALLG!$D$37-O26)</f>
        <v>73.980083955581435</v>
      </c>
      <c r="E342" s="214">
        <f>Daten_ALLG!$L$105*P339^Daten_ALLG!$L$107*(Daten_ALLG!$D$37-P26)</f>
        <v>73.980083955581435</v>
      </c>
      <c r="O342" s="238"/>
      <c r="P342" s="239"/>
    </row>
    <row r="343" spans="1:19" hidden="1" outlineLevel="2" x14ac:dyDescent="0.25">
      <c r="B343" s="174" t="s">
        <v>479</v>
      </c>
      <c r="C343" s="234" t="s">
        <v>348</v>
      </c>
      <c r="O343" s="216">
        <f>D342*8760/1000</f>
        <v>648.06553545089332</v>
      </c>
      <c r="P343" s="217">
        <f>E342*8760/1000</f>
        <v>648.06553545089332</v>
      </c>
    </row>
    <row r="344" spans="1:19" s="159" customFormat="1" ht="14.25" customHeight="1" collapsed="1" x14ac:dyDescent="0.25">
      <c r="A344" s="156" t="s">
        <v>190</v>
      </c>
      <c r="B344" s="157"/>
      <c r="C344" s="157"/>
      <c r="D344" s="158"/>
      <c r="O344" s="160"/>
      <c r="P344" s="161"/>
      <c r="R344" s="160"/>
      <c r="S344" s="161"/>
    </row>
    <row r="345" spans="1:19" s="162" customFormat="1" hidden="1" outlineLevel="2" x14ac:dyDescent="0.25">
      <c r="B345" s="163" t="s">
        <v>365</v>
      </c>
      <c r="O345" s="164"/>
      <c r="P345" s="165"/>
      <c r="R345" s="164"/>
      <c r="S345" s="165"/>
    </row>
    <row r="346" spans="1:19" s="170" customFormat="1" hidden="1" outlineLevel="2" x14ac:dyDescent="0.25">
      <c r="A346" s="166"/>
      <c r="B346" s="167"/>
      <c r="C346" s="166"/>
      <c r="D346" s="166"/>
      <c r="E346" s="166"/>
      <c r="F346" s="166"/>
      <c r="G346" s="166"/>
      <c r="H346" s="166"/>
      <c r="J346" s="166"/>
      <c r="K346" s="166"/>
      <c r="L346" s="166"/>
      <c r="M346" s="166"/>
      <c r="N346" s="166"/>
      <c r="O346" s="168" t="s">
        <v>319</v>
      </c>
      <c r="P346" s="169" t="s">
        <v>332</v>
      </c>
      <c r="R346" s="171"/>
      <c r="S346" s="172"/>
    </row>
    <row r="347" spans="1:19" hidden="1" outlineLevel="2" x14ac:dyDescent="0.25">
      <c r="B347" s="174" t="s">
        <v>467</v>
      </c>
      <c r="C347" s="185" t="s">
        <v>348</v>
      </c>
      <c r="O347" s="216">
        <f>(Daten_ALLG!$L$166*O94^Daten_ALLG!$L$168)*Daten_MFH!$D$16</f>
        <v>643.0174811909601</v>
      </c>
      <c r="P347" s="217">
        <f>(Daten_ALLG!$L$166*P94^Daten_ALLG!$L$168)*Daten_MFH!$D$16</f>
        <v>643.0174811909601</v>
      </c>
    </row>
    <row r="348" spans="1:19" s="159" customFormat="1" ht="14.25" customHeight="1" thickBot="1" x14ac:dyDescent="0.3">
      <c r="A348" s="156" t="s">
        <v>458</v>
      </c>
      <c r="B348" s="157"/>
      <c r="C348" s="157"/>
      <c r="D348" s="158"/>
      <c r="O348" s="160"/>
      <c r="P348" s="161"/>
      <c r="R348" s="160"/>
      <c r="S348" s="161"/>
    </row>
    <row r="349" spans="1:19" s="162" customFormat="1" ht="15.75" outlineLevel="1" thickBot="1" x14ac:dyDescent="0.3">
      <c r="A349" s="335"/>
      <c r="B349" s="163" t="s">
        <v>453</v>
      </c>
      <c r="D349" s="335"/>
      <c r="E349" s="335"/>
      <c r="F349" s="335"/>
      <c r="O349" s="164"/>
      <c r="P349" s="165"/>
      <c r="R349" s="164" t="s">
        <v>457</v>
      </c>
      <c r="S349" s="165"/>
    </row>
    <row r="350" spans="1:19" s="170" customFormat="1" ht="15.75" outlineLevel="1" collapsed="1" thickBot="1" x14ac:dyDescent="0.3">
      <c r="A350" s="166"/>
      <c r="B350" s="167"/>
      <c r="C350" s="166"/>
      <c r="D350" s="166" t="s">
        <v>389</v>
      </c>
      <c r="E350" s="166" t="s">
        <v>191</v>
      </c>
      <c r="F350" s="166" t="s">
        <v>45</v>
      </c>
      <c r="G350" s="166"/>
      <c r="H350" s="166"/>
      <c r="J350" s="166"/>
      <c r="K350" s="166"/>
      <c r="L350" s="166"/>
      <c r="M350" s="166"/>
      <c r="N350" s="166"/>
      <c r="O350" s="168" t="s">
        <v>319</v>
      </c>
      <c r="P350" s="169" t="s">
        <v>332</v>
      </c>
      <c r="R350" s="171" t="s">
        <v>454</v>
      </c>
      <c r="S350" s="172" t="s">
        <v>456</v>
      </c>
    </row>
    <row r="351" spans="1:19" ht="15.75" hidden="1" outlineLevel="2" thickBot="1" x14ac:dyDescent="0.3">
      <c r="B351" s="174" t="s">
        <v>157</v>
      </c>
      <c r="C351" s="185" t="s">
        <v>13</v>
      </c>
      <c r="E351" s="191">
        <f>1-F351</f>
        <v>0.91</v>
      </c>
      <c r="F351" s="191">
        <f>Daten_MFH!$D$105</f>
        <v>0.09</v>
      </c>
      <c r="J351" s="197"/>
      <c r="K351" s="197"/>
      <c r="L351" s="197"/>
      <c r="M351" s="197"/>
      <c r="N351" s="197"/>
    </row>
    <row r="352" spans="1:19" ht="15.75" hidden="1" outlineLevel="2" thickBot="1" x14ac:dyDescent="0.3">
      <c r="B352" s="174" t="s">
        <v>480</v>
      </c>
      <c r="C352" s="234" t="s">
        <v>348</v>
      </c>
      <c r="D352" s="187">
        <f>F351*F352</f>
        <v>591.71767295717905</v>
      </c>
      <c r="E352" s="187">
        <v>0</v>
      </c>
      <c r="F352" s="184">
        <f>F353*Daten_ALLG!$L$147</f>
        <v>6574.6408106353229</v>
      </c>
      <c r="G352" s="197"/>
      <c r="H352" s="197"/>
      <c r="O352" s="216">
        <f>IF($A349&lt;&gt;"",IF($D349="V",$D352,IF($E349="V",$E352,IF($F349="V",F352,""))),$D352)</f>
        <v>591.71767295717905</v>
      </c>
      <c r="P352" s="217">
        <f>IF($A349&lt;&gt;"",IF($D349="N",$D352,IF($E349="N",$E352,IF($F349="N",F352,O352))),$D352)</f>
        <v>591.71767295717905</v>
      </c>
      <c r="Q352" s="185" t="s">
        <v>50</v>
      </c>
      <c r="R352" s="200">
        <f>IF(F349="n",F353,0)</f>
        <v>0</v>
      </c>
    </row>
    <row r="353" spans="1:19" ht="15.75" hidden="1" outlineLevel="2" thickBot="1" x14ac:dyDescent="0.3">
      <c r="B353" s="174" t="s">
        <v>452</v>
      </c>
      <c r="C353" s="175" t="s">
        <v>50</v>
      </c>
      <c r="D353" s="207">
        <f>F351*F353</f>
        <v>1.6436602026588307</v>
      </c>
      <c r="E353" s="223">
        <v>0</v>
      </c>
      <c r="F353" s="213">
        <f>Daten_MFH!$D$18*Daten_ALLG!$D$144</f>
        <v>18.262891140653675</v>
      </c>
    </row>
    <row r="354" spans="1:19" s="162" customFormat="1" ht="15.75" outlineLevel="1" thickBot="1" x14ac:dyDescent="0.3">
      <c r="A354" s="335"/>
      <c r="B354" s="163" t="s">
        <v>459</v>
      </c>
      <c r="D354" s="335"/>
      <c r="E354" s="335"/>
      <c r="F354" s="335"/>
      <c r="O354" s="164"/>
      <c r="P354" s="165"/>
      <c r="R354" s="164" t="s">
        <v>457</v>
      </c>
      <c r="S354" s="165"/>
    </row>
    <row r="355" spans="1:19" s="170" customFormat="1" outlineLevel="1" collapsed="1" x14ac:dyDescent="0.25">
      <c r="A355" s="166"/>
      <c r="B355" s="167"/>
      <c r="C355" s="166"/>
      <c r="D355" s="166" t="s">
        <v>65</v>
      </c>
      <c r="E355" s="166" t="s">
        <v>191</v>
      </c>
      <c r="F355" s="166" t="s">
        <v>45</v>
      </c>
      <c r="G355" s="166"/>
      <c r="H355" s="166"/>
      <c r="J355" s="166"/>
      <c r="K355" s="166"/>
      <c r="L355" s="166"/>
      <c r="M355" s="166"/>
      <c r="N355" s="166"/>
      <c r="O355" s="168" t="s">
        <v>319</v>
      </c>
      <c r="P355" s="169" t="s">
        <v>332</v>
      </c>
      <c r="R355" s="171" t="s">
        <v>460</v>
      </c>
      <c r="S355" s="172" t="s">
        <v>456</v>
      </c>
    </row>
    <row r="356" spans="1:19" hidden="1" outlineLevel="2" x14ac:dyDescent="0.25">
      <c r="B356" s="174" t="s">
        <v>157</v>
      </c>
      <c r="C356" s="185" t="s">
        <v>13</v>
      </c>
      <c r="D356" s="230"/>
      <c r="E356" s="191">
        <f>1-F356</f>
        <v>0.94</v>
      </c>
      <c r="F356" s="191">
        <f>Daten_MFH!$D$108</f>
        <v>0.06</v>
      </c>
      <c r="G356" s="192"/>
      <c r="H356" s="192"/>
      <c r="J356" s="192"/>
      <c r="K356" s="192"/>
      <c r="L356" s="192"/>
      <c r="M356" s="192"/>
      <c r="N356" s="192"/>
    </row>
    <row r="357" spans="1:19" hidden="1" outlineLevel="2" x14ac:dyDescent="0.25">
      <c r="B357" s="174" t="s">
        <v>372</v>
      </c>
      <c r="C357" s="185" t="s">
        <v>348</v>
      </c>
      <c r="D357" s="214">
        <f>E356*E357+F356*F357</f>
        <v>901.58799879809214</v>
      </c>
      <c r="E357" s="223">
        <v>0</v>
      </c>
      <c r="F357" s="214">
        <f>F358*Daten_ALLG!$D$154</f>
        <v>15026.46664663487</v>
      </c>
      <c r="G357" s="185"/>
      <c r="H357" s="185"/>
      <c r="J357" s="220"/>
      <c r="K357" s="220"/>
      <c r="L357" s="220"/>
      <c r="M357" s="220"/>
      <c r="N357" s="220"/>
      <c r="O357" s="216">
        <f>IF($A354&lt;&gt;"",IF($D354="V",$D357,IF($E354="V",$E357,IF($F354="V",F357,""))),$D357)</f>
        <v>901.58799879809214</v>
      </c>
      <c r="P357" s="217">
        <f>IF($A354&lt;&gt;"",IF($D354="N",$D357,IF($E354="N",$E357,IF($F354="N",F357,O357))),$D357)</f>
        <v>901.58799879809214</v>
      </c>
      <c r="Q357" s="185" t="s">
        <v>368</v>
      </c>
      <c r="R357" s="200">
        <f>IF(F354="N",F358,0)</f>
        <v>0</v>
      </c>
    </row>
    <row r="358" spans="1:19" hidden="1" outlineLevel="2" x14ac:dyDescent="0.25">
      <c r="B358" s="174" t="s">
        <v>370</v>
      </c>
      <c r="C358" s="185" t="s">
        <v>368</v>
      </c>
      <c r="D358" s="207">
        <f>F356*F358</f>
        <v>0.90158799879809215</v>
      </c>
      <c r="E358" s="223">
        <v>0</v>
      </c>
      <c r="F358" s="202">
        <f>F359/Daten_ALLG!$D$151</f>
        <v>15.026466646634869</v>
      </c>
    </row>
    <row r="359" spans="1:19" hidden="1" outlineLevel="2" x14ac:dyDescent="0.25">
      <c r="B359" s="174" t="s">
        <v>371</v>
      </c>
      <c r="C359" s="185" t="s">
        <v>50</v>
      </c>
      <c r="F359" s="214">
        <f>Daten_MFH!$D$25*Daten_ALLG!$D$150</f>
        <v>75.13233323317435</v>
      </c>
    </row>
    <row r="360" spans="1:19" s="159" customFormat="1" ht="14.25" customHeight="1" collapsed="1" x14ac:dyDescent="0.25">
      <c r="A360" s="156" t="s">
        <v>706</v>
      </c>
      <c r="B360" s="157"/>
      <c r="C360" s="157"/>
      <c r="D360" s="158"/>
      <c r="O360" s="160"/>
      <c r="P360" s="161"/>
      <c r="R360" s="160"/>
      <c r="S360" s="161"/>
    </row>
    <row r="361" spans="1:19" s="162" customFormat="1" hidden="1" outlineLevel="2" x14ac:dyDescent="0.25">
      <c r="B361" s="163" t="s">
        <v>770</v>
      </c>
      <c r="O361" s="164"/>
      <c r="P361" s="165"/>
      <c r="R361" s="164"/>
      <c r="S361" s="165"/>
    </row>
    <row r="362" spans="1:19" s="170" customFormat="1" hidden="1" outlineLevel="2" x14ac:dyDescent="0.25">
      <c r="A362" s="166"/>
      <c r="B362" s="167"/>
      <c r="C362" s="166"/>
      <c r="D362" s="166"/>
      <c r="E362" s="166"/>
      <c r="F362" s="166"/>
      <c r="G362" s="166"/>
      <c r="H362" s="166"/>
      <c r="J362" s="166"/>
      <c r="K362" s="166"/>
      <c r="L362" s="166"/>
      <c r="M362" s="166"/>
      <c r="N362" s="166"/>
      <c r="O362" s="168" t="s">
        <v>319</v>
      </c>
      <c r="P362" s="169" t="s">
        <v>332</v>
      </c>
      <c r="R362" s="171"/>
      <c r="S362" s="172"/>
    </row>
    <row r="363" spans="1:19" hidden="1" outlineLevel="2" x14ac:dyDescent="0.25">
      <c r="B363" s="174" t="s">
        <v>691</v>
      </c>
      <c r="C363" s="174" t="s">
        <v>694</v>
      </c>
      <c r="D363" s="185"/>
      <c r="F363" s="192" t="s">
        <v>348</v>
      </c>
      <c r="J363" s="197"/>
      <c r="K363" s="197"/>
      <c r="L363" s="197"/>
      <c r="M363" s="197"/>
      <c r="N363" s="197"/>
      <c r="O363" s="221">
        <f>IF($A354&lt;&gt;"",IF($D354="V",0,IF($E354="V",0,IF($F354="V",F357,0))),0)</f>
        <v>0</v>
      </c>
      <c r="P363" s="222">
        <f>IF($A354&lt;&gt;"",IF($D354="n",0,IF($E354="n",0,IF($F354="n",F357,O363))),0)</f>
        <v>0</v>
      </c>
    </row>
    <row r="364" spans="1:19" hidden="1" outlineLevel="2" x14ac:dyDescent="0.25">
      <c r="B364" s="174" t="s">
        <v>692</v>
      </c>
      <c r="C364" s="174" t="s">
        <v>694</v>
      </c>
      <c r="D364" s="185"/>
      <c r="F364" s="192" t="s">
        <v>348</v>
      </c>
      <c r="J364" s="197"/>
      <c r="K364" s="197"/>
      <c r="L364" s="197"/>
      <c r="M364" s="197"/>
      <c r="N364" s="197"/>
      <c r="O364" s="180">
        <f>IF($A354&lt;&gt;"",IF($D354="V",$D357,IF($E354="V",0,IF($F354="V",0,0))),D357)</f>
        <v>901.58799879809214</v>
      </c>
      <c r="P364" s="181">
        <f>IF($A354&lt;&gt;"",IF($D354="n",$D357,IF($E354="n",0,IF($F354="n",0,O364))),D357)</f>
        <v>901.58799879809214</v>
      </c>
    </row>
    <row r="365" spans="1:19" s="162" customFormat="1" hidden="1" outlineLevel="2" x14ac:dyDescent="0.25">
      <c r="B365" s="163" t="s">
        <v>774</v>
      </c>
      <c r="O365" s="164"/>
      <c r="P365" s="165"/>
      <c r="R365" s="164"/>
      <c r="S365" s="165"/>
    </row>
    <row r="366" spans="1:19" s="170" customFormat="1" hidden="1" outlineLevel="2" x14ac:dyDescent="0.25">
      <c r="A366" s="166"/>
      <c r="B366" s="167"/>
      <c r="C366" s="166"/>
      <c r="D366" s="166"/>
      <c r="E366" s="166"/>
      <c r="F366" s="166"/>
      <c r="G366" s="166"/>
      <c r="H366" s="166"/>
      <c r="J366" s="166"/>
      <c r="K366" s="166"/>
      <c r="L366" s="166"/>
      <c r="M366" s="166"/>
      <c r="N366" s="166"/>
      <c r="O366" s="168" t="s">
        <v>319</v>
      </c>
      <c r="P366" s="169" t="s">
        <v>332</v>
      </c>
      <c r="R366" s="171"/>
      <c r="S366" s="172"/>
    </row>
    <row r="367" spans="1:19" hidden="1" outlineLevel="2" x14ac:dyDescent="0.25">
      <c r="B367" s="174" t="s">
        <v>691</v>
      </c>
      <c r="D367" s="174" t="s">
        <v>686</v>
      </c>
      <c r="E367" s="185" t="s">
        <v>654</v>
      </c>
      <c r="F367" s="192"/>
      <c r="J367" s="197"/>
      <c r="K367" s="197"/>
      <c r="L367" s="197"/>
      <c r="M367" s="197"/>
      <c r="N367" s="197"/>
      <c r="O367" s="221">
        <v>1</v>
      </c>
      <c r="P367" s="222">
        <v>1</v>
      </c>
    </row>
    <row r="368" spans="1:19" hidden="1" outlineLevel="2" x14ac:dyDescent="0.25">
      <c r="D368" s="174" t="s">
        <v>688</v>
      </c>
      <c r="E368" s="185" t="s">
        <v>654</v>
      </c>
      <c r="F368" s="192"/>
      <c r="J368" s="197"/>
      <c r="K368" s="197"/>
      <c r="L368" s="197"/>
      <c r="M368" s="197"/>
      <c r="N368" s="197"/>
      <c r="O368" s="221">
        <f>IF($A$276="",0,IF($D276="V",0,IF($E276="V",0,IF($F276="V",0,IF($G276="V",0,IF($H276="V",0,IF($I276="V",0,IF($J276="V",0,IF($K276="V",1,IF($L276="V",1,IF($M276="V",1,0)))))))))))</f>
        <v>0</v>
      </c>
      <c r="P368" s="222">
        <f>IF($A$276="",0,IF($D276="N",0,IF($E276="N",0,IF($F276="N",0,IF($G276="N",0,IF($H276="N",0,IF($I276="N",0,IF($J276="N",0,IF($K276="N",1,IF($L276="N",1,IF($M276="N",1,O368)))))))))))</f>
        <v>0</v>
      </c>
    </row>
    <row r="369" spans="1:19" hidden="1" outlineLevel="2" x14ac:dyDescent="0.25">
      <c r="D369" s="174" t="s">
        <v>687</v>
      </c>
      <c r="E369" s="185" t="s">
        <v>654</v>
      </c>
      <c r="F369" s="192"/>
      <c r="J369" s="197"/>
      <c r="K369" s="197"/>
      <c r="L369" s="197"/>
      <c r="M369" s="197"/>
      <c r="N369" s="197"/>
      <c r="O369" s="221">
        <f>IF($A$303="",0,IF($D303="V",0,IF($E303="V",0,IF($F303="V",0,IF($G303="V",0,IF($H303="V",0,IF($I303="V",0,IF($J303="V",0,IF($K303="V",1,IF($L303="V",1,IF($M303="V",1,0)))))))))))</f>
        <v>0</v>
      </c>
      <c r="P369" s="222">
        <f>IF($A$303="",0,IF($D303="N",0,IF($E303="N",0,IF($F303="N",0,IF($G303="N",0,IF($H303="N",0,IF($I303="N",0,IF($J303="N",0,IF($K303="N",1,IF($L303="N",1,IF($M303="N",1,O369)))))))))))</f>
        <v>0</v>
      </c>
    </row>
    <row r="370" spans="1:19" s="162" customFormat="1" hidden="1" outlineLevel="2" x14ac:dyDescent="0.25">
      <c r="B370" s="163" t="s">
        <v>771</v>
      </c>
      <c r="O370" s="164"/>
      <c r="P370" s="165"/>
      <c r="R370" s="164"/>
      <c r="S370" s="165"/>
    </row>
    <row r="371" spans="1:19" s="170" customFormat="1" hidden="1" outlineLevel="2" x14ac:dyDescent="0.25">
      <c r="A371" s="166"/>
      <c r="B371" s="167"/>
      <c r="C371" s="166"/>
      <c r="D371" s="166"/>
      <c r="E371" s="166"/>
      <c r="F371" s="166"/>
      <c r="G371" s="166"/>
      <c r="H371" s="166"/>
      <c r="J371" s="166"/>
      <c r="K371" s="166"/>
      <c r="L371" s="166"/>
      <c r="M371" s="166"/>
      <c r="N371" s="166"/>
      <c r="O371" s="168" t="s">
        <v>319</v>
      </c>
      <c r="P371" s="169" t="s">
        <v>332</v>
      </c>
      <c r="R371" s="171"/>
      <c r="S371" s="172"/>
    </row>
    <row r="372" spans="1:19" hidden="1" outlineLevel="2" x14ac:dyDescent="0.25">
      <c r="B372" s="174" t="s">
        <v>691</v>
      </c>
      <c r="C372" s="174" t="s">
        <v>689</v>
      </c>
      <c r="D372" s="185"/>
      <c r="F372" s="192" t="s">
        <v>348</v>
      </c>
      <c r="J372" s="197"/>
      <c r="K372" s="197"/>
      <c r="L372" s="197"/>
      <c r="M372" s="197"/>
      <c r="N372" s="197"/>
      <c r="O372" s="221">
        <f>O37*O367</f>
        <v>15229.997378594768</v>
      </c>
      <c r="P372" s="222">
        <f>P37*P367</f>
        <v>15229.997378594768</v>
      </c>
    </row>
    <row r="373" spans="1:19" hidden="1" outlineLevel="2" x14ac:dyDescent="0.25">
      <c r="C373" s="174" t="s">
        <v>690</v>
      </c>
      <c r="D373" s="185"/>
      <c r="F373" s="192" t="s">
        <v>348</v>
      </c>
      <c r="J373" s="197"/>
      <c r="K373" s="197"/>
      <c r="L373" s="197"/>
      <c r="M373" s="197"/>
      <c r="N373" s="197"/>
      <c r="O373" s="221">
        <f>IF(O368=0,0,O368*O409)</f>
        <v>0</v>
      </c>
      <c r="P373" s="222">
        <f>IF(P368=0,0,P368*P409)</f>
        <v>0</v>
      </c>
    </row>
    <row r="374" spans="1:19" hidden="1" outlineLevel="2" x14ac:dyDescent="0.25">
      <c r="C374" s="174" t="s">
        <v>685</v>
      </c>
      <c r="D374" s="185"/>
      <c r="F374" s="192" t="s">
        <v>348</v>
      </c>
      <c r="J374" s="197"/>
      <c r="K374" s="197"/>
      <c r="L374" s="197"/>
      <c r="M374" s="197"/>
      <c r="N374" s="197"/>
      <c r="O374" s="221">
        <f>IF(O369=0,0,O369*O417)</f>
        <v>0</v>
      </c>
      <c r="P374" s="222">
        <f>IF(P369=0,0,P369*P417)</f>
        <v>0</v>
      </c>
    </row>
    <row r="375" spans="1:19" s="162" customFormat="1" hidden="1" outlineLevel="2" x14ac:dyDescent="0.25">
      <c r="B375" s="163" t="s">
        <v>772</v>
      </c>
      <c r="O375" s="164"/>
      <c r="P375" s="165"/>
      <c r="R375" s="164"/>
      <c r="S375" s="165"/>
    </row>
    <row r="376" spans="1:19" s="170" customFormat="1" hidden="1" outlineLevel="2" x14ac:dyDescent="0.25">
      <c r="A376" s="166"/>
      <c r="B376" s="167"/>
      <c r="C376" s="166"/>
      <c r="D376" s="166"/>
      <c r="E376" s="166"/>
      <c r="F376" s="166"/>
      <c r="G376" s="166"/>
      <c r="H376" s="166"/>
      <c r="J376" s="166"/>
      <c r="K376" s="166"/>
      <c r="L376" s="166"/>
      <c r="M376" s="166"/>
      <c r="N376" s="166"/>
      <c r="O376" s="168" t="s">
        <v>319</v>
      </c>
      <c r="P376" s="169" t="s">
        <v>332</v>
      </c>
      <c r="R376" s="171"/>
      <c r="S376" s="172"/>
    </row>
    <row r="377" spans="1:19" hidden="1" outlineLevel="2" x14ac:dyDescent="0.25">
      <c r="B377" s="174" t="s">
        <v>698</v>
      </c>
      <c r="C377" s="185"/>
      <c r="E377" s="192" t="s">
        <v>13</v>
      </c>
      <c r="F377" s="192"/>
      <c r="J377" s="197"/>
      <c r="K377" s="197"/>
      <c r="L377" s="197"/>
      <c r="M377" s="197"/>
      <c r="N377" s="197"/>
      <c r="O377" s="205">
        <f>IF(O363=0,0,Daten_ALLG!$D$157*LN(F358/(O372+O374))+Daten_ALLG!$F$157)</f>
        <v>0</v>
      </c>
      <c r="P377" s="206">
        <f>IF(P363=0,0,Daten_ALLG!$D$157*LN(F358/(P372+P374))+Daten_ALLG!$F$157)</f>
        <v>0</v>
      </c>
    </row>
    <row r="378" spans="1:19" hidden="1" outlineLevel="2" x14ac:dyDescent="0.25">
      <c r="B378" s="174" t="s">
        <v>818</v>
      </c>
      <c r="E378" s="173" t="s">
        <v>348</v>
      </c>
      <c r="O378" s="193">
        <f>O377*O363</f>
        <v>0</v>
      </c>
      <c r="P378" s="194">
        <f>P377*P363</f>
        <v>0</v>
      </c>
    </row>
    <row r="379" spans="1:19" hidden="1" outlineLevel="2" x14ac:dyDescent="0.25">
      <c r="B379" s="174" t="s">
        <v>819</v>
      </c>
      <c r="O379" s="180">
        <f>IF(O363=0,0,O378*O374/(O374+O372))</f>
        <v>0</v>
      </c>
      <c r="P379" s="181">
        <f>P378*P374/(P374+P372)</f>
        <v>0</v>
      </c>
    </row>
    <row r="380" spans="1:19" hidden="1" outlineLevel="2" x14ac:dyDescent="0.25">
      <c r="B380" s="174" t="s">
        <v>820</v>
      </c>
      <c r="O380" s="180">
        <f>IF(O363=0,0,O378-O379)</f>
        <v>0</v>
      </c>
      <c r="P380" s="181">
        <f>P378-P379</f>
        <v>0</v>
      </c>
    </row>
    <row r="381" spans="1:19" hidden="1" outlineLevel="2" x14ac:dyDescent="0.25">
      <c r="B381" s="174" t="s">
        <v>741</v>
      </c>
      <c r="E381" s="173" t="s">
        <v>348</v>
      </c>
      <c r="O381" s="221">
        <f>O363-O378</f>
        <v>0</v>
      </c>
      <c r="P381" s="222">
        <f>P363-P378</f>
        <v>0</v>
      </c>
    </row>
    <row r="382" spans="1:19" s="162" customFormat="1" hidden="1" outlineLevel="2" x14ac:dyDescent="0.25">
      <c r="B382" s="163" t="s">
        <v>773</v>
      </c>
      <c r="O382" s="164"/>
      <c r="P382" s="165"/>
      <c r="R382" s="164"/>
      <c r="S382" s="165"/>
    </row>
    <row r="383" spans="1:19" s="170" customFormat="1" hidden="1" outlineLevel="2" x14ac:dyDescent="0.25">
      <c r="A383" s="166"/>
      <c r="B383" s="167"/>
      <c r="C383" s="166"/>
      <c r="D383" s="166"/>
      <c r="E383" s="166"/>
      <c r="F383" s="166"/>
      <c r="G383" s="166"/>
      <c r="H383" s="166"/>
      <c r="J383" s="166"/>
      <c r="K383" s="166"/>
      <c r="L383" s="166"/>
      <c r="M383" s="166"/>
      <c r="N383" s="166"/>
      <c r="O383" s="168" t="s">
        <v>319</v>
      </c>
      <c r="P383" s="169" t="s">
        <v>332</v>
      </c>
      <c r="R383" s="171"/>
      <c r="S383" s="172"/>
    </row>
    <row r="384" spans="1:19" hidden="1" outlineLevel="2" x14ac:dyDescent="0.25">
      <c r="B384" s="146" t="s">
        <v>700</v>
      </c>
      <c r="C384" s="185"/>
      <c r="E384" s="240" t="s">
        <v>699</v>
      </c>
      <c r="F384" s="146"/>
      <c r="G384" s="146"/>
      <c r="H384" s="241"/>
      <c r="I384" s="146"/>
      <c r="J384" s="146"/>
      <c r="K384" s="241"/>
      <c r="L384" s="197"/>
      <c r="M384" s="197"/>
      <c r="N384" s="197"/>
      <c r="O384" s="242">
        <f>-2*O373/(O18*24)^2</f>
        <v>0</v>
      </c>
      <c r="P384" s="243">
        <f>-2*P373/(P18*24)^2</f>
        <v>0</v>
      </c>
    </row>
    <row r="385" spans="1:19" hidden="1" outlineLevel="2" x14ac:dyDescent="0.25">
      <c r="B385" s="125" t="s">
        <v>701</v>
      </c>
      <c r="C385" s="185"/>
      <c r="E385" s="240" t="s">
        <v>368</v>
      </c>
      <c r="I385" s="146"/>
      <c r="L385" s="197"/>
      <c r="M385" s="197"/>
      <c r="N385" s="197"/>
      <c r="O385" s="205">
        <f>2*O373/(O18*24)</f>
        <v>0</v>
      </c>
      <c r="P385" s="206">
        <f>2*P373/(P18*24)</f>
        <v>0</v>
      </c>
    </row>
    <row r="386" spans="1:19" hidden="1" outlineLevel="2" x14ac:dyDescent="0.25">
      <c r="B386" s="125" t="s">
        <v>703</v>
      </c>
      <c r="C386" s="185"/>
      <c r="E386" s="241" t="s">
        <v>702</v>
      </c>
      <c r="F386" s="146"/>
      <c r="G386" s="146"/>
      <c r="I386" s="146"/>
      <c r="L386" s="197"/>
      <c r="M386" s="197"/>
      <c r="N386" s="197"/>
      <c r="O386" s="244">
        <f>IF(O381=0,0,O385/(O381/8760^2-O384))</f>
        <v>0</v>
      </c>
      <c r="P386" s="245">
        <f>IF(P381=0,0,P385/(P381/8760^2-P384))</f>
        <v>0</v>
      </c>
    </row>
    <row r="387" spans="1:19" hidden="1" outlineLevel="2" x14ac:dyDescent="0.25">
      <c r="B387" s="125" t="s">
        <v>704</v>
      </c>
      <c r="C387" s="185"/>
      <c r="E387" s="240" t="s">
        <v>368</v>
      </c>
      <c r="F387" s="146"/>
      <c r="G387" s="146"/>
      <c r="I387" s="146"/>
      <c r="L387" s="197"/>
      <c r="M387" s="197"/>
      <c r="N387" s="197"/>
      <c r="O387" s="246">
        <f>2*O363/8760^2*O386</f>
        <v>0</v>
      </c>
      <c r="P387" s="247">
        <f>2*P363/8760^2*P386</f>
        <v>0</v>
      </c>
    </row>
    <row r="388" spans="1:19" hidden="1" outlineLevel="2" x14ac:dyDescent="0.25">
      <c r="B388" s="125" t="s">
        <v>821</v>
      </c>
      <c r="C388" s="185"/>
      <c r="E388" s="241" t="s">
        <v>348</v>
      </c>
      <c r="F388" s="146"/>
      <c r="G388" s="146"/>
      <c r="I388" s="146"/>
      <c r="L388" s="197"/>
      <c r="M388" s="197"/>
      <c r="N388" s="197"/>
      <c r="O388" s="180">
        <f>IF(O367=0,0,MIN(0.5*O387*(O18*24),O373))</f>
        <v>0</v>
      </c>
      <c r="P388" s="181">
        <f>IF(P367=0,0,MIN(0.5*P387*(P18*24),P373))</f>
        <v>0</v>
      </c>
    </row>
    <row r="389" spans="1:19" hidden="1" outlineLevel="2" x14ac:dyDescent="0.25">
      <c r="B389" s="125" t="s">
        <v>822</v>
      </c>
      <c r="C389" s="185"/>
      <c r="E389" s="241" t="s">
        <v>348</v>
      </c>
      <c r="F389" s="146"/>
      <c r="G389" s="146"/>
      <c r="I389" s="146"/>
      <c r="L389" s="197"/>
      <c r="M389" s="197"/>
      <c r="N389" s="197"/>
      <c r="O389" s="180">
        <f>IF(O367=0,0,O363-O379-O380-O388)</f>
        <v>0</v>
      </c>
      <c r="P389" s="181">
        <f>IF(P367=0,0,P363-P379-P380-P388)</f>
        <v>0</v>
      </c>
    </row>
    <row r="390" spans="1:19" s="162" customFormat="1" hidden="1" outlineLevel="2" x14ac:dyDescent="0.25">
      <c r="B390" s="163" t="s">
        <v>775</v>
      </c>
      <c r="O390" s="164"/>
      <c r="P390" s="165"/>
      <c r="R390" s="164"/>
      <c r="S390" s="165"/>
    </row>
    <row r="391" spans="1:19" s="170" customFormat="1" hidden="1" outlineLevel="2" x14ac:dyDescent="0.25">
      <c r="A391" s="166"/>
      <c r="B391" s="167"/>
      <c r="C391" s="166"/>
      <c r="D391" s="166"/>
      <c r="E391" s="166"/>
      <c r="F391" s="166"/>
      <c r="G391" s="166"/>
      <c r="H391" s="166"/>
      <c r="J391" s="166"/>
      <c r="K391" s="166"/>
      <c r="L391" s="166"/>
      <c r="M391" s="166"/>
      <c r="N391" s="166"/>
      <c r="O391" s="168" t="s">
        <v>319</v>
      </c>
      <c r="P391" s="169" t="s">
        <v>332</v>
      </c>
      <c r="R391" s="171"/>
      <c r="S391" s="172"/>
    </row>
    <row r="392" spans="1:19" hidden="1" outlineLevel="2" x14ac:dyDescent="0.25">
      <c r="B392" s="125" t="s">
        <v>705</v>
      </c>
      <c r="C392" s="185"/>
      <c r="E392" s="241" t="s">
        <v>348</v>
      </c>
      <c r="F392" s="192"/>
      <c r="G392" s="192"/>
      <c r="H392" s="192"/>
      <c r="I392" s="146"/>
      <c r="J392" s="146"/>
      <c r="K392" s="146"/>
      <c r="L392" s="197"/>
      <c r="M392" s="197"/>
      <c r="N392" s="197"/>
      <c r="O392" s="180">
        <f>O364*Daten_MFH!$D$109</f>
        <v>90.158799879809223</v>
      </c>
      <c r="P392" s="181">
        <f>P364*Daten_MFH!$D$109</f>
        <v>90.158799879809223</v>
      </c>
    </row>
    <row r="393" spans="1:19" hidden="1" outlineLevel="2" x14ac:dyDescent="0.25">
      <c r="B393" s="125" t="s">
        <v>822</v>
      </c>
      <c r="C393" s="185"/>
      <c r="E393" s="241" t="s">
        <v>348</v>
      </c>
      <c r="F393" s="146"/>
      <c r="G393" s="146"/>
      <c r="I393" s="146"/>
      <c r="L393" s="197"/>
      <c r="M393" s="197"/>
      <c r="N393" s="197"/>
      <c r="O393" s="180">
        <f>O364*(1-Daten_MFH!$D$109)</f>
        <v>811.42919891828296</v>
      </c>
      <c r="P393" s="181">
        <f>P364*(1-Daten_MFH!$D$109)</f>
        <v>811.42919891828296</v>
      </c>
    </row>
    <row r="394" spans="1:19" s="159" customFormat="1" ht="14.25" customHeight="1" collapsed="1" x14ac:dyDescent="0.25">
      <c r="A394" s="156" t="s">
        <v>466</v>
      </c>
      <c r="B394" s="157"/>
      <c r="C394" s="157"/>
      <c r="D394" s="158"/>
      <c r="O394" s="160"/>
      <c r="P394" s="161"/>
      <c r="R394" s="160"/>
      <c r="S394" s="161"/>
    </row>
    <row r="395" spans="1:19" s="162" customFormat="1" hidden="1" outlineLevel="2" x14ac:dyDescent="0.25">
      <c r="B395" s="163" t="s">
        <v>510</v>
      </c>
      <c r="O395" s="164"/>
      <c r="P395" s="165"/>
      <c r="R395" s="164"/>
      <c r="S395" s="165"/>
    </row>
    <row r="396" spans="1:19" s="170" customFormat="1" hidden="1" outlineLevel="2" x14ac:dyDescent="0.25">
      <c r="A396" s="166"/>
      <c r="B396" s="167"/>
      <c r="C396" s="166"/>
      <c r="D396" s="166"/>
      <c r="E396" s="166"/>
      <c r="F396" s="166"/>
      <c r="G396" s="166"/>
      <c r="H396" s="166"/>
      <c r="J396" s="166"/>
      <c r="K396" s="166"/>
      <c r="L396" s="166"/>
      <c r="M396" s="166"/>
      <c r="N396" s="166"/>
      <c r="O396" s="168" t="s">
        <v>319</v>
      </c>
      <c r="P396" s="169" t="s">
        <v>332</v>
      </c>
      <c r="R396" s="171"/>
      <c r="S396" s="172"/>
    </row>
    <row r="397" spans="1:19" hidden="1" outlineLevel="2" x14ac:dyDescent="0.25">
      <c r="I397" s="173" t="s">
        <v>337</v>
      </c>
      <c r="L397" s="174" t="s">
        <v>309</v>
      </c>
      <c r="M397" s="234" t="s">
        <v>348</v>
      </c>
      <c r="O397" s="248">
        <f>O95</f>
        <v>53140.067320428177</v>
      </c>
      <c r="P397" s="249">
        <f>P95</f>
        <v>53140.067320428177</v>
      </c>
    </row>
    <row r="398" spans="1:19" hidden="1" outlineLevel="2" x14ac:dyDescent="0.25">
      <c r="I398" s="173" t="s">
        <v>53</v>
      </c>
      <c r="L398" s="174" t="s">
        <v>349</v>
      </c>
      <c r="M398" s="234" t="s">
        <v>348</v>
      </c>
      <c r="O398" s="248">
        <f>O96</f>
        <v>12324.809169326056</v>
      </c>
      <c r="P398" s="249">
        <f>P96</f>
        <v>12324.809169326056</v>
      </c>
    </row>
    <row r="399" spans="1:19" hidden="1" outlineLevel="2" x14ac:dyDescent="0.25">
      <c r="I399" s="173" t="s">
        <v>501</v>
      </c>
      <c r="L399" s="174" t="s">
        <v>364</v>
      </c>
      <c r="M399" s="234" t="s">
        <v>348</v>
      </c>
      <c r="O399" s="248">
        <f>O108</f>
        <v>11810.732100605421</v>
      </c>
      <c r="P399" s="249">
        <f>P108</f>
        <v>11810.732100605421</v>
      </c>
    </row>
    <row r="400" spans="1:19" hidden="1" outlineLevel="2" x14ac:dyDescent="0.25">
      <c r="I400" s="173" t="s">
        <v>502</v>
      </c>
      <c r="L400" s="174" t="s">
        <v>475</v>
      </c>
      <c r="M400" s="234" t="s">
        <v>348</v>
      </c>
      <c r="O400" s="248">
        <f>O166</f>
        <v>2478.5457520242585</v>
      </c>
      <c r="P400" s="249">
        <f>P166</f>
        <v>2478.5457520242585</v>
      </c>
    </row>
    <row r="401" spans="6:16" hidden="1" outlineLevel="2" x14ac:dyDescent="0.25">
      <c r="I401" s="173" t="s">
        <v>360</v>
      </c>
      <c r="L401" s="174" t="s">
        <v>361</v>
      </c>
      <c r="M401" s="234" t="s">
        <v>348</v>
      </c>
      <c r="O401" s="248">
        <f>O105</f>
        <v>11685.855408496449</v>
      </c>
      <c r="P401" s="249">
        <f>P105</f>
        <v>11685.855408496449</v>
      </c>
    </row>
    <row r="402" spans="6:16" hidden="1" outlineLevel="2" x14ac:dyDescent="0.25">
      <c r="H402" s="174" t="s">
        <v>469</v>
      </c>
      <c r="L402" s="174" t="s">
        <v>396</v>
      </c>
      <c r="M402" s="234" t="s">
        <v>348</v>
      </c>
      <c r="O402" s="250">
        <f>O397+O398-O399-O400-O401</f>
        <v>39489.743228628111</v>
      </c>
      <c r="P402" s="251">
        <f>P397+P398-P399-P400-P401</f>
        <v>39489.743228628111</v>
      </c>
    </row>
    <row r="403" spans="6:16" hidden="1" outlineLevel="2" x14ac:dyDescent="0.25">
      <c r="H403" s="173" t="s">
        <v>365</v>
      </c>
      <c r="L403" s="174" t="s">
        <v>467</v>
      </c>
      <c r="M403" s="234" t="s">
        <v>348</v>
      </c>
      <c r="O403" s="250">
        <f>O347</f>
        <v>643.0174811909601</v>
      </c>
      <c r="P403" s="251">
        <f>P347</f>
        <v>643.0174811909601</v>
      </c>
    </row>
    <row r="404" spans="6:16" hidden="1" outlineLevel="2" x14ac:dyDescent="0.25">
      <c r="H404" s="174" t="s">
        <v>503</v>
      </c>
      <c r="L404" s="174" t="s">
        <v>397</v>
      </c>
      <c r="M404" s="234" t="s">
        <v>348</v>
      </c>
      <c r="O404" s="250">
        <f>O131</f>
        <v>2346.1495706852538</v>
      </c>
      <c r="P404" s="251">
        <f>P131</f>
        <v>2346.1495706852538</v>
      </c>
    </row>
    <row r="405" spans="6:16" hidden="1" outlineLevel="2" x14ac:dyDescent="0.25">
      <c r="H405" s="174" t="s">
        <v>504</v>
      </c>
      <c r="L405" s="174" t="s">
        <v>478</v>
      </c>
      <c r="M405" s="234" t="s">
        <v>348</v>
      </c>
      <c r="O405" s="250">
        <f>O336</f>
        <v>63.042665374281221</v>
      </c>
      <c r="P405" s="251">
        <f>P336</f>
        <v>63.042665374281221</v>
      </c>
    </row>
    <row r="406" spans="6:16" hidden="1" outlineLevel="2" x14ac:dyDescent="0.25">
      <c r="G406" s="174" t="s">
        <v>508</v>
      </c>
      <c r="L406" s="174" t="s">
        <v>481</v>
      </c>
      <c r="M406" s="234" t="s">
        <v>348</v>
      </c>
      <c r="O406" s="252">
        <f>O402+O403+O404+O405</f>
        <v>42541.952945878606</v>
      </c>
      <c r="P406" s="253">
        <f>P402+P403+P404+P405</f>
        <v>42541.952945878606</v>
      </c>
    </row>
    <row r="407" spans="6:16" hidden="1" outlineLevel="2" x14ac:dyDescent="0.25">
      <c r="G407" s="174" t="s">
        <v>536</v>
      </c>
      <c r="L407" s="174" t="s">
        <v>537</v>
      </c>
      <c r="M407" s="234" t="s">
        <v>348</v>
      </c>
      <c r="O407" s="252">
        <f>O409-O406</f>
        <v>5612.1354204609524</v>
      </c>
      <c r="P407" s="253">
        <f>P409-P406</f>
        <v>5612.1354204609524</v>
      </c>
    </row>
    <row r="408" spans="6:16" hidden="1" outlineLevel="2" x14ac:dyDescent="0.25">
      <c r="G408" s="174" t="s">
        <v>499</v>
      </c>
      <c r="L408" s="174" t="s">
        <v>578</v>
      </c>
      <c r="M408" s="234" t="s">
        <v>13</v>
      </c>
      <c r="O408" s="254">
        <f>O279</f>
        <v>0.88345464298346221</v>
      </c>
      <c r="P408" s="255">
        <f>P279</f>
        <v>0.88345464298346221</v>
      </c>
    </row>
    <row r="409" spans="6:16" hidden="1" outlineLevel="2" x14ac:dyDescent="0.25">
      <c r="F409" s="174" t="s">
        <v>498</v>
      </c>
      <c r="L409" s="173" t="s">
        <v>471</v>
      </c>
      <c r="M409" s="234" t="s">
        <v>348</v>
      </c>
      <c r="O409" s="256">
        <f>O406/O408</f>
        <v>48154.088366339558</v>
      </c>
      <c r="P409" s="257">
        <f>P406/P408</f>
        <v>48154.088366339558</v>
      </c>
    </row>
    <row r="410" spans="6:16" hidden="1" outlineLevel="2" x14ac:dyDescent="0.25">
      <c r="H410" s="174" t="s">
        <v>74</v>
      </c>
      <c r="L410" s="174" t="s">
        <v>468</v>
      </c>
      <c r="M410" s="234" t="s">
        <v>348</v>
      </c>
      <c r="O410" s="258">
        <f>O30</f>
        <v>6865.5359202706286</v>
      </c>
      <c r="P410" s="259">
        <f>P30</f>
        <v>6865.5359202706286</v>
      </c>
    </row>
    <row r="411" spans="6:16" hidden="1" outlineLevel="2" x14ac:dyDescent="0.25">
      <c r="H411" s="174" t="s">
        <v>505</v>
      </c>
      <c r="L411" s="174" t="s">
        <v>477</v>
      </c>
      <c r="M411" s="234" t="s">
        <v>348</v>
      </c>
      <c r="O411" s="258">
        <f>O163</f>
        <v>6654.0518517658966</v>
      </c>
      <c r="P411" s="259">
        <f>P163</f>
        <v>6654.0518517658966</v>
      </c>
    </row>
    <row r="412" spans="6:16" hidden="1" outlineLevel="2" x14ac:dyDescent="0.25">
      <c r="H412" s="174" t="s">
        <v>506</v>
      </c>
      <c r="L412" s="174" t="s">
        <v>479</v>
      </c>
      <c r="M412" s="234" t="s">
        <v>348</v>
      </c>
      <c r="O412" s="258">
        <f>O343</f>
        <v>648.06553545089332</v>
      </c>
      <c r="P412" s="259">
        <f>P343</f>
        <v>648.06553545089332</v>
      </c>
    </row>
    <row r="413" spans="6:16" hidden="1" outlineLevel="2" x14ac:dyDescent="0.25">
      <c r="H413" s="174" t="s">
        <v>472</v>
      </c>
      <c r="L413" s="174" t="s">
        <v>480</v>
      </c>
      <c r="M413" s="234" t="s">
        <v>348</v>
      </c>
      <c r="O413" s="258">
        <f>O352</f>
        <v>591.71767295717905</v>
      </c>
      <c r="P413" s="259">
        <f>P352</f>
        <v>591.71767295717905</v>
      </c>
    </row>
    <row r="414" spans="6:16" hidden="1" outlineLevel="2" x14ac:dyDescent="0.25">
      <c r="G414" s="174" t="s">
        <v>509</v>
      </c>
      <c r="I414" s="174"/>
      <c r="L414" s="174" t="s">
        <v>482</v>
      </c>
      <c r="M414" s="234" t="s">
        <v>348</v>
      </c>
      <c r="O414" s="260">
        <f>O410+O411+O412-O413</f>
        <v>13575.935634530239</v>
      </c>
      <c r="P414" s="261">
        <f>P410+P411+P412-P413</f>
        <v>13575.935634530239</v>
      </c>
    </row>
    <row r="415" spans="6:16" hidden="1" outlineLevel="2" x14ac:dyDescent="0.25">
      <c r="G415" s="174" t="s">
        <v>538</v>
      </c>
      <c r="L415" s="174" t="s">
        <v>539</v>
      </c>
      <c r="M415" s="234" t="s">
        <v>348</v>
      </c>
      <c r="O415" s="260">
        <f>O417-O414</f>
        <v>1472.6384238365663</v>
      </c>
      <c r="P415" s="261">
        <f>P417-P414</f>
        <v>1472.6384238365663</v>
      </c>
    </row>
    <row r="416" spans="6:16" hidden="1" outlineLevel="2" x14ac:dyDescent="0.25">
      <c r="G416" s="174" t="s">
        <v>500</v>
      </c>
      <c r="L416" s="174" t="s">
        <v>579</v>
      </c>
      <c r="M416" s="234" t="s">
        <v>13</v>
      </c>
      <c r="O416" s="262">
        <f>O306</f>
        <v>0.90214099899931721</v>
      </c>
      <c r="P416" s="263">
        <f>P306</f>
        <v>0.90214099899931721</v>
      </c>
    </row>
    <row r="417" spans="1:19" hidden="1" outlineLevel="2" x14ac:dyDescent="0.25">
      <c r="F417" s="174" t="s">
        <v>294</v>
      </c>
      <c r="I417" s="174"/>
      <c r="L417" s="173" t="s">
        <v>470</v>
      </c>
      <c r="M417" s="234" t="s">
        <v>348</v>
      </c>
      <c r="N417" s="264"/>
      <c r="O417" s="265">
        <f>O414/O416</f>
        <v>15048.574058366805</v>
      </c>
      <c r="P417" s="266">
        <f>P414/P416</f>
        <v>15048.574058366805</v>
      </c>
    </row>
    <row r="418" spans="1:19" hidden="1" outlineLevel="2" x14ac:dyDescent="0.25">
      <c r="H418" s="174" t="s">
        <v>279</v>
      </c>
      <c r="L418" s="174" t="s">
        <v>484</v>
      </c>
      <c r="M418" s="234" t="s">
        <v>348</v>
      </c>
      <c r="O418" s="267">
        <f>O402+O403+O410</f>
        <v>46998.296630089702</v>
      </c>
      <c r="P418" s="268">
        <f>P402+P403+P410</f>
        <v>46998.296630089702</v>
      </c>
    </row>
    <row r="419" spans="1:19" hidden="1" outlineLevel="2" x14ac:dyDescent="0.25">
      <c r="G419" s="174" t="s">
        <v>507</v>
      </c>
      <c r="L419" s="174" t="s">
        <v>483</v>
      </c>
      <c r="M419" s="234" t="s">
        <v>348</v>
      </c>
      <c r="O419" s="269">
        <f>O406+O414</f>
        <v>56117.888580408842</v>
      </c>
      <c r="P419" s="270">
        <f>P406+P414</f>
        <v>56117.888580408842</v>
      </c>
    </row>
    <row r="420" spans="1:19" hidden="1" outlineLevel="2" x14ac:dyDescent="0.25">
      <c r="G420" s="174" t="s">
        <v>569</v>
      </c>
      <c r="L420" s="174" t="s">
        <v>580</v>
      </c>
      <c r="M420" s="234" t="s">
        <v>13</v>
      </c>
      <c r="O420" s="271">
        <f>(O414+O406)/O421</f>
        <v>0.88790387030391893</v>
      </c>
      <c r="P420" s="272">
        <f>(P414+P406)/P421</f>
        <v>0.88790387030391893</v>
      </c>
    </row>
    <row r="421" spans="1:19" hidden="1" outlineLevel="2" x14ac:dyDescent="0.25">
      <c r="F421" s="174" t="s">
        <v>473</v>
      </c>
      <c r="I421" s="174"/>
      <c r="L421" s="173" t="s">
        <v>497</v>
      </c>
      <c r="M421" s="234" t="s">
        <v>348</v>
      </c>
      <c r="N421" s="264" t="s">
        <v>736</v>
      </c>
      <c r="O421" s="273">
        <f>O409+O417</f>
        <v>63202.662424706359</v>
      </c>
      <c r="P421" s="274">
        <f>P409+P417</f>
        <v>63202.662424706359</v>
      </c>
    </row>
    <row r="422" spans="1:19" s="275" customFormat="1" hidden="1" outlineLevel="2" x14ac:dyDescent="0.25">
      <c r="B422" s="276"/>
      <c r="F422" s="276"/>
      <c r="G422" s="174" t="s">
        <v>353</v>
      </c>
      <c r="H422" s="173"/>
      <c r="I422" s="174"/>
      <c r="J422" s="173"/>
      <c r="K422" s="173"/>
      <c r="L422" s="173" t="s">
        <v>476</v>
      </c>
      <c r="M422" s="234" t="s">
        <v>348</v>
      </c>
      <c r="N422" s="173"/>
      <c r="O422" s="269">
        <f>O37</f>
        <v>15229.997378594768</v>
      </c>
      <c r="P422" s="270">
        <f>P37</f>
        <v>15229.997378594768</v>
      </c>
      <c r="R422" s="277"/>
      <c r="S422" s="278"/>
    </row>
    <row r="423" spans="1:19" s="275" customFormat="1" hidden="1" outlineLevel="2" x14ac:dyDescent="0.25">
      <c r="B423" s="276"/>
      <c r="F423" s="174" t="s">
        <v>474</v>
      </c>
      <c r="G423" s="173"/>
      <c r="H423" s="173"/>
      <c r="I423" s="173"/>
      <c r="J423" s="173"/>
      <c r="K423" s="173"/>
      <c r="L423" s="173" t="s">
        <v>358</v>
      </c>
      <c r="M423" s="234" t="s">
        <v>348</v>
      </c>
      <c r="N423" s="264" t="s">
        <v>736</v>
      </c>
      <c r="O423" s="273">
        <f>O422</f>
        <v>15229.997378594768</v>
      </c>
      <c r="P423" s="274">
        <f>P422</f>
        <v>15229.997378594768</v>
      </c>
      <c r="R423" s="277"/>
      <c r="S423" s="278"/>
    </row>
    <row r="424" spans="1:19" hidden="1" outlineLevel="2" x14ac:dyDescent="0.25">
      <c r="F424" s="173" t="s">
        <v>709</v>
      </c>
      <c r="L424" s="173" t="s">
        <v>710</v>
      </c>
      <c r="M424" s="234" t="s">
        <v>348</v>
      </c>
      <c r="O424" s="279">
        <f>O379+O380+O388+O392</f>
        <v>90.158799879809223</v>
      </c>
      <c r="P424" s="280">
        <f>P379+P380+P388+P392</f>
        <v>90.158799879809223</v>
      </c>
    </row>
    <row r="425" spans="1:19" hidden="1" outlineLevel="2" x14ac:dyDescent="0.25">
      <c r="F425" s="174" t="s">
        <v>711</v>
      </c>
      <c r="L425" s="173" t="s">
        <v>712</v>
      </c>
      <c r="M425" s="234" t="s">
        <v>348</v>
      </c>
      <c r="O425" s="279">
        <f>O389+O393</f>
        <v>811.42919891828296</v>
      </c>
      <c r="P425" s="280">
        <f>P389+P393</f>
        <v>811.42919891828296</v>
      </c>
    </row>
    <row r="426" spans="1:19" hidden="1" outlineLevel="2" x14ac:dyDescent="0.25">
      <c r="E426" s="173" t="s">
        <v>713</v>
      </c>
      <c r="L426" s="173" t="s">
        <v>372</v>
      </c>
      <c r="M426" s="234" t="s">
        <v>348</v>
      </c>
      <c r="N426" s="264" t="s">
        <v>40</v>
      </c>
      <c r="O426" s="281">
        <f>O357</f>
        <v>901.58799879809214</v>
      </c>
      <c r="P426" s="282">
        <f>P357</f>
        <v>901.58799879809214</v>
      </c>
    </row>
    <row r="427" spans="1:19" hidden="1" outlineLevel="2" x14ac:dyDescent="0.25">
      <c r="E427" s="174" t="s">
        <v>765</v>
      </c>
      <c r="L427" s="173" t="s">
        <v>496</v>
      </c>
      <c r="M427" s="234" t="s">
        <v>348</v>
      </c>
      <c r="O427" s="273">
        <f>O421+O423-O426</f>
        <v>77531.071804503037</v>
      </c>
      <c r="P427" s="274">
        <f>P421+P423-P426</f>
        <v>77531.071804503037</v>
      </c>
    </row>
    <row r="428" spans="1:19" s="162" customFormat="1" hidden="1" outlineLevel="2" x14ac:dyDescent="0.25">
      <c r="B428" s="163" t="s">
        <v>511</v>
      </c>
      <c r="O428" s="283"/>
      <c r="P428" s="284"/>
      <c r="R428" s="164"/>
      <c r="S428" s="165"/>
    </row>
    <row r="429" spans="1:19" s="170" customFormat="1" hidden="1" outlineLevel="2" x14ac:dyDescent="0.25">
      <c r="A429" s="166"/>
      <c r="B429" s="167"/>
      <c r="C429" s="166"/>
      <c r="D429" s="166"/>
      <c r="E429" s="166"/>
      <c r="F429" s="166"/>
      <c r="G429" s="166"/>
      <c r="H429" s="166"/>
      <c r="J429" s="166"/>
      <c r="K429" s="166"/>
      <c r="L429" s="166"/>
      <c r="M429" s="166"/>
      <c r="N429" s="166"/>
      <c r="O429" s="168" t="s">
        <v>319</v>
      </c>
      <c r="P429" s="169" t="s">
        <v>332</v>
      </c>
      <c r="R429" s="171"/>
      <c r="S429" s="172"/>
    </row>
    <row r="430" spans="1:19" hidden="1" outlineLevel="2" x14ac:dyDescent="0.25">
      <c r="I430" s="173" t="s">
        <v>337</v>
      </c>
      <c r="L430" s="174" t="s">
        <v>512</v>
      </c>
      <c r="M430" s="234" t="s">
        <v>58</v>
      </c>
      <c r="O430" s="248">
        <f>O397/Daten_MFH!$D$16</f>
        <v>113.07237758307383</v>
      </c>
      <c r="P430" s="249">
        <f>P397/Daten_MFH!$D$16</f>
        <v>113.07237758307383</v>
      </c>
    </row>
    <row r="431" spans="1:19" hidden="1" outlineLevel="2" x14ac:dyDescent="0.25">
      <c r="I431" s="173" t="s">
        <v>53</v>
      </c>
      <c r="L431" s="174" t="s">
        <v>513</v>
      </c>
      <c r="M431" s="234" t="s">
        <v>58</v>
      </c>
      <c r="O431" s="248">
        <f>O398/Daten_MFH!$D$16</f>
        <v>26.224947507690462</v>
      </c>
      <c r="P431" s="249">
        <f>P398/Daten_MFH!$D$16</f>
        <v>26.224947507690462</v>
      </c>
    </row>
    <row r="432" spans="1:19" hidden="1" outlineLevel="2" x14ac:dyDescent="0.25">
      <c r="I432" s="173" t="s">
        <v>501</v>
      </c>
      <c r="L432" s="174" t="s">
        <v>514</v>
      </c>
      <c r="M432" s="234" t="s">
        <v>58</v>
      </c>
      <c r="O432" s="248">
        <f>O399/Daten_MFH!$D$16</f>
        <v>25.131085204681415</v>
      </c>
      <c r="P432" s="249">
        <f>P399/Daten_MFH!$D$16</f>
        <v>25.131085204681415</v>
      </c>
    </row>
    <row r="433" spans="6:16" hidden="1" outlineLevel="2" x14ac:dyDescent="0.25">
      <c r="I433" s="173" t="s">
        <v>502</v>
      </c>
      <c r="L433" s="174" t="s">
        <v>515</v>
      </c>
      <c r="M433" s="234" t="s">
        <v>58</v>
      </c>
      <c r="O433" s="248">
        <f>O400/Daten_MFH!$D$16</f>
        <v>5.2738936034820298</v>
      </c>
      <c r="P433" s="249">
        <f>P400/Daten_MFH!$D$16</f>
        <v>5.2738936034820298</v>
      </c>
    </row>
    <row r="434" spans="6:16" hidden="1" outlineLevel="2" x14ac:dyDescent="0.25">
      <c r="I434" s="173" t="s">
        <v>360</v>
      </c>
      <c r="L434" s="174" t="s">
        <v>516</v>
      </c>
      <c r="M434" s="234" t="s">
        <v>58</v>
      </c>
      <c r="O434" s="248">
        <f>O401/Daten_MFH!$D$16</f>
        <v>24.865370364759809</v>
      </c>
      <c r="P434" s="249">
        <f>P401/Daten_MFH!$D$16</f>
        <v>24.865370364759809</v>
      </c>
    </row>
    <row r="435" spans="6:16" hidden="1" outlineLevel="2" x14ac:dyDescent="0.25">
      <c r="H435" s="174" t="s">
        <v>469</v>
      </c>
      <c r="L435" s="174" t="s">
        <v>517</v>
      </c>
      <c r="M435" s="234" t="s">
        <v>58</v>
      </c>
      <c r="O435" s="250">
        <f>O402/Daten_MFH!$D$16</f>
        <v>84.026975917841057</v>
      </c>
      <c r="P435" s="251">
        <f>P402/Daten_MFH!$D$16</f>
        <v>84.026975917841057</v>
      </c>
    </row>
    <row r="436" spans="6:16" hidden="1" outlineLevel="2" x14ac:dyDescent="0.25">
      <c r="H436" s="173" t="s">
        <v>365</v>
      </c>
      <c r="L436" s="174" t="s">
        <v>518</v>
      </c>
      <c r="M436" s="234" t="s">
        <v>58</v>
      </c>
      <c r="O436" s="250">
        <f>O403/Daten_MFH!$D$16</f>
        <v>1.3682239991779421</v>
      </c>
      <c r="P436" s="251">
        <f>P403/Daten_MFH!$D$16</f>
        <v>1.3682239991779421</v>
      </c>
    </row>
    <row r="437" spans="6:16" hidden="1" outlineLevel="2" x14ac:dyDescent="0.25">
      <c r="H437" s="174" t="s">
        <v>503</v>
      </c>
      <c r="L437" s="174" t="s">
        <v>519</v>
      </c>
      <c r="M437" s="234" t="s">
        <v>58</v>
      </c>
      <c r="O437" s="250">
        <f>O404/Daten_MFH!$D$16</f>
        <v>4.9921786610328303</v>
      </c>
      <c r="P437" s="251">
        <f>P404/Daten_MFH!$D$16</f>
        <v>4.9921786610328303</v>
      </c>
    </row>
    <row r="438" spans="6:16" hidden="1" outlineLevel="2" x14ac:dyDescent="0.25">
      <c r="H438" s="174" t="s">
        <v>504</v>
      </c>
      <c r="L438" s="174" t="s">
        <v>520</v>
      </c>
      <c r="M438" s="234" t="s">
        <v>58</v>
      </c>
      <c r="O438" s="250">
        <f>O405/Daten_MFH!$D$16</f>
        <v>0.13414330132592431</v>
      </c>
      <c r="P438" s="251">
        <f>P405/Daten_MFH!$D$16</f>
        <v>0.13414330132592431</v>
      </c>
    </row>
    <row r="439" spans="6:16" hidden="1" outlineLevel="2" x14ac:dyDescent="0.25">
      <c r="G439" s="174" t="s">
        <v>508</v>
      </c>
      <c r="L439" s="174" t="s">
        <v>521</v>
      </c>
      <c r="M439" s="234" t="s">
        <v>58</v>
      </c>
      <c r="O439" s="252">
        <f>O406/Daten_MFH!$D$16</f>
        <v>90.521521879377744</v>
      </c>
      <c r="P439" s="253">
        <f>P406/Daten_MFH!$D$16</f>
        <v>90.521521879377744</v>
      </c>
    </row>
    <row r="440" spans="6:16" hidden="1" outlineLevel="2" x14ac:dyDescent="0.25">
      <c r="G440" s="174" t="s">
        <v>536</v>
      </c>
      <c r="L440" s="174" t="s">
        <v>540</v>
      </c>
      <c r="M440" s="234" t="s">
        <v>58</v>
      </c>
      <c r="O440" s="252">
        <f>O407/Daten_MFH!$D$16</f>
        <v>11.941601268272358</v>
      </c>
      <c r="P440" s="253">
        <f>P407/Daten_MFH!$D$16</f>
        <v>11.941601268272358</v>
      </c>
    </row>
    <row r="441" spans="6:16" hidden="1" outlineLevel="2" x14ac:dyDescent="0.25">
      <c r="G441" s="174" t="s">
        <v>499</v>
      </c>
      <c r="L441" s="174" t="s">
        <v>578</v>
      </c>
      <c r="M441" s="234" t="s">
        <v>13</v>
      </c>
      <c r="O441" s="254">
        <f>O408</f>
        <v>0.88345464298346221</v>
      </c>
      <c r="P441" s="255">
        <f>P408</f>
        <v>0.88345464298346221</v>
      </c>
    </row>
    <row r="442" spans="6:16" hidden="1" outlineLevel="2" x14ac:dyDescent="0.25">
      <c r="F442" s="174" t="s">
        <v>498</v>
      </c>
      <c r="L442" s="173" t="s">
        <v>522</v>
      </c>
      <c r="M442" s="234" t="s">
        <v>58</v>
      </c>
      <c r="O442" s="256">
        <f>O409/Daten_MFH!$D$16</f>
        <v>102.46312314765011</v>
      </c>
      <c r="P442" s="257">
        <f>P409/Daten_MFH!$D$16</f>
        <v>102.46312314765011</v>
      </c>
    </row>
    <row r="443" spans="6:16" hidden="1" outlineLevel="2" x14ac:dyDescent="0.25">
      <c r="H443" s="174" t="s">
        <v>74</v>
      </c>
      <c r="L443" s="174" t="s">
        <v>523</v>
      </c>
      <c r="M443" s="234" t="s">
        <v>58</v>
      </c>
      <c r="O443" s="258">
        <f>O410/Daten_MFH!$D$16</f>
        <v>14.608609078456503</v>
      </c>
      <c r="P443" s="259">
        <f>P410/Daten_MFH!$D$16</f>
        <v>14.608609078456503</v>
      </c>
    </row>
    <row r="444" spans="6:16" hidden="1" outlineLevel="2" x14ac:dyDescent="0.25">
      <c r="H444" s="174" t="s">
        <v>505</v>
      </c>
      <c r="L444" s="174" t="s">
        <v>524</v>
      </c>
      <c r="M444" s="234" t="s">
        <v>58</v>
      </c>
      <c r="O444" s="258">
        <f>O411/Daten_MFH!$D$16</f>
        <v>14.158609527221854</v>
      </c>
      <c r="P444" s="259">
        <f>P411/Daten_MFH!$D$16</f>
        <v>14.158609527221854</v>
      </c>
    </row>
    <row r="445" spans="6:16" hidden="1" outlineLevel="2" x14ac:dyDescent="0.25">
      <c r="H445" s="174" t="s">
        <v>506</v>
      </c>
      <c r="L445" s="174" t="s">
        <v>525</v>
      </c>
      <c r="M445" s="234" t="s">
        <v>58</v>
      </c>
      <c r="O445" s="258">
        <f>O412/Daten_MFH!$D$16</f>
        <v>1.3789653385499303</v>
      </c>
      <c r="P445" s="259">
        <f>P412/Daten_MFH!$D$16</f>
        <v>1.3789653385499303</v>
      </c>
    </row>
    <row r="446" spans="6:16" hidden="1" outlineLevel="2" x14ac:dyDescent="0.25">
      <c r="H446" s="174" t="s">
        <v>472</v>
      </c>
      <c r="L446" s="174" t="s">
        <v>526</v>
      </c>
      <c r="M446" s="234" t="s">
        <v>58</v>
      </c>
      <c r="O446" s="258">
        <f>O413/Daten_MFH!$D$16</f>
        <v>1.2590673575129532</v>
      </c>
      <c r="P446" s="259">
        <f>P413/Daten_MFH!$D$16</f>
        <v>1.2590673575129532</v>
      </c>
    </row>
    <row r="447" spans="6:16" hidden="1" outlineLevel="2" x14ac:dyDescent="0.25">
      <c r="G447" s="174" t="s">
        <v>509</v>
      </c>
      <c r="I447" s="174"/>
      <c r="L447" s="174" t="s">
        <v>527</v>
      </c>
      <c r="M447" s="234" t="s">
        <v>58</v>
      </c>
      <c r="O447" s="260">
        <f>O414/Daten_MFH!$D$16</f>
        <v>28.887116586715333</v>
      </c>
      <c r="P447" s="261">
        <f>P414/Daten_MFH!$D$16</f>
        <v>28.887116586715333</v>
      </c>
    </row>
    <row r="448" spans="6:16" hidden="1" outlineLevel="2" x14ac:dyDescent="0.25">
      <c r="G448" s="174" t="s">
        <v>538</v>
      </c>
      <c r="I448" s="174"/>
      <c r="L448" s="174" t="s">
        <v>541</v>
      </c>
      <c r="M448" s="234" t="s">
        <v>58</v>
      </c>
      <c r="O448" s="260">
        <f>O415/Daten_MFH!$D$16</f>
        <v>3.1335061526988151</v>
      </c>
      <c r="P448" s="261">
        <f>P415/Daten_MFH!$D$16</f>
        <v>3.1335061526988151</v>
      </c>
    </row>
    <row r="449" spans="1:19" hidden="1" outlineLevel="2" x14ac:dyDescent="0.25">
      <c r="G449" s="174" t="s">
        <v>500</v>
      </c>
      <c r="L449" s="174" t="s">
        <v>579</v>
      </c>
      <c r="M449" s="234" t="s">
        <v>13</v>
      </c>
      <c r="O449" s="262">
        <f>O416</f>
        <v>0.90214099899931721</v>
      </c>
      <c r="P449" s="263">
        <f>P416</f>
        <v>0.90214099899931721</v>
      </c>
    </row>
    <row r="450" spans="1:19" hidden="1" outlineLevel="2" x14ac:dyDescent="0.25">
      <c r="F450" s="174" t="s">
        <v>294</v>
      </c>
      <c r="I450" s="174"/>
      <c r="L450" s="173" t="s">
        <v>528</v>
      </c>
      <c r="M450" s="234" t="s">
        <v>58</v>
      </c>
      <c r="O450" s="265">
        <f>O417/Daten_MFH!$D$16</f>
        <v>32.020622739414144</v>
      </c>
      <c r="P450" s="266">
        <f>P417/Daten_MFH!$D$16</f>
        <v>32.020622739414144</v>
      </c>
    </row>
    <row r="451" spans="1:19" hidden="1" outlineLevel="2" x14ac:dyDescent="0.25">
      <c r="H451" s="174" t="s">
        <v>279</v>
      </c>
      <c r="L451" s="174" t="s">
        <v>529</v>
      </c>
      <c r="M451" s="234" t="s">
        <v>58</v>
      </c>
      <c r="O451" s="267">
        <f>O418/Daten_MFH!$D$16</f>
        <v>100.00380899547551</v>
      </c>
      <c r="P451" s="268">
        <f>P418/Daten_MFH!$D$16</f>
        <v>100.00380899547551</v>
      </c>
    </row>
    <row r="452" spans="1:19" hidden="1" outlineLevel="2" x14ac:dyDescent="0.25">
      <c r="G452" s="174" t="s">
        <v>507</v>
      </c>
      <c r="L452" s="174" t="s">
        <v>530</v>
      </c>
      <c r="M452" s="234" t="s">
        <v>58</v>
      </c>
      <c r="O452" s="269">
        <f>O419/Daten_MFH!$D$16</f>
        <v>119.40863846609308</v>
      </c>
      <c r="P452" s="270">
        <f>P419/Daten_MFH!$D$16</f>
        <v>119.40863846609308</v>
      </c>
    </row>
    <row r="453" spans="1:19" hidden="1" outlineLevel="2" x14ac:dyDescent="0.25">
      <c r="G453" s="174" t="s">
        <v>569</v>
      </c>
      <c r="L453" s="174" t="s">
        <v>580</v>
      </c>
      <c r="M453" s="234" t="s">
        <v>13</v>
      </c>
      <c r="O453" s="271">
        <f>(O447+O439)/O454</f>
        <v>0.88790387030391882</v>
      </c>
      <c r="P453" s="272">
        <f>(P447+P439)/P454</f>
        <v>0.88790387030391882</v>
      </c>
    </row>
    <row r="454" spans="1:19" hidden="1" outlineLevel="2" x14ac:dyDescent="0.25">
      <c r="F454" s="174" t="s">
        <v>473</v>
      </c>
      <c r="I454" s="174"/>
      <c r="L454" s="173" t="s">
        <v>531</v>
      </c>
      <c r="M454" s="234" t="s">
        <v>58</v>
      </c>
      <c r="N454" s="264" t="s">
        <v>736</v>
      </c>
      <c r="O454" s="273">
        <f>O421/Daten_MFH!$D$16</f>
        <v>134.48374588706426</v>
      </c>
      <c r="P454" s="274">
        <f>P421/Daten_MFH!$D$16</f>
        <v>134.48374588706426</v>
      </c>
    </row>
    <row r="455" spans="1:19" hidden="1" outlineLevel="2" x14ac:dyDescent="0.25">
      <c r="G455" s="174" t="s">
        <v>353</v>
      </c>
      <c r="I455" s="174"/>
      <c r="L455" s="173" t="s">
        <v>532</v>
      </c>
      <c r="M455" s="234" t="s">
        <v>58</v>
      </c>
      <c r="O455" s="269">
        <f>O422/Daten_MFH!$D$16</f>
        <v>32.406658497394929</v>
      </c>
      <c r="P455" s="270">
        <f>P422/Daten_MFH!$D$16</f>
        <v>32.406658497394929</v>
      </c>
    </row>
    <row r="456" spans="1:19" hidden="1" outlineLevel="2" x14ac:dyDescent="0.25">
      <c r="F456" s="174" t="s">
        <v>474</v>
      </c>
      <c r="L456" s="173" t="s">
        <v>534</v>
      </c>
      <c r="M456" s="234" t="s">
        <v>58</v>
      </c>
      <c r="N456" s="264" t="s">
        <v>736</v>
      </c>
      <c r="O456" s="273">
        <f>O423/Daten_MFH!$D$16</f>
        <v>32.406658497394929</v>
      </c>
      <c r="P456" s="274">
        <f>P423/Daten_MFH!$D$16</f>
        <v>32.406658497394929</v>
      </c>
    </row>
    <row r="457" spans="1:19" hidden="1" outlineLevel="2" x14ac:dyDescent="0.25">
      <c r="F457" s="173" t="s">
        <v>709</v>
      </c>
      <c r="L457" s="173" t="s">
        <v>714</v>
      </c>
      <c r="M457" s="234" t="s">
        <v>58</v>
      </c>
      <c r="O457" s="279">
        <f>O424/Daten_MFH!$D$16</f>
        <v>0.19184149318018662</v>
      </c>
      <c r="P457" s="280">
        <f>P424/Daten_MFH!$D$16</f>
        <v>0.19184149318018662</v>
      </c>
    </row>
    <row r="458" spans="1:19" hidden="1" outlineLevel="2" x14ac:dyDescent="0.25">
      <c r="F458" s="174" t="s">
        <v>711</v>
      </c>
      <c r="L458" s="173" t="s">
        <v>715</v>
      </c>
      <c r="M458" s="234" t="s">
        <v>58</v>
      </c>
      <c r="O458" s="279">
        <f>O425/Daten_MFH!$D$16</f>
        <v>1.7265734386216796</v>
      </c>
      <c r="P458" s="280">
        <f>P425/Daten_MFH!$D$16</f>
        <v>1.7265734386216796</v>
      </c>
    </row>
    <row r="459" spans="1:19" hidden="1" outlineLevel="2" x14ac:dyDescent="0.25">
      <c r="E459" s="173" t="s">
        <v>713</v>
      </c>
      <c r="L459" s="173" t="s">
        <v>533</v>
      </c>
      <c r="M459" s="234" t="s">
        <v>58</v>
      </c>
      <c r="N459" s="264" t="s">
        <v>40</v>
      </c>
      <c r="O459" s="281">
        <f>O426/Daten_MFH!$D$16</f>
        <v>1.918414931801866</v>
      </c>
      <c r="P459" s="282">
        <f>P426/Daten_MFH!$D$16</f>
        <v>1.918414931801866</v>
      </c>
    </row>
    <row r="460" spans="1:19" hidden="1" outlineLevel="2" x14ac:dyDescent="0.25">
      <c r="E460" s="174" t="s">
        <v>765</v>
      </c>
      <c r="L460" s="173" t="s">
        <v>535</v>
      </c>
      <c r="M460" s="234" t="s">
        <v>58</v>
      </c>
      <c r="O460" s="273">
        <f>O427/Daten_MFH!$D$16</f>
        <v>164.97198945265731</v>
      </c>
      <c r="P460" s="274">
        <f>P427/Daten_MFH!$D$16</f>
        <v>164.97198945265731</v>
      </c>
    </row>
    <row r="461" spans="1:19" s="159" customFormat="1" ht="14.25" customHeight="1" collapsed="1" x14ac:dyDescent="0.25">
      <c r="A461" s="156" t="s">
        <v>575</v>
      </c>
      <c r="B461" s="157"/>
      <c r="C461" s="157"/>
      <c r="D461" s="158"/>
      <c r="O461" s="160"/>
      <c r="P461" s="161"/>
      <c r="R461" s="160"/>
      <c r="S461" s="161"/>
    </row>
    <row r="462" spans="1:19" s="162" customFormat="1" hidden="1" outlineLevel="2" x14ac:dyDescent="0.25">
      <c r="B462" s="163" t="s">
        <v>510</v>
      </c>
      <c r="O462" s="164"/>
      <c r="P462" s="165"/>
      <c r="R462" s="164"/>
      <c r="S462" s="165"/>
    </row>
    <row r="463" spans="1:19" s="170" customFormat="1" hidden="1" outlineLevel="2" x14ac:dyDescent="0.25">
      <c r="A463" s="166"/>
      <c r="B463" s="167"/>
      <c r="C463" s="166"/>
      <c r="D463" s="166"/>
      <c r="E463" s="166"/>
      <c r="F463" s="166"/>
      <c r="G463" s="166"/>
      <c r="H463" s="166"/>
      <c r="J463" s="166"/>
      <c r="K463" s="166"/>
      <c r="L463" s="166"/>
      <c r="M463" s="166"/>
      <c r="N463" s="166"/>
      <c r="O463" s="168" t="s">
        <v>319</v>
      </c>
      <c r="P463" s="169" t="s">
        <v>332</v>
      </c>
      <c r="R463" s="171"/>
      <c r="S463" s="172"/>
    </row>
    <row r="464" spans="1:19" hidden="1" outlineLevel="2" x14ac:dyDescent="0.25">
      <c r="G464" s="174" t="s">
        <v>508</v>
      </c>
      <c r="L464" s="174" t="s">
        <v>481</v>
      </c>
      <c r="M464" s="234" t="s">
        <v>348</v>
      </c>
      <c r="O464" s="252">
        <f>O406</f>
        <v>42541.952945878606</v>
      </c>
      <c r="P464" s="253">
        <f>P406</f>
        <v>42541.952945878606</v>
      </c>
    </row>
    <row r="465" spans="1:19" hidden="1" outlineLevel="2" x14ac:dyDescent="0.25">
      <c r="G465" s="174" t="s">
        <v>583</v>
      </c>
      <c r="L465" s="174" t="s">
        <v>581</v>
      </c>
      <c r="M465" s="234" t="s">
        <v>13</v>
      </c>
      <c r="O465" s="285">
        <f>O288</f>
        <v>1.1899852436612754</v>
      </c>
      <c r="P465" s="286">
        <f>P288</f>
        <v>1.1899852436612754</v>
      </c>
    </row>
    <row r="466" spans="1:19" hidden="1" outlineLevel="2" x14ac:dyDescent="0.25">
      <c r="F466" s="174" t="s">
        <v>586</v>
      </c>
      <c r="L466" s="173" t="s">
        <v>585</v>
      </c>
      <c r="M466" s="234" t="s">
        <v>348</v>
      </c>
      <c r="O466" s="256">
        <f>O464*O465</f>
        <v>50624.296242127864</v>
      </c>
      <c r="P466" s="257">
        <f>P464*P465</f>
        <v>50624.296242127864</v>
      </c>
    </row>
    <row r="467" spans="1:19" hidden="1" outlineLevel="2" x14ac:dyDescent="0.25">
      <c r="G467" s="174" t="s">
        <v>509</v>
      </c>
      <c r="I467" s="174"/>
      <c r="L467" s="174" t="s">
        <v>482</v>
      </c>
      <c r="M467" s="234" t="s">
        <v>348</v>
      </c>
      <c r="O467" s="260">
        <f>O414</f>
        <v>13575.935634530239</v>
      </c>
      <c r="P467" s="261">
        <f>P414</f>
        <v>13575.935634530239</v>
      </c>
    </row>
    <row r="468" spans="1:19" hidden="1" outlineLevel="2" x14ac:dyDescent="0.25">
      <c r="G468" s="174" t="s">
        <v>584</v>
      </c>
      <c r="L468" s="174" t="s">
        <v>581</v>
      </c>
      <c r="M468" s="234" t="s">
        <v>13</v>
      </c>
      <c r="O468" s="287">
        <f>O312</f>
        <v>1.2668680131067402</v>
      </c>
      <c r="P468" s="288">
        <f>P312</f>
        <v>1.2668680131067402</v>
      </c>
    </row>
    <row r="469" spans="1:19" hidden="1" outlineLevel="2" x14ac:dyDescent="0.25">
      <c r="F469" s="174" t="s">
        <v>587</v>
      </c>
      <c r="G469" s="174"/>
      <c r="L469" s="173" t="s">
        <v>585</v>
      </c>
      <c r="M469" s="234" t="s">
        <v>348</v>
      </c>
      <c r="O469" s="265">
        <f>O467*O468</f>
        <v>17198.918603382317</v>
      </c>
      <c r="P469" s="266">
        <f>P467*P468</f>
        <v>17198.918603382317</v>
      </c>
    </row>
    <row r="470" spans="1:19" hidden="1" outlineLevel="2" x14ac:dyDescent="0.25">
      <c r="F470" s="174" t="s">
        <v>588</v>
      </c>
      <c r="I470" s="174"/>
      <c r="L470" s="173" t="s">
        <v>589</v>
      </c>
      <c r="M470" s="234" t="s">
        <v>348</v>
      </c>
      <c r="N470" s="264" t="s">
        <v>736</v>
      </c>
      <c r="O470" s="289">
        <f>O466+O469</f>
        <v>67823.214845510185</v>
      </c>
      <c r="P470" s="290">
        <f>P466+P469</f>
        <v>67823.214845510185</v>
      </c>
    </row>
    <row r="471" spans="1:19" hidden="1" outlineLevel="2" x14ac:dyDescent="0.25">
      <c r="G471" s="174" t="s">
        <v>590</v>
      </c>
      <c r="I471" s="174"/>
      <c r="L471" s="173" t="s">
        <v>412</v>
      </c>
      <c r="M471" s="234" t="s">
        <v>13</v>
      </c>
      <c r="O471" s="291">
        <f>Daten_ALLG!$D$187</f>
        <v>1.8</v>
      </c>
      <c r="P471" s="292">
        <f>Daten_ALLG!$D$187</f>
        <v>1.8</v>
      </c>
    </row>
    <row r="472" spans="1:19" hidden="1" outlineLevel="2" x14ac:dyDescent="0.25">
      <c r="F472" s="174" t="s">
        <v>716</v>
      </c>
      <c r="L472" s="173" t="s">
        <v>592</v>
      </c>
      <c r="M472" s="234" t="s">
        <v>348</v>
      </c>
      <c r="N472" s="264" t="s">
        <v>736</v>
      </c>
      <c r="O472" s="293">
        <f>O$423*O471</f>
        <v>27413.995281470583</v>
      </c>
      <c r="P472" s="294">
        <f>P$423*P471</f>
        <v>27413.995281470583</v>
      </c>
    </row>
    <row r="473" spans="1:19" hidden="1" outlineLevel="2" x14ac:dyDescent="0.25">
      <c r="F473" s="173" t="s">
        <v>717</v>
      </c>
      <c r="L473" s="173" t="s">
        <v>718</v>
      </c>
      <c r="M473" s="234" t="s">
        <v>348</v>
      </c>
      <c r="O473" s="279">
        <f>O424*O471</f>
        <v>162.2858397836566</v>
      </c>
      <c r="P473" s="280">
        <f>P424*P471</f>
        <v>162.2858397836566</v>
      </c>
    </row>
    <row r="474" spans="1:19" hidden="1" outlineLevel="2" x14ac:dyDescent="0.25">
      <c r="F474" s="174" t="s">
        <v>738</v>
      </c>
      <c r="L474" s="173" t="s">
        <v>719</v>
      </c>
      <c r="M474" s="234" t="s">
        <v>348</v>
      </c>
      <c r="O474" s="279">
        <f>O425*Daten_ALLG!$D$189</f>
        <v>0</v>
      </c>
      <c r="P474" s="280">
        <f>P425*Daten_ALLG!$D$189</f>
        <v>0</v>
      </c>
    </row>
    <row r="475" spans="1:19" hidden="1" outlineLevel="2" x14ac:dyDescent="0.25">
      <c r="E475" s="173" t="s">
        <v>737</v>
      </c>
      <c r="L475" s="173" t="s">
        <v>720</v>
      </c>
      <c r="M475" s="234" t="s">
        <v>348</v>
      </c>
      <c r="N475" s="264" t="s">
        <v>40</v>
      </c>
      <c r="O475" s="281">
        <f>O473+O474</f>
        <v>162.2858397836566</v>
      </c>
      <c r="P475" s="282">
        <f>P473+P474</f>
        <v>162.2858397836566</v>
      </c>
    </row>
    <row r="476" spans="1:19" hidden="1" outlineLevel="2" x14ac:dyDescent="0.25">
      <c r="E476" s="174" t="s">
        <v>591</v>
      </c>
      <c r="L476" s="173" t="s">
        <v>593</v>
      </c>
      <c r="M476" s="234" t="s">
        <v>348</v>
      </c>
      <c r="O476" s="273">
        <f>O470+O472-O475</f>
        <v>95074.924287197107</v>
      </c>
      <c r="P476" s="274">
        <f>P470+P472-P475</f>
        <v>95074.924287197107</v>
      </c>
    </row>
    <row r="477" spans="1:19" s="162" customFormat="1" hidden="1" outlineLevel="2" x14ac:dyDescent="0.25">
      <c r="B477" s="163" t="s">
        <v>511</v>
      </c>
      <c r="O477" s="283"/>
      <c r="P477" s="284"/>
      <c r="R477" s="164"/>
      <c r="S477" s="165"/>
    </row>
    <row r="478" spans="1:19" s="170" customFormat="1" hidden="1" outlineLevel="2" x14ac:dyDescent="0.25">
      <c r="A478" s="166"/>
      <c r="B478" s="167"/>
      <c r="C478" s="166"/>
      <c r="D478" s="166"/>
      <c r="E478" s="166"/>
      <c r="F478" s="166"/>
      <c r="G478" s="166"/>
      <c r="H478" s="166"/>
      <c r="J478" s="166"/>
      <c r="K478" s="166"/>
      <c r="L478" s="166"/>
      <c r="M478" s="166"/>
      <c r="N478" s="166"/>
      <c r="O478" s="168" t="s">
        <v>319</v>
      </c>
      <c r="P478" s="169" t="s">
        <v>332</v>
      </c>
      <c r="R478" s="171"/>
      <c r="S478" s="172"/>
    </row>
    <row r="479" spans="1:19" hidden="1" outlineLevel="2" x14ac:dyDescent="0.25">
      <c r="G479" s="174" t="s">
        <v>508</v>
      </c>
      <c r="L479" s="174" t="s">
        <v>521</v>
      </c>
      <c r="M479" s="234" t="s">
        <v>58</v>
      </c>
      <c r="O479" s="252">
        <f>O464/Daten_MFH!$D$16</f>
        <v>90.521521879377744</v>
      </c>
      <c r="P479" s="253">
        <f>P464/Daten_MFH!$D$16</f>
        <v>90.521521879377744</v>
      </c>
    </row>
    <row r="480" spans="1:19" hidden="1" outlineLevel="2" x14ac:dyDescent="0.25">
      <c r="G480" s="174" t="s">
        <v>583</v>
      </c>
      <c r="L480" s="174" t="s">
        <v>581</v>
      </c>
      <c r="M480" s="234" t="s">
        <v>13</v>
      </c>
      <c r="O480" s="254">
        <f>O465</f>
        <v>1.1899852436612754</v>
      </c>
      <c r="P480" s="255">
        <f>P465</f>
        <v>1.1899852436612754</v>
      </c>
    </row>
    <row r="481" spans="1:19" hidden="1" outlineLevel="2" x14ac:dyDescent="0.25">
      <c r="F481" s="174" t="s">
        <v>586</v>
      </c>
      <c r="L481" s="173" t="s">
        <v>582</v>
      </c>
      <c r="M481" s="234" t="s">
        <v>58</v>
      </c>
      <c r="O481" s="256">
        <f>O466/Daten_MFH!$D$16</f>
        <v>107.71927527022081</v>
      </c>
      <c r="P481" s="257">
        <f>P466/Daten_MFH!$D$16</f>
        <v>107.71927527022081</v>
      </c>
    </row>
    <row r="482" spans="1:19" hidden="1" outlineLevel="2" x14ac:dyDescent="0.25">
      <c r="G482" s="174" t="s">
        <v>509</v>
      </c>
      <c r="I482" s="174"/>
      <c r="L482" s="174" t="s">
        <v>527</v>
      </c>
      <c r="M482" s="234" t="s">
        <v>58</v>
      </c>
      <c r="O482" s="260">
        <f>O467/Daten_MFH!$D$16</f>
        <v>28.887116586715333</v>
      </c>
      <c r="P482" s="261">
        <f>P467/Daten_MFH!$D$16</f>
        <v>28.887116586715333</v>
      </c>
    </row>
    <row r="483" spans="1:19" hidden="1" outlineLevel="2" x14ac:dyDescent="0.25">
      <c r="G483" s="174" t="s">
        <v>584</v>
      </c>
      <c r="L483" s="174" t="s">
        <v>581</v>
      </c>
      <c r="M483" s="234" t="s">
        <v>13</v>
      </c>
      <c r="O483" s="262">
        <f>O468</f>
        <v>1.2668680131067402</v>
      </c>
      <c r="P483" s="263">
        <f>P468</f>
        <v>1.2668680131067402</v>
      </c>
    </row>
    <row r="484" spans="1:19" hidden="1" outlineLevel="2" x14ac:dyDescent="0.25">
      <c r="F484" s="174" t="s">
        <v>587</v>
      </c>
      <c r="G484" s="174"/>
      <c r="L484" s="173" t="s">
        <v>608</v>
      </c>
      <c r="M484" s="234" t="s">
        <v>58</v>
      </c>
      <c r="O484" s="265">
        <f>O469/Daten_MFH!$D$16</f>
        <v>36.596163994594811</v>
      </c>
      <c r="P484" s="266">
        <f>P469/Daten_MFH!$D$16</f>
        <v>36.596163994594811</v>
      </c>
    </row>
    <row r="485" spans="1:19" hidden="1" outlineLevel="2" x14ac:dyDescent="0.25">
      <c r="F485" s="174" t="s">
        <v>588</v>
      </c>
      <c r="I485" s="174"/>
      <c r="L485" s="173" t="s">
        <v>594</v>
      </c>
      <c r="M485" s="234" t="s">
        <v>58</v>
      </c>
      <c r="N485" s="264" t="s">
        <v>736</v>
      </c>
      <c r="O485" s="289">
        <f>O470/Daten_MFH!$D$16</f>
        <v>144.31543926481561</v>
      </c>
      <c r="P485" s="290">
        <f>P470/Daten_MFH!$D$16</f>
        <v>144.31543926481561</v>
      </c>
    </row>
    <row r="486" spans="1:19" hidden="1" outlineLevel="2" x14ac:dyDescent="0.25">
      <c r="G486" s="174" t="s">
        <v>590</v>
      </c>
      <c r="I486" s="174"/>
      <c r="L486" s="173" t="s">
        <v>412</v>
      </c>
      <c r="M486" s="234" t="s">
        <v>13</v>
      </c>
      <c r="O486" s="291">
        <f>O471</f>
        <v>1.8</v>
      </c>
      <c r="P486" s="292">
        <f>P471</f>
        <v>1.8</v>
      </c>
    </row>
    <row r="487" spans="1:19" hidden="1" outlineLevel="2" x14ac:dyDescent="0.25">
      <c r="F487" s="174" t="s">
        <v>716</v>
      </c>
      <c r="L487" s="173" t="s">
        <v>595</v>
      </c>
      <c r="M487" s="234" t="s">
        <v>58</v>
      </c>
      <c r="N487" s="264" t="s">
        <v>736</v>
      </c>
      <c r="O487" s="293">
        <f>O472/Daten_MFH!$D$16</f>
        <v>58.331985295310872</v>
      </c>
      <c r="P487" s="294">
        <f>P472/Daten_MFH!$D$16</f>
        <v>58.331985295310872</v>
      </c>
    </row>
    <row r="488" spans="1:19" hidden="1" outlineLevel="2" x14ac:dyDescent="0.25">
      <c r="F488" s="173" t="s">
        <v>717</v>
      </c>
      <c r="L488" s="173" t="s">
        <v>721</v>
      </c>
      <c r="M488" s="234" t="s">
        <v>58</v>
      </c>
      <c r="O488" s="279">
        <f>O473/Daten_MFH!$D$16</f>
        <v>0.34531468772433593</v>
      </c>
      <c r="P488" s="280">
        <f>P473/Daten_MFH!$D$16</f>
        <v>0.34531468772433593</v>
      </c>
    </row>
    <row r="489" spans="1:19" hidden="1" outlineLevel="2" x14ac:dyDescent="0.25">
      <c r="F489" s="174" t="s">
        <v>738</v>
      </c>
      <c r="L489" s="173" t="s">
        <v>722</v>
      </c>
      <c r="M489" s="234" t="s">
        <v>58</v>
      </c>
      <c r="O489" s="279">
        <f>O474/Daten_MFH!$D$16</f>
        <v>0</v>
      </c>
      <c r="P489" s="280">
        <f>P474/Daten_MFH!$D$16</f>
        <v>0</v>
      </c>
    </row>
    <row r="490" spans="1:19" hidden="1" outlineLevel="2" x14ac:dyDescent="0.25">
      <c r="E490" s="173" t="s">
        <v>737</v>
      </c>
      <c r="L490" s="173" t="s">
        <v>723</v>
      </c>
      <c r="M490" s="234" t="s">
        <v>58</v>
      </c>
      <c r="N490" s="264" t="s">
        <v>40</v>
      </c>
      <c r="O490" s="281">
        <f>O475/Daten_MFH!$D$16</f>
        <v>0.34531468772433593</v>
      </c>
      <c r="P490" s="282">
        <f>P475/Daten_MFH!$D$16</f>
        <v>0.34531468772433593</v>
      </c>
    </row>
    <row r="491" spans="1:19" hidden="1" outlineLevel="2" x14ac:dyDescent="0.25">
      <c r="E491" s="174" t="s">
        <v>591</v>
      </c>
      <c r="L491" s="173" t="s">
        <v>596</v>
      </c>
      <c r="M491" s="234" t="s">
        <v>58</v>
      </c>
      <c r="O491" s="273">
        <f>O476/Daten_MFH!$D$16</f>
        <v>202.30210987240216</v>
      </c>
      <c r="P491" s="274">
        <f>P476/Daten_MFH!$D$16</f>
        <v>202.30210987240216</v>
      </c>
    </row>
    <row r="492" spans="1:19" s="159" customFormat="1" ht="14.25" customHeight="1" collapsed="1" x14ac:dyDescent="0.25">
      <c r="A492" s="156" t="s">
        <v>597</v>
      </c>
      <c r="B492" s="157"/>
      <c r="C492" s="157"/>
      <c r="D492" s="158"/>
      <c r="O492" s="160"/>
      <c r="P492" s="161"/>
      <c r="R492" s="160"/>
      <c r="S492" s="161"/>
    </row>
    <row r="493" spans="1:19" s="162" customFormat="1" hidden="1" outlineLevel="2" x14ac:dyDescent="0.25">
      <c r="B493" s="163" t="s">
        <v>510</v>
      </c>
      <c r="O493" s="164"/>
      <c r="P493" s="165"/>
      <c r="R493" s="164"/>
      <c r="S493" s="165"/>
    </row>
    <row r="494" spans="1:19" s="170" customFormat="1" hidden="1" outlineLevel="2" x14ac:dyDescent="0.25">
      <c r="A494" s="166"/>
      <c r="B494" s="167"/>
      <c r="C494" s="166"/>
      <c r="D494" s="166"/>
      <c r="E494" s="166"/>
      <c r="F494" s="166"/>
      <c r="G494" s="166"/>
      <c r="H494" s="166"/>
      <c r="J494" s="166"/>
      <c r="K494" s="166"/>
      <c r="L494" s="166"/>
      <c r="M494" s="166"/>
      <c r="N494" s="166"/>
      <c r="O494" s="168" t="s">
        <v>319</v>
      </c>
      <c r="P494" s="169" t="s">
        <v>332</v>
      </c>
      <c r="R494" s="171"/>
      <c r="S494" s="172"/>
    </row>
    <row r="495" spans="1:19" hidden="1" outlineLevel="2" x14ac:dyDescent="0.25">
      <c r="G495" s="174" t="s">
        <v>508</v>
      </c>
      <c r="L495" s="174" t="s">
        <v>481</v>
      </c>
      <c r="M495" s="234" t="s">
        <v>348</v>
      </c>
      <c r="O495" s="252">
        <f>O464</f>
        <v>42541.952945878606</v>
      </c>
      <c r="P495" s="253">
        <f>P464</f>
        <v>42541.952945878606</v>
      </c>
    </row>
    <row r="496" spans="1:19" hidden="1" outlineLevel="2" x14ac:dyDescent="0.25">
      <c r="G496" s="174" t="s">
        <v>598</v>
      </c>
      <c r="L496" s="174" t="s">
        <v>611</v>
      </c>
      <c r="M496" s="234" t="s">
        <v>620</v>
      </c>
      <c r="O496" s="254">
        <f>O294/1000</f>
        <v>0.2636418988390537</v>
      </c>
      <c r="P496" s="255">
        <f>P294/1000</f>
        <v>0.2636418988390537</v>
      </c>
    </row>
    <row r="497" spans="1:19" hidden="1" outlineLevel="2" x14ac:dyDescent="0.25">
      <c r="F497" s="174" t="s">
        <v>599</v>
      </c>
      <c r="L497" s="173" t="s">
        <v>606</v>
      </c>
      <c r="M497" s="234" t="s">
        <v>621</v>
      </c>
      <c r="O497" s="256">
        <f>O495*O496</f>
        <v>11215.841254973109</v>
      </c>
      <c r="P497" s="257">
        <f>P495*P496</f>
        <v>11215.841254973109</v>
      </c>
    </row>
    <row r="498" spans="1:19" hidden="1" outlineLevel="2" x14ac:dyDescent="0.25">
      <c r="G498" s="174" t="s">
        <v>509</v>
      </c>
      <c r="I498" s="174"/>
      <c r="L498" s="174" t="s">
        <v>482</v>
      </c>
      <c r="M498" s="234" t="s">
        <v>348</v>
      </c>
      <c r="O498" s="260">
        <f>O467</f>
        <v>13575.935634530239</v>
      </c>
      <c r="P498" s="261">
        <f>P467</f>
        <v>13575.935634530239</v>
      </c>
    </row>
    <row r="499" spans="1:19" hidden="1" outlineLevel="2" x14ac:dyDescent="0.25">
      <c r="G499" s="174" t="s">
        <v>600</v>
      </c>
      <c r="L499" s="174" t="s">
        <v>611</v>
      </c>
      <c r="M499" s="234" t="s">
        <v>620</v>
      </c>
      <c r="O499" s="262">
        <f>O318/1000</f>
        <v>0.28988393709565508</v>
      </c>
      <c r="P499" s="263">
        <f>P318/1000</f>
        <v>0.28988393709565508</v>
      </c>
    </row>
    <row r="500" spans="1:19" hidden="1" outlineLevel="2" x14ac:dyDescent="0.25">
      <c r="F500" s="174" t="s">
        <v>601</v>
      </c>
      <c r="G500" s="174"/>
      <c r="L500" s="173" t="s">
        <v>607</v>
      </c>
      <c r="M500" s="234" t="s">
        <v>621</v>
      </c>
      <c r="O500" s="265">
        <f>O498*O499</f>
        <v>3935.445671494826</v>
      </c>
      <c r="P500" s="266">
        <f>P498*P499</f>
        <v>3935.445671494826</v>
      </c>
    </row>
    <row r="501" spans="1:19" hidden="1" outlineLevel="2" x14ac:dyDescent="0.25">
      <c r="F501" s="174" t="s">
        <v>602</v>
      </c>
      <c r="I501" s="174"/>
      <c r="L501" s="173" t="s">
        <v>617</v>
      </c>
      <c r="M501" s="234" t="s">
        <v>621</v>
      </c>
      <c r="N501" s="264" t="s">
        <v>736</v>
      </c>
      <c r="O501" s="289">
        <f>O497+O500</f>
        <v>15151.286926467936</v>
      </c>
      <c r="P501" s="290">
        <f>P497+P500</f>
        <v>15151.286926467936</v>
      </c>
    </row>
    <row r="502" spans="1:19" hidden="1" outlineLevel="2" x14ac:dyDescent="0.25">
      <c r="G502" s="174" t="s">
        <v>603</v>
      </c>
      <c r="I502" s="174"/>
      <c r="L502" s="173" t="s">
        <v>571</v>
      </c>
      <c r="M502" s="234" t="s">
        <v>620</v>
      </c>
      <c r="O502" s="291">
        <f>Daten_ALLG!$D$209/1000</f>
        <v>0.44400000000000001</v>
      </c>
      <c r="P502" s="292">
        <f>Daten_ALLG!$D$209/1000</f>
        <v>0.44400000000000001</v>
      </c>
    </row>
    <row r="503" spans="1:19" hidden="1" outlineLevel="2" x14ac:dyDescent="0.25">
      <c r="F503" s="174" t="s">
        <v>604</v>
      </c>
      <c r="L503" s="173" t="s">
        <v>618</v>
      </c>
      <c r="M503" s="234" t="s">
        <v>621</v>
      </c>
      <c r="N503" s="264" t="s">
        <v>736</v>
      </c>
      <c r="O503" s="293">
        <f>O$423*O502</f>
        <v>6762.1188360960768</v>
      </c>
      <c r="P503" s="294">
        <f>P$423*P502</f>
        <v>6762.1188360960768</v>
      </c>
    </row>
    <row r="504" spans="1:19" hidden="1" outlineLevel="2" x14ac:dyDescent="0.25">
      <c r="F504" s="173" t="s">
        <v>724</v>
      </c>
      <c r="L504" s="173" t="s">
        <v>727</v>
      </c>
      <c r="M504" s="234" t="s">
        <v>621</v>
      </c>
      <c r="O504" s="279">
        <f>O424*O$502</f>
        <v>40.030507146635294</v>
      </c>
      <c r="P504" s="280">
        <f>P424*P$502</f>
        <v>40.030507146635294</v>
      </c>
    </row>
    <row r="505" spans="1:19" hidden="1" outlineLevel="2" x14ac:dyDescent="0.25">
      <c r="F505" s="174" t="s">
        <v>725</v>
      </c>
      <c r="L505" s="173" t="s">
        <v>728</v>
      </c>
      <c r="M505" s="234" t="s">
        <v>621</v>
      </c>
      <c r="O505" s="279">
        <f>O458*Daten_ALLG!$D$211</f>
        <v>0</v>
      </c>
      <c r="P505" s="280">
        <f>P458*Daten_ALLG!$D$211</f>
        <v>0</v>
      </c>
    </row>
    <row r="506" spans="1:19" hidden="1" outlineLevel="2" x14ac:dyDescent="0.25">
      <c r="E506" s="173" t="s">
        <v>726</v>
      </c>
      <c r="L506" s="173" t="s">
        <v>729</v>
      </c>
      <c r="M506" s="234" t="s">
        <v>621</v>
      </c>
      <c r="N506" s="264" t="s">
        <v>40</v>
      </c>
      <c r="O506" s="281">
        <f>O504+O505</f>
        <v>40.030507146635294</v>
      </c>
      <c r="P506" s="282">
        <f>P504+P505</f>
        <v>40.030507146635294</v>
      </c>
    </row>
    <row r="507" spans="1:19" hidden="1" outlineLevel="2" x14ac:dyDescent="0.25">
      <c r="E507" s="174" t="s">
        <v>605</v>
      </c>
      <c r="L507" s="173" t="s">
        <v>619</v>
      </c>
      <c r="M507" s="234" t="s">
        <v>621</v>
      </c>
      <c r="O507" s="273">
        <f>O501+O503-O506</f>
        <v>21873.375255417377</v>
      </c>
      <c r="P507" s="274">
        <f>P501+P503-P506</f>
        <v>21873.375255417377</v>
      </c>
    </row>
    <row r="508" spans="1:19" s="162" customFormat="1" hidden="1" outlineLevel="2" x14ac:dyDescent="0.25">
      <c r="B508" s="163" t="s">
        <v>511</v>
      </c>
      <c r="O508" s="283"/>
      <c r="P508" s="284"/>
      <c r="R508" s="164"/>
      <c r="S508" s="165"/>
    </row>
    <row r="509" spans="1:19" s="170" customFormat="1" hidden="1" outlineLevel="2" x14ac:dyDescent="0.25">
      <c r="A509" s="166"/>
      <c r="B509" s="167"/>
      <c r="C509" s="166"/>
      <c r="D509" s="166"/>
      <c r="E509" s="166"/>
      <c r="F509" s="166"/>
      <c r="G509" s="166"/>
      <c r="H509" s="166"/>
      <c r="J509" s="166"/>
      <c r="K509" s="166"/>
      <c r="L509" s="166"/>
      <c r="M509" s="166"/>
      <c r="N509" s="166"/>
      <c r="O509" s="168" t="s">
        <v>319</v>
      </c>
      <c r="P509" s="169" t="s">
        <v>332</v>
      </c>
      <c r="R509" s="171"/>
      <c r="S509" s="172"/>
    </row>
    <row r="510" spans="1:19" hidden="1" outlineLevel="2" x14ac:dyDescent="0.25">
      <c r="G510" s="174" t="s">
        <v>508</v>
      </c>
      <c r="L510" s="174" t="s">
        <v>521</v>
      </c>
      <c r="M510" s="234" t="s">
        <v>348</v>
      </c>
      <c r="O510" s="252">
        <f>O495/Daten_MFH!$D$16</f>
        <v>90.521521879377744</v>
      </c>
      <c r="P510" s="253">
        <f>P495/Daten_MFH!$D$16</f>
        <v>90.521521879377744</v>
      </c>
    </row>
    <row r="511" spans="1:19" hidden="1" outlineLevel="2" x14ac:dyDescent="0.25">
      <c r="G511" s="174" t="s">
        <v>598</v>
      </c>
      <c r="L511" s="174" t="s">
        <v>611</v>
      </c>
      <c r="M511" s="234" t="s">
        <v>13</v>
      </c>
      <c r="O511" s="254">
        <f>O496</f>
        <v>0.2636418988390537</v>
      </c>
      <c r="P511" s="255">
        <f>P496</f>
        <v>0.2636418988390537</v>
      </c>
    </row>
    <row r="512" spans="1:19" hidden="1" outlineLevel="2" x14ac:dyDescent="0.25">
      <c r="F512" s="174" t="s">
        <v>599</v>
      </c>
      <c r="L512" s="173" t="s">
        <v>612</v>
      </c>
      <c r="M512" s="234" t="s">
        <v>733</v>
      </c>
      <c r="O512" s="256">
        <f>O497/Daten_MFH!$D$16</f>
        <v>23.865265914080094</v>
      </c>
      <c r="P512" s="257">
        <f>P497/Daten_MFH!$D$16</f>
        <v>23.865265914080094</v>
      </c>
    </row>
    <row r="513" spans="1:19" hidden="1" outlineLevel="2" x14ac:dyDescent="0.25">
      <c r="G513" s="174" t="s">
        <v>509</v>
      </c>
      <c r="I513" s="174"/>
      <c r="L513" s="174" t="s">
        <v>527</v>
      </c>
      <c r="M513" s="234" t="s">
        <v>348</v>
      </c>
      <c r="O513" s="260">
        <f>O498/Daten_MFH!$D$16</f>
        <v>28.887116586715333</v>
      </c>
      <c r="P513" s="261">
        <f>P498/Daten_MFH!$D$16</f>
        <v>28.887116586715333</v>
      </c>
    </row>
    <row r="514" spans="1:19" hidden="1" outlineLevel="2" x14ac:dyDescent="0.25">
      <c r="G514" s="174" t="s">
        <v>600</v>
      </c>
      <c r="L514" s="174" t="s">
        <v>611</v>
      </c>
      <c r="M514" s="234" t="s">
        <v>13</v>
      </c>
      <c r="O514" s="262">
        <f>O499</f>
        <v>0.28988393709565508</v>
      </c>
      <c r="P514" s="263">
        <f>P499</f>
        <v>0.28988393709565508</v>
      </c>
    </row>
    <row r="515" spans="1:19" hidden="1" outlineLevel="2" x14ac:dyDescent="0.25">
      <c r="F515" s="174" t="s">
        <v>601</v>
      </c>
      <c r="G515" s="174"/>
      <c r="L515" s="173" t="s">
        <v>613</v>
      </c>
      <c r="M515" s="234" t="s">
        <v>733</v>
      </c>
      <c r="O515" s="265">
        <f>O500/Daten_MFH!$D$16</f>
        <v>8.3739110874982412</v>
      </c>
      <c r="P515" s="266">
        <f>P500/Daten_MFH!$D$16</f>
        <v>8.3739110874982412</v>
      </c>
    </row>
    <row r="516" spans="1:19" hidden="1" outlineLevel="2" x14ac:dyDescent="0.25">
      <c r="F516" s="174" t="s">
        <v>602</v>
      </c>
      <c r="I516" s="174"/>
      <c r="L516" s="173" t="s">
        <v>614</v>
      </c>
      <c r="M516" s="234" t="s">
        <v>733</v>
      </c>
      <c r="N516" s="264" t="s">
        <v>736</v>
      </c>
      <c r="O516" s="289">
        <f>O501/Daten_MFH!$D$16</f>
        <v>32.239177001578334</v>
      </c>
      <c r="P516" s="290">
        <f>P501/Daten_MFH!$D$16</f>
        <v>32.239177001578334</v>
      </c>
    </row>
    <row r="517" spans="1:19" hidden="1" outlineLevel="2" x14ac:dyDescent="0.25">
      <c r="G517" s="174" t="s">
        <v>603</v>
      </c>
      <c r="I517" s="174"/>
      <c r="L517" s="173" t="s">
        <v>571</v>
      </c>
      <c r="M517" s="234" t="s">
        <v>13</v>
      </c>
      <c r="O517" s="291">
        <f>O502</f>
        <v>0.44400000000000001</v>
      </c>
      <c r="P517" s="292">
        <f>P502</f>
        <v>0.44400000000000001</v>
      </c>
    </row>
    <row r="518" spans="1:19" hidden="1" outlineLevel="2" x14ac:dyDescent="0.25">
      <c r="F518" s="174" t="s">
        <v>604</v>
      </c>
      <c r="L518" s="173" t="s">
        <v>616</v>
      </c>
      <c r="M518" s="234" t="s">
        <v>733</v>
      </c>
      <c r="N518" s="264" t="s">
        <v>736</v>
      </c>
      <c r="O518" s="293">
        <f>O503/Daten_MFH!$D$16</f>
        <v>14.388556372843347</v>
      </c>
      <c r="P518" s="294">
        <f>P503/Daten_MFH!$D$16</f>
        <v>14.388556372843347</v>
      </c>
    </row>
    <row r="519" spans="1:19" hidden="1" outlineLevel="2" x14ac:dyDescent="0.25">
      <c r="F519" s="173" t="s">
        <v>724</v>
      </c>
      <c r="L519" s="173" t="s">
        <v>730</v>
      </c>
      <c r="M519" s="234" t="s">
        <v>733</v>
      </c>
      <c r="O519" s="279">
        <f>O504/Daten_MFH!$D$16</f>
        <v>8.5177622972002862E-2</v>
      </c>
      <c r="P519" s="280">
        <f>P504/Daten_MFH!$D$16</f>
        <v>8.5177622972002862E-2</v>
      </c>
    </row>
    <row r="520" spans="1:19" hidden="1" outlineLevel="2" x14ac:dyDescent="0.25">
      <c r="F520" s="174" t="s">
        <v>725</v>
      </c>
      <c r="L520" s="173" t="s">
        <v>731</v>
      </c>
      <c r="M520" s="234" t="s">
        <v>733</v>
      </c>
      <c r="O520" s="279">
        <f>O505/Daten_MFH!$D$16</f>
        <v>0</v>
      </c>
      <c r="P520" s="280">
        <f>P505/Daten_MFH!$D$16</f>
        <v>0</v>
      </c>
    </row>
    <row r="521" spans="1:19" hidden="1" outlineLevel="2" x14ac:dyDescent="0.25">
      <c r="E521" s="173" t="s">
        <v>726</v>
      </c>
      <c r="L521" s="173" t="s">
        <v>732</v>
      </c>
      <c r="M521" s="234" t="s">
        <v>733</v>
      </c>
      <c r="N521" s="264" t="s">
        <v>40</v>
      </c>
      <c r="O521" s="281">
        <f>O506/Daten_MFH!$D$16</f>
        <v>8.5177622972002862E-2</v>
      </c>
      <c r="P521" s="282">
        <f>P506/Daten_MFH!$D$16</f>
        <v>8.5177622972002862E-2</v>
      </c>
    </row>
    <row r="522" spans="1:19" hidden="1" outlineLevel="2" x14ac:dyDescent="0.25">
      <c r="E522" s="174" t="s">
        <v>605</v>
      </c>
      <c r="L522" s="173" t="s">
        <v>615</v>
      </c>
      <c r="M522" s="234" t="s">
        <v>733</v>
      </c>
      <c r="O522" s="273">
        <f>O507/Daten_MFH!$D$16</f>
        <v>46.542555751449683</v>
      </c>
      <c r="P522" s="274">
        <f>P507/Daten_MFH!$D$16</f>
        <v>46.542555751449683</v>
      </c>
    </row>
    <row r="523" spans="1:19" s="159" customFormat="1" ht="14.25" customHeight="1" collapsed="1" x14ac:dyDescent="0.25">
      <c r="A523" s="156" t="s">
        <v>670</v>
      </c>
      <c r="B523" s="157"/>
      <c r="C523" s="157"/>
      <c r="D523" s="158"/>
      <c r="O523" s="160"/>
      <c r="P523" s="161"/>
      <c r="R523" s="160"/>
      <c r="S523" s="161"/>
    </row>
    <row r="524" spans="1:19" s="162" customFormat="1" hidden="1" outlineLevel="2" x14ac:dyDescent="0.25">
      <c r="B524" s="163" t="s">
        <v>670</v>
      </c>
      <c r="O524" s="164"/>
      <c r="P524" s="165"/>
      <c r="R524" s="164"/>
      <c r="S524" s="165"/>
    </row>
    <row r="525" spans="1:19" s="170" customFormat="1" hidden="1" outlineLevel="2" x14ac:dyDescent="0.25">
      <c r="A525" s="166"/>
      <c r="B525" s="167"/>
      <c r="C525" s="166"/>
      <c r="D525" s="166"/>
      <c r="E525" s="166"/>
      <c r="F525" s="166"/>
      <c r="H525" s="166"/>
      <c r="J525" s="166"/>
      <c r="K525" s="166"/>
      <c r="L525" s="166" t="s">
        <v>319</v>
      </c>
      <c r="M525" s="166" t="s">
        <v>332</v>
      </c>
      <c r="N525" s="166"/>
      <c r="O525" s="168" t="s">
        <v>319</v>
      </c>
      <c r="P525" s="172" t="s">
        <v>332</v>
      </c>
      <c r="R525" s="171"/>
      <c r="S525" s="172"/>
    </row>
    <row r="526" spans="1:19" hidden="1" outlineLevel="2" x14ac:dyDescent="0.25">
      <c r="B526" s="174" t="s">
        <v>766</v>
      </c>
      <c r="E526" s="185" t="s">
        <v>669</v>
      </c>
      <c r="N526" s="264" t="s">
        <v>736</v>
      </c>
      <c r="O526" s="193">
        <f>O406*O300+O324*O414</f>
        <v>6423.3011524698086</v>
      </c>
      <c r="P526" s="194">
        <f>P406*P300+P324*P414</f>
        <v>6423.3011524698086</v>
      </c>
    </row>
    <row r="527" spans="1:19" hidden="1" outlineLevel="2" x14ac:dyDescent="0.25">
      <c r="B527" s="174" t="s">
        <v>735</v>
      </c>
      <c r="E527" s="185" t="s">
        <v>669</v>
      </c>
      <c r="N527" s="264" t="s">
        <v>736</v>
      </c>
      <c r="O527" s="193">
        <f>O423*Daten_ALLG!$D$278</f>
        <v>2832.7795124186268</v>
      </c>
      <c r="P527" s="194">
        <f>P423*Daten_ALLG!$D$278</f>
        <v>2832.7795124186268</v>
      </c>
    </row>
    <row r="528" spans="1:19" hidden="1" outlineLevel="2" x14ac:dyDescent="0.25">
      <c r="B528" s="174" t="s">
        <v>823</v>
      </c>
      <c r="E528" s="185" t="s">
        <v>669</v>
      </c>
      <c r="F528" s="173" t="s">
        <v>825</v>
      </c>
      <c r="N528" s="264" t="s">
        <v>40</v>
      </c>
      <c r="O528" s="193">
        <f>(O380+O392)*Daten_ALLG!$D$278</f>
        <v>16.769536777644515</v>
      </c>
      <c r="P528" s="194">
        <f>(P380+P392)*Daten_ALLG!$D$278</f>
        <v>16.769536777644515</v>
      </c>
    </row>
    <row r="529" spans="1:19" hidden="1" outlineLevel="2" x14ac:dyDescent="0.25">
      <c r="B529" s="174" t="s">
        <v>824</v>
      </c>
      <c r="E529" s="185" t="s">
        <v>669</v>
      </c>
      <c r="F529" s="173" t="s">
        <v>828</v>
      </c>
      <c r="J529" s="264" t="s">
        <v>826</v>
      </c>
      <c r="K529" s="173" t="s">
        <v>654</v>
      </c>
      <c r="L529" s="223">
        <f>IF(A303="",0,IF(OR(L303="v",M303="v"),1,0))</f>
        <v>0</v>
      </c>
      <c r="M529" s="223">
        <f>IF(A303="",0,IF(OR(L303="n",M303="n"),1,L529))</f>
        <v>0</v>
      </c>
      <c r="N529" s="264" t="s">
        <v>40</v>
      </c>
      <c r="O529" s="193">
        <f>O379*IF(L529=0,Daten_ALLG!$D$278,Daten_ALLG!$D$279)</f>
        <v>0</v>
      </c>
      <c r="P529" s="194">
        <f>P379*IF(M529=0,Daten_ALLG!$D$278,Daten_ALLG!$D$279)</f>
        <v>0</v>
      </c>
    </row>
    <row r="530" spans="1:19" hidden="1" outlineLevel="2" x14ac:dyDescent="0.25">
      <c r="B530" s="174" t="s">
        <v>829</v>
      </c>
      <c r="E530" s="185" t="s">
        <v>669</v>
      </c>
      <c r="F530" s="173" t="s">
        <v>828</v>
      </c>
      <c r="J530" s="264" t="s">
        <v>826</v>
      </c>
      <c r="K530" s="173" t="s">
        <v>654</v>
      </c>
      <c r="L530" s="223">
        <f>IF(A276="",0,IF(OR(L276="v",M276="v"),1,0))</f>
        <v>0</v>
      </c>
      <c r="M530" s="223">
        <f>IF(A276="",0,IF(OR(L276="n",M276="n"),1,L530))</f>
        <v>0</v>
      </c>
      <c r="N530" s="264" t="s">
        <v>40</v>
      </c>
      <c r="O530" s="193">
        <f>O388*IF(L530=0,Daten_ALLG!$D$278,Daten_ALLG!$D$279)</f>
        <v>0</v>
      </c>
      <c r="P530" s="194">
        <f>P388*IF(M530=0,Daten_ALLG!$D$278,Daten_ALLG!$D$279)</f>
        <v>0</v>
      </c>
    </row>
    <row r="531" spans="1:19" hidden="1" outlineLevel="2" x14ac:dyDescent="0.25">
      <c r="B531" s="174" t="s">
        <v>767</v>
      </c>
      <c r="E531" s="185" t="s">
        <v>669</v>
      </c>
      <c r="F531" s="173" t="s">
        <v>827</v>
      </c>
      <c r="N531" s="264" t="s">
        <v>40</v>
      </c>
      <c r="O531" s="193">
        <f>(O389+O393)*Daten_ALLG!$D$284</f>
        <v>53.55432712860668</v>
      </c>
      <c r="P531" s="194">
        <f>(P389+P393)*Daten_ALLG!$D$284</f>
        <v>53.55432712860668</v>
      </c>
    </row>
    <row r="532" spans="1:19" hidden="1" outlineLevel="2" x14ac:dyDescent="0.25">
      <c r="B532" s="174" t="s">
        <v>44</v>
      </c>
      <c r="E532" s="185" t="s">
        <v>669</v>
      </c>
      <c r="O532" s="180">
        <f>O526+O527-O529-O528-O530-O531</f>
        <v>9185.7568009821844</v>
      </c>
      <c r="P532" s="181">
        <f>P526+P527-P529-P528-P530-P531</f>
        <v>9185.7568009821844</v>
      </c>
    </row>
    <row r="533" spans="1:19" s="159" customFormat="1" ht="14.25" customHeight="1" collapsed="1" x14ac:dyDescent="0.25">
      <c r="A533" s="156" t="s">
        <v>36</v>
      </c>
      <c r="B533" s="157"/>
      <c r="C533" s="157"/>
      <c r="D533" s="158"/>
      <c r="O533" s="160"/>
      <c r="P533" s="161"/>
      <c r="R533" s="160"/>
      <c r="S533" s="161"/>
    </row>
    <row r="534" spans="1:19" s="162" customFormat="1" hidden="1" outlineLevel="2" x14ac:dyDescent="0.25">
      <c r="B534" s="163" t="s">
        <v>16</v>
      </c>
      <c r="O534" s="164"/>
      <c r="P534" s="165"/>
      <c r="R534" s="164"/>
      <c r="S534" s="165"/>
    </row>
    <row r="535" spans="1:19" s="170" customFormat="1" hidden="1" outlineLevel="2" x14ac:dyDescent="0.25">
      <c r="A535" s="166"/>
      <c r="B535" s="167"/>
      <c r="C535" s="166"/>
      <c r="D535" s="166"/>
      <c r="E535" s="166"/>
      <c r="F535" s="166"/>
      <c r="G535" s="166"/>
      <c r="H535" s="166"/>
      <c r="J535" s="166"/>
      <c r="K535" s="166"/>
      <c r="L535" s="166"/>
      <c r="M535" s="166"/>
      <c r="N535" s="166"/>
      <c r="O535" s="171"/>
      <c r="P535" s="172"/>
      <c r="R535" s="168" t="s">
        <v>644</v>
      </c>
      <c r="S535" s="169" t="s">
        <v>32</v>
      </c>
    </row>
    <row r="536" spans="1:19" hidden="1" outlineLevel="2" x14ac:dyDescent="0.25">
      <c r="B536" s="174" t="s">
        <v>653</v>
      </c>
      <c r="E536" s="185" t="s">
        <v>654</v>
      </c>
      <c r="F536" s="223">
        <f>IF($R$41&gt;0,1,0)</f>
        <v>0</v>
      </c>
      <c r="R536" s="295"/>
      <c r="S536" s="296"/>
    </row>
    <row r="537" spans="1:19" hidden="1" outlineLevel="2" x14ac:dyDescent="0.25">
      <c r="B537" s="174" t="s">
        <v>638</v>
      </c>
      <c r="E537" s="185" t="s">
        <v>637</v>
      </c>
      <c r="R537" s="297">
        <f>Daten_ALLG!$H$216</f>
        <v>60</v>
      </c>
      <c r="S537" s="298">
        <f>Daten_ALLG!$D$216+Daten_ALLG!$F$216*R41</f>
        <v>90</v>
      </c>
    </row>
    <row r="538" spans="1:19" hidden="1" outlineLevel="2" x14ac:dyDescent="0.25">
      <c r="B538" s="174" t="s">
        <v>639</v>
      </c>
      <c r="E538" s="185" t="s">
        <v>77</v>
      </c>
      <c r="R538" s="299">
        <f>R537*S42*F536</f>
        <v>0</v>
      </c>
      <c r="S538" s="300">
        <f>S537*R42*F536</f>
        <v>0</v>
      </c>
    </row>
    <row r="539" spans="1:19" hidden="1" outlineLevel="2" x14ac:dyDescent="0.25">
      <c r="B539" s="174" t="s">
        <v>640</v>
      </c>
      <c r="E539" s="185" t="s">
        <v>77</v>
      </c>
      <c r="R539" s="301">
        <f>R538*Daten_ALLG!$D$246</f>
        <v>0</v>
      </c>
      <c r="S539" s="302">
        <f>S538*Daten_ALLG!$D$246</f>
        <v>0</v>
      </c>
    </row>
    <row r="540" spans="1:19" hidden="1" outlineLevel="2" x14ac:dyDescent="0.25">
      <c r="B540" s="174" t="s">
        <v>641</v>
      </c>
      <c r="E540" s="185" t="s">
        <v>77</v>
      </c>
      <c r="R540" s="301">
        <f>R539*Daten_ALLG!$D$250</f>
        <v>0</v>
      </c>
      <c r="S540" s="302">
        <f>S539*Daten_ALLG!$D$250</f>
        <v>0</v>
      </c>
    </row>
    <row r="541" spans="1:19" s="162" customFormat="1" hidden="1" outlineLevel="2" x14ac:dyDescent="0.25">
      <c r="B541" s="163" t="s">
        <v>12</v>
      </c>
      <c r="O541" s="164"/>
      <c r="P541" s="165"/>
      <c r="R541" s="164"/>
      <c r="S541" s="165"/>
    </row>
    <row r="542" spans="1:19" s="170" customFormat="1" hidden="1" outlineLevel="2" x14ac:dyDescent="0.25">
      <c r="A542" s="166"/>
      <c r="B542" s="167"/>
      <c r="C542" s="166"/>
      <c r="D542" s="166"/>
      <c r="E542" s="166"/>
      <c r="F542" s="166"/>
      <c r="G542" s="166"/>
      <c r="H542" s="166"/>
      <c r="J542" s="166"/>
      <c r="K542" s="166"/>
      <c r="L542" s="166"/>
      <c r="M542" s="166"/>
      <c r="N542" s="166"/>
      <c r="O542" s="171"/>
      <c r="P542" s="172"/>
      <c r="R542" s="168" t="s">
        <v>644</v>
      </c>
      <c r="S542" s="169" t="s">
        <v>32</v>
      </c>
    </row>
    <row r="543" spans="1:19" hidden="1" outlineLevel="2" x14ac:dyDescent="0.25">
      <c r="B543" s="174" t="s">
        <v>653</v>
      </c>
      <c r="E543" s="185" t="s">
        <v>654</v>
      </c>
      <c r="F543" s="223">
        <f>IF($O$58-$P$58&lt;&gt;0,1,0)</f>
        <v>0</v>
      </c>
      <c r="R543" s="295"/>
      <c r="S543" s="296"/>
    </row>
    <row r="544" spans="1:19" hidden="1" outlineLevel="2" x14ac:dyDescent="0.25">
      <c r="B544" s="174" t="s">
        <v>638</v>
      </c>
      <c r="E544" s="185" t="s">
        <v>637</v>
      </c>
      <c r="R544" s="297">
        <f>Daten_ALLG!$H$219</f>
        <v>389</v>
      </c>
      <c r="S544" s="298">
        <f>Daten_ALLG!$D$219</f>
        <v>537</v>
      </c>
    </row>
    <row r="545" spans="1:19" hidden="1" outlineLevel="2" x14ac:dyDescent="0.25">
      <c r="B545" s="174" t="s">
        <v>639</v>
      </c>
      <c r="E545" s="185" t="s">
        <v>77</v>
      </c>
      <c r="R545" s="299">
        <f>R544*S59*F543</f>
        <v>0</v>
      </c>
      <c r="S545" s="300">
        <f>S544*R59*F543</f>
        <v>0</v>
      </c>
    </row>
    <row r="546" spans="1:19" hidden="1" outlineLevel="2" x14ac:dyDescent="0.25">
      <c r="B546" s="174" t="s">
        <v>640</v>
      </c>
      <c r="E546" s="185" t="s">
        <v>77</v>
      </c>
      <c r="R546" s="301">
        <f>R545*Daten_ALLG!$D$246</f>
        <v>0</v>
      </c>
      <c r="S546" s="302">
        <f>S545*Daten_ALLG!$D$246</f>
        <v>0</v>
      </c>
    </row>
    <row r="547" spans="1:19" hidden="1" outlineLevel="2" x14ac:dyDescent="0.25">
      <c r="B547" s="174" t="s">
        <v>641</v>
      </c>
      <c r="E547" s="185" t="s">
        <v>77</v>
      </c>
      <c r="R547" s="301">
        <f>R546*Daten_ALLG!$D$257</f>
        <v>0</v>
      </c>
      <c r="S547" s="302">
        <f>S546*Daten_ALLG!$D$257</f>
        <v>0</v>
      </c>
    </row>
    <row r="548" spans="1:19" s="162" customFormat="1" hidden="1" outlineLevel="2" x14ac:dyDescent="0.25">
      <c r="B548" s="163" t="s">
        <v>642</v>
      </c>
      <c r="O548" s="164"/>
      <c r="P548" s="165"/>
      <c r="R548" s="164"/>
      <c r="S548" s="165"/>
    </row>
    <row r="549" spans="1:19" s="170" customFormat="1" hidden="1" outlineLevel="2" x14ac:dyDescent="0.25">
      <c r="A549" s="166"/>
      <c r="B549" s="167"/>
      <c r="C549" s="166"/>
      <c r="D549" s="166"/>
      <c r="E549" s="166"/>
      <c r="F549" s="166" t="s">
        <v>17</v>
      </c>
      <c r="H549" s="166" t="s">
        <v>29</v>
      </c>
      <c r="J549" s="166"/>
      <c r="K549" s="166"/>
      <c r="L549" s="166"/>
      <c r="M549" s="166"/>
      <c r="N549" s="166"/>
      <c r="O549" s="171"/>
      <c r="P549" s="172"/>
      <c r="R549" s="168" t="s">
        <v>644</v>
      </c>
      <c r="S549" s="169" t="s">
        <v>32</v>
      </c>
    </row>
    <row r="550" spans="1:19" hidden="1" outlineLevel="2" x14ac:dyDescent="0.25">
      <c r="B550" s="174" t="s">
        <v>653</v>
      </c>
      <c r="E550" s="185" t="s">
        <v>654</v>
      </c>
      <c r="F550" s="223">
        <f>IF($R$46&gt;0,1,0)</f>
        <v>0</v>
      </c>
      <c r="R550" s="295"/>
      <c r="S550" s="296"/>
    </row>
    <row r="551" spans="1:19" hidden="1" outlineLevel="2" x14ac:dyDescent="0.25">
      <c r="B551" s="174" t="s">
        <v>157</v>
      </c>
      <c r="E551" s="185" t="s">
        <v>13</v>
      </c>
      <c r="F551" s="191">
        <f>Daten_MFH!$D$58</f>
        <v>0.40229885057471265</v>
      </c>
      <c r="H551" s="191">
        <f>Daten_MFH!$D$59</f>
        <v>0.5977011494252874</v>
      </c>
    </row>
    <row r="552" spans="1:19" hidden="1" outlineLevel="2" x14ac:dyDescent="0.25">
      <c r="B552" s="174" t="s">
        <v>638</v>
      </c>
      <c r="E552" s="185" t="s">
        <v>637</v>
      </c>
      <c r="F552" s="223">
        <f>Daten_ALLG!$H$218</f>
        <v>125</v>
      </c>
      <c r="G552" s="214">
        <f>Daten_ALLG!$D$218+Daten_ALLG!$F$218*R46</f>
        <v>155</v>
      </c>
      <c r="H552" s="223">
        <v>0</v>
      </c>
      <c r="I552" s="223">
        <f>Daten_ALLG!$D$221+Daten_ALLG!$F$221*Bil_MFH_mQS!R46</f>
        <v>30</v>
      </c>
      <c r="R552" s="297">
        <f t="shared" ref="R552:S552" si="29">$F$551*F552+$H$551*H552</f>
        <v>50.287356321839084</v>
      </c>
      <c r="S552" s="298">
        <f t="shared" si="29"/>
        <v>80.287356321839084</v>
      </c>
    </row>
    <row r="553" spans="1:19" hidden="1" outlineLevel="2" x14ac:dyDescent="0.25">
      <c r="B553" s="174" t="s">
        <v>639</v>
      </c>
      <c r="E553" s="185" t="s">
        <v>77</v>
      </c>
      <c r="F553" s="214">
        <f>F552*S47</f>
        <v>0</v>
      </c>
      <c r="G553" s="214">
        <f>G552*R47</f>
        <v>0</v>
      </c>
      <c r="H553" s="214">
        <f>H552*S47</f>
        <v>0</v>
      </c>
      <c r="I553" s="214">
        <f>I552*R47</f>
        <v>0</v>
      </c>
      <c r="R553" s="299">
        <f>($F$551*F553+$H$551*H553)*F550</f>
        <v>0</v>
      </c>
      <c r="S553" s="300">
        <f>($F$551*G553+$H$551*I553)*F550</f>
        <v>0</v>
      </c>
    </row>
    <row r="554" spans="1:19" hidden="1" outlineLevel="2" x14ac:dyDescent="0.25">
      <c r="B554" s="174" t="s">
        <v>640</v>
      </c>
      <c r="E554" s="185" t="s">
        <v>77</v>
      </c>
      <c r="F554" s="214">
        <f>F553*Daten_ALLG!$D$246</f>
        <v>0</v>
      </c>
      <c r="G554" s="214">
        <f>G553*Daten_ALLG!$D$246</f>
        <v>0</v>
      </c>
      <c r="H554" s="214">
        <f>H553*Daten_ALLG!$D$246</f>
        <v>0</v>
      </c>
      <c r="I554" s="214">
        <f>I553*Daten_ALLG!$D$246</f>
        <v>0</v>
      </c>
      <c r="R554" s="301">
        <f>($F$551*F554+$H$551*H554)*F550</f>
        <v>0</v>
      </c>
      <c r="S554" s="302">
        <f>($F$551*G554+$H$551*I554)*F550</f>
        <v>0</v>
      </c>
    </row>
    <row r="555" spans="1:19" hidden="1" outlineLevel="2" x14ac:dyDescent="0.25">
      <c r="B555" s="174" t="s">
        <v>641</v>
      </c>
      <c r="E555" s="185" t="s">
        <v>77</v>
      </c>
      <c r="F555" s="214">
        <f>F554*Daten_ALLG!$D$254</f>
        <v>0</v>
      </c>
      <c r="G555" s="214">
        <f>G554*Daten_ALLG!$D$254</f>
        <v>0</v>
      </c>
      <c r="H555" s="214">
        <f>H554*Daten_ALLG!$D$263</f>
        <v>0</v>
      </c>
      <c r="I555" s="214">
        <f>I554*Daten_ALLG!$D$263</f>
        <v>0</v>
      </c>
      <c r="R555" s="301">
        <f>($F$551*F555+$H$551*H555)*F550</f>
        <v>0</v>
      </c>
      <c r="S555" s="302">
        <f>($F$551*G555+$H$551*I555)*F550</f>
        <v>0</v>
      </c>
    </row>
    <row r="556" spans="1:19" s="162" customFormat="1" hidden="1" outlineLevel="2" x14ac:dyDescent="0.25">
      <c r="B556" s="163" t="s">
        <v>645</v>
      </c>
      <c r="O556" s="164"/>
      <c r="P556" s="165"/>
      <c r="R556" s="164"/>
      <c r="S556" s="165"/>
    </row>
    <row r="557" spans="1:19" s="170" customFormat="1" hidden="1" outlineLevel="2" x14ac:dyDescent="0.25">
      <c r="A557" s="166"/>
      <c r="B557" s="167"/>
      <c r="C557" s="166"/>
      <c r="D557" s="166"/>
      <c r="E557" s="166"/>
      <c r="F557" s="166" t="s">
        <v>18</v>
      </c>
      <c r="H557" s="166" t="s">
        <v>19</v>
      </c>
      <c r="J557" s="166"/>
      <c r="K557" s="166"/>
      <c r="L557" s="166"/>
      <c r="M557" s="166"/>
      <c r="N557" s="166"/>
      <c r="O557" s="171"/>
      <c r="P557" s="172"/>
      <c r="R557" s="168" t="s">
        <v>644</v>
      </c>
      <c r="S557" s="169" t="s">
        <v>32</v>
      </c>
    </row>
    <row r="558" spans="1:19" hidden="1" outlineLevel="2" x14ac:dyDescent="0.25">
      <c r="B558" s="174" t="s">
        <v>653</v>
      </c>
      <c r="E558" s="185" t="s">
        <v>654</v>
      </c>
      <c r="F558" s="223">
        <f>IF($R$52&gt;0,1,0)</f>
        <v>0</v>
      </c>
      <c r="R558" s="295"/>
      <c r="S558" s="296"/>
    </row>
    <row r="559" spans="1:19" hidden="1" outlineLevel="2" x14ac:dyDescent="0.25">
      <c r="B559" s="174" t="s">
        <v>157</v>
      </c>
      <c r="E559" s="185" t="s">
        <v>13</v>
      </c>
      <c r="F559" s="191">
        <f>Daten_MFH!$D$61</f>
        <v>0.85897435897435892</v>
      </c>
      <c r="H559" s="191">
        <f>Daten_MFH!$D$60</f>
        <v>0.14102564102564102</v>
      </c>
    </row>
    <row r="560" spans="1:19" hidden="1" outlineLevel="2" x14ac:dyDescent="0.25">
      <c r="B560" s="174" t="s">
        <v>638</v>
      </c>
      <c r="E560" s="185" t="s">
        <v>637</v>
      </c>
      <c r="F560" s="223">
        <v>0</v>
      </c>
      <c r="G560" s="214">
        <f>Daten_ALLG!$D$220+Daten_ALLG!$F$220*R52</f>
        <v>45</v>
      </c>
      <c r="H560" s="223">
        <v>0</v>
      </c>
      <c r="I560" s="223">
        <f>Daten_ALLG!$D$217+Daten_ALLG!$F$217*R52</f>
        <v>100</v>
      </c>
      <c r="R560" s="297">
        <f>($F$559*F560+$H$559*H560)*F558</f>
        <v>0</v>
      </c>
      <c r="S560" s="298">
        <f>($F$559*G560+$H$559*I560)*F558</f>
        <v>0</v>
      </c>
    </row>
    <row r="561" spans="1:19" hidden="1" outlineLevel="2" x14ac:dyDescent="0.25">
      <c r="B561" s="174" t="s">
        <v>639</v>
      </c>
      <c r="E561" s="185" t="s">
        <v>77</v>
      </c>
      <c r="F561" s="214">
        <f>F560*S53</f>
        <v>0</v>
      </c>
      <c r="G561" s="214">
        <f>G560*R53</f>
        <v>0</v>
      </c>
      <c r="H561" s="214">
        <f>H560*S53</f>
        <v>0</v>
      </c>
      <c r="I561" s="214">
        <f>I560*R53</f>
        <v>0</v>
      </c>
      <c r="R561" s="299">
        <f>($F$559*F561+$H$559*H561)*F558</f>
        <v>0</v>
      </c>
      <c r="S561" s="300">
        <f>($F$559*G561+$H$559*I561)*F558</f>
        <v>0</v>
      </c>
    </row>
    <row r="562" spans="1:19" hidden="1" outlineLevel="2" x14ac:dyDescent="0.25">
      <c r="B562" s="174" t="s">
        <v>640</v>
      </c>
      <c r="E562" s="185" t="s">
        <v>77</v>
      </c>
      <c r="F562" s="214">
        <f>F561*Daten_ALLG!$D$246</f>
        <v>0</v>
      </c>
      <c r="G562" s="214">
        <f>G561*Daten_ALLG!$D$246</f>
        <v>0</v>
      </c>
      <c r="H562" s="214">
        <f>H561*Daten_ALLG!$D$246</f>
        <v>0</v>
      </c>
      <c r="I562" s="214">
        <f>I561*Daten_ALLG!$D$246</f>
        <v>0</v>
      </c>
      <c r="R562" s="301">
        <f>($F$559*F562+$H$559*H562)*F558</f>
        <v>0</v>
      </c>
      <c r="S562" s="302">
        <f>($F$559*G562+$H$559*I562)*F558</f>
        <v>0</v>
      </c>
    </row>
    <row r="563" spans="1:19" hidden="1" outlineLevel="2" x14ac:dyDescent="0.25">
      <c r="B563" s="174" t="s">
        <v>641</v>
      </c>
      <c r="E563" s="185" t="s">
        <v>77</v>
      </c>
      <c r="F563" s="214">
        <f>F562*Daten_ALLG!$D$260</f>
        <v>0</v>
      </c>
      <c r="G563" s="214">
        <f>G562*Daten_ALLG!$D$260</f>
        <v>0</v>
      </c>
      <c r="H563" s="214">
        <f>H562*Daten_ALLG!$D$263</f>
        <v>0</v>
      </c>
      <c r="I563" s="214">
        <f>I562*Daten_ALLG!$D$263</f>
        <v>0</v>
      </c>
      <c r="R563" s="301">
        <f>($F$559*F563+$H$559*H563)*F558</f>
        <v>0</v>
      </c>
      <c r="S563" s="302">
        <f>($F$559*G563+$H$559*I563)*F558</f>
        <v>0</v>
      </c>
    </row>
    <row r="564" spans="1:19" s="162" customFormat="1" hidden="1" outlineLevel="2" x14ac:dyDescent="0.25">
      <c r="B564" s="163" t="s">
        <v>643</v>
      </c>
      <c r="O564" s="164"/>
      <c r="P564" s="165"/>
      <c r="R564" s="164"/>
      <c r="S564" s="165"/>
    </row>
    <row r="565" spans="1:19" s="170" customFormat="1" hidden="1" outlineLevel="2" x14ac:dyDescent="0.25">
      <c r="A565" s="166"/>
      <c r="B565" s="167"/>
      <c r="C565" s="166"/>
      <c r="D565" s="166"/>
      <c r="E565" s="166"/>
      <c r="F565" s="166"/>
      <c r="G565" s="166"/>
      <c r="H565" s="166"/>
      <c r="J565" s="166"/>
      <c r="K565" s="166"/>
      <c r="L565" s="166"/>
      <c r="M565" s="166"/>
      <c r="N565" s="166"/>
      <c r="O565" s="171"/>
      <c r="P565" s="172"/>
      <c r="R565" s="168" t="s">
        <v>644</v>
      </c>
      <c r="S565" s="169" t="s">
        <v>32</v>
      </c>
    </row>
    <row r="566" spans="1:19" hidden="1" outlineLevel="2" x14ac:dyDescent="0.25">
      <c r="B566" s="174" t="s">
        <v>638</v>
      </c>
      <c r="E566" s="185" t="s">
        <v>637</v>
      </c>
      <c r="R566" s="297">
        <v>0</v>
      </c>
      <c r="S566" s="298">
        <f>Daten_ALLG!$D$235</f>
        <v>75</v>
      </c>
    </row>
    <row r="567" spans="1:19" hidden="1" outlineLevel="2" x14ac:dyDescent="0.25">
      <c r="B567" s="174" t="s">
        <v>639</v>
      </c>
      <c r="E567" s="185" t="s">
        <v>77</v>
      </c>
      <c r="R567" s="299">
        <v>0</v>
      </c>
      <c r="S567" s="300">
        <f>S566*R88</f>
        <v>0</v>
      </c>
    </row>
    <row r="568" spans="1:19" hidden="1" outlineLevel="2" x14ac:dyDescent="0.25">
      <c r="B568" s="174" t="s">
        <v>640</v>
      </c>
      <c r="E568" s="185" t="s">
        <v>77</v>
      </c>
      <c r="R568" s="301">
        <v>0</v>
      </c>
      <c r="S568" s="302">
        <f>S567*Daten_ALLG!$D$246</f>
        <v>0</v>
      </c>
    </row>
    <row r="569" spans="1:19" hidden="1" outlineLevel="2" x14ac:dyDescent="0.25">
      <c r="B569" s="174" t="s">
        <v>641</v>
      </c>
      <c r="E569" s="185" t="s">
        <v>77</v>
      </c>
      <c r="R569" s="301">
        <v>0</v>
      </c>
      <c r="S569" s="302">
        <f>S568*Daten_ALLG!$D$268</f>
        <v>0</v>
      </c>
    </row>
    <row r="570" spans="1:19" s="162" customFormat="1" hidden="1" outlineLevel="2" x14ac:dyDescent="0.25">
      <c r="B570" s="163" t="s">
        <v>9</v>
      </c>
      <c r="O570" s="164"/>
      <c r="P570" s="165"/>
      <c r="R570" s="164"/>
      <c r="S570" s="165"/>
    </row>
    <row r="571" spans="1:19" s="170" customFormat="1" hidden="1" outlineLevel="2" x14ac:dyDescent="0.25">
      <c r="A571" s="166"/>
      <c r="B571" s="167"/>
      <c r="C571" s="166"/>
      <c r="D571" s="166"/>
      <c r="E571" s="166"/>
      <c r="F571" s="166"/>
      <c r="G571" s="166"/>
      <c r="H571" s="166"/>
      <c r="J571" s="166"/>
      <c r="K571" s="166"/>
      <c r="L571" s="166"/>
      <c r="M571" s="166"/>
      <c r="N571" s="166"/>
      <c r="O571" s="171"/>
      <c r="P571" s="172"/>
      <c r="R571" s="168" t="s">
        <v>644</v>
      </c>
      <c r="S571" s="169" t="s">
        <v>32</v>
      </c>
    </row>
    <row r="572" spans="1:19" hidden="1" outlineLevel="2" x14ac:dyDescent="0.25">
      <c r="B572" s="174" t="s">
        <v>638</v>
      </c>
      <c r="E572" s="185" t="s">
        <v>646</v>
      </c>
      <c r="R572" s="297">
        <v>0</v>
      </c>
      <c r="S572" s="298">
        <f>Daten_ALLG!$D$236</f>
        <v>1200</v>
      </c>
    </row>
    <row r="573" spans="1:19" hidden="1" outlineLevel="2" x14ac:dyDescent="0.25">
      <c r="B573" s="174" t="s">
        <v>639</v>
      </c>
      <c r="E573" s="185" t="s">
        <v>77</v>
      </c>
      <c r="R573" s="299">
        <v>0</v>
      </c>
      <c r="S573" s="300">
        <f>S572*R357</f>
        <v>0</v>
      </c>
    </row>
    <row r="574" spans="1:19" hidden="1" outlineLevel="2" x14ac:dyDescent="0.25">
      <c r="B574" s="174" t="s">
        <v>640</v>
      </c>
      <c r="E574" s="185" t="s">
        <v>77</v>
      </c>
      <c r="R574" s="301">
        <v>0</v>
      </c>
      <c r="S574" s="302">
        <f>S573*Daten_ALLG!$D$246</f>
        <v>0</v>
      </c>
    </row>
    <row r="575" spans="1:19" hidden="1" outlineLevel="2" x14ac:dyDescent="0.25">
      <c r="B575" s="174" t="s">
        <v>641</v>
      </c>
      <c r="E575" s="185" t="s">
        <v>77</v>
      </c>
      <c r="R575" s="301">
        <v>0</v>
      </c>
      <c r="S575" s="302">
        <f>S574*Daten_ALLG!$D$265</f>
        <v>0</v>
      </c>
    </row>
    <row r="576" spans="1:19" s="162" customFormat="1" hidden="1" outlineLevel="2" x14ac:dyDescent="0.25">
      <c r="B576" s="163" t="s">
        <v>649</v>
      </c>
      <c r="O576" s="164"/>
      <c r="P576" s="165"/>
      <c r="R576" s="164"/>
      <c r="S576" s="165"/>
    </row>
    <row r="577" spans="1:19" s="170" customFormat="1" hidden="1" outlineLevel="2" x14ac:dyDescent="0.25">
      <c r="A577" s="166"/>
      <c r="B577" s="167"/>
      <c r="C577" s="166"/>
      <c r="D577" s="166"/>
      <c r="E577" s="166"/>
      <c r="F577" s="166"/>
      <c r="G577" s="166"/>
      <c r="H577" s="166"/>
      <c r="J577" s="166"/>
      <c r="K577" s="166"/>
      <c r="L577" s="166"/>
      <c r="M577" s="166"/>
      <c r="N577" s="166"/>
      <c r="O577" s="171"/>
      <c r="P577" s="172"/>
      <c r="R577" s="168" t="s">
        <v>644</v>
      </c>
      <c r="S577" s="169" t="s">
        <v>32</v>
      </c>
    </row>
    <row r="578" spans="1:19" hidden="1" outlineLevel="2" x14ac:dyDescent="0.25">
      <c r="B578" s="174" t="s">
        <v>638</v>
      </c>
      <c r="E578" s="185" t="s">
        <v>637</v>
      </c>
      <c r="R578" s="297">
        <v>0</v>
      </c>
      <c r="S578" s="298">
        <f>Daten_ALLG!$D$237</f>
        <v>900</v>
      </c>
    </row>
    <row r="579" spans="1:19" hidden="1" outlineLevel="2" x14ac:dyDescent="0.25">
      <c r="B579" s="174" t="s">
        <v>639</v>
      </c>
      <c r="E579" s="185" t="s">
        <v>77</v>
      </c>
      <c r="R579" s="299">
        <v>0</v>
      </c>
      <c r="S579" s="300">
        <f>S578*R352</f>
        <v>0</v>
      </c>
    </row>
    <row r="580" spans="1:19" hidden="1" outlineLevel="2" x14ac:dyDescent="0.25">
      <c r="B580" s="174" t="s">
        <v>640</v>
      </c>
      <c r="E580" s="185" t="s">
        <v>77</v>
      </c>
      <c r="R580" s="301">
        <v>0</v>
      </c>
      <c r="S580" s="302">
        <f>S579*Daten_ALLG!$D$246</f>
        <v>0</v>
      </c>
    </row>
    <row r="581" spans="1:19" hidden="1" outlineLevel="2" x14ac:dyDescent="0.25">
      <c r="B581" s="174" t="s">
        <v>641</v>
      </c>
      <c r="E581" s="185" t="s">
        <v>77</v>
      </c>
      <c r="R581" s="301">
        <v>0</v>
      </c>
      <c r="S581" s="302">
        <f>S580*Daten_ALLG!$D$266</f>
        <v>0</v>
      </c>
    </row>
    <row r="582" spans="1:19" s="162" customFormat="1" hidden="1" outlineLevel="2" x14ac:dyDescent="0.25">
      <c r="B582" s="163" t="s">
        <v>647</v>
      </c>
      <c r="O582" s="164"/>
      <c r="P582" s="165"/>
      <c r="R582" s="164"/>
      <c r="S582" s="165"/>
    </row>
    <row r="583" spans="1:19" s="170" customFormat="1" hidden="1" outlineLevel="2" x14ac:dyDescent="0.25">
      <c r="A583" s="166"/>
      <c r="B583" s="167"/>
      <c r="C583" s="166"/>
      <c r="D583" s="166"/>
      <c r="E583" s="166"/>
      <c r="F583" s="166"/>
      <c r="G583" s="166"/>
      <c r="H583" s="166"/>
      <c r="J583" s="166"/>
      <c r="K583" s="166"/>
      <c r="L583" s="166"/>
      <c r="M583" s="166"/>
      <c r="N583" s="166"/>
      <c r="O583" s="171"/>
      <c r="P583" s="172"/>
      <c r="R583" s="168" t="s">
        <v>644</v>
      </c>
      <c r="S583" s="169" t="s">
        <v>32</v>
      </c>
    </row>
    <row r="584" spans="1:19" hidden="1" outlineLevel="2" x14ac:dyDescent="0.25">
      <c r="B584" s="174" t="s">
        <v>444</v>
      </c>
      <c r="E584" s="185" t="s">
        <v>427</v>
      </c>
      <c r="R584" s="297">
        <v>0</v>
      </c>
      <c r="S584" s="298">
        <f>R331</f>
        <v>0</v>
      </c>
    </row>
    <row r="585" spans="1:19" hidden="1" outlineLevel="2" x14ac:dyDescent="0.25">
      <c r="B585" s="174" t="s">
        <v>639</v>
      </c>
      <c r="E585" s="185" t="s">
        <v>77</v>
      </c>
      <c r="R585" s="299">
        <v>0</v>
      </c>
      <c r="S585" s="300">
        <f>IF(S584=0,0,S584*Daten_ALLG!$D$239+Daten_ALLG!$F$239)</f>
        <v>0</v>
      </c>
    </row>
    <row r="586" spans="1:19" hidden="1" outlineLevel="2" x14ac:dyDescent="0.25">
      <c r="B586" s="174" t="s">
        <v>640</v>
      </c>
      <c r="E586" s="185" t="s">
        <v>77</v>
      </c>
      <c r="R586" s="301">
        <v>0</v>
      </c>
      <c r="S586" s="302">
        <f>S585*Daten_ALLG!$D$246</f>
        <v>0</v>
      </c>
    </row>
    <row r="587" spans="1:19" hidden="1" outlineLevel="2" x14ac:dyDescent="0.25">
      <c r="B587" s="174" t="s">
        <v>641</v>
      </c>
      <c r="E587" s="185" t="s">
        <v>77</v>
      </c>
      <c r="R587" s="301">
        <v>0</v>
      </c>
      <c r="S587" s="302">
        <f>S586*Daten_ALLG!$D$267</f>
        <v>0</v>
      </c>
    </row>
    <row r="588" spans="1:19" s="162" customFormat="1" hidden="1" outlineLevel="2" x14ac:dyDescent="0.25">
      <c r="B588" s="163" t="s">
        <v>648</v>
      </c>
      <c r="O588" s="164"/>
      <c r="P588" s="165"/>
      <c r="R588" s="164"/>
      <c r="S588" s="165"/>
    </row>
    <row r="589" spans="1:19" s="170" customFormat="1" hidden="1" outlineLevel="2" x14ac:dyDescent="0.25">
      <c r="A589" s="166"/>
      <c r="B589" s="167"/>
      <c r="C589" s="166"/>
      <c r="D589" s="166"/>
      <c r="E589" s="166"/>
      <c r="F589" s="166"/>
      <c r="G589" s="166"/>
      <c r="H589" s="166"/>
      <c r="J589" s="166"/>
      <c r="K589" s="166"/>
      <c r="L589" s="166"/>
      <c r="M589" s="166"/>
      <c r="N589" s="166"/>
      <c r="O589" s="171"/>
      <c r="P589" s="172"/>
      <c r="R589" s="168" t="s">
        <v>644</v>
      </c>
      <c r="S589" s="169" t="s">
        <v>32</v>
      </c>
    </row>
    <row r="590" spans="1:19" hidden="1" outlineLevel="2" x14ac:dyDescent="0.25">
      <c r="B590" s="174" t="s">
        <v>444</v>
      </c>
      <c r="E590" s="185" t="s">
        <v>427</v>
      </c>
      <c r="R590" s="297">
        <f>S339</f>
        <v>0</v>
      </c>
      <c r="S590" s="298">
        <f>R339</f>
        <v>0</v>
      </c>
    </row>
    <row r="591" spans="1:19" hidden="1" outlineLevel="2" x14ac:dyDescent="0.25">
      <c r="B591" s="174" t="s">
        <v>639</v>
      </c>
      <c r="E591" s="185" t="s">
        <v>77</v>
      </c>
      <c r="R591" s="299">
        <f>IF(R590=0,0,R590*Daten_ALLG!$D$239+Daten_ALLG!$F$239)</f>
        <v>0</v>
      </c>
      <c r="S591" s="300">
        <f>IF(S590=0,0,S590*Daten_ALLG!$D$239+Daten_ALLG!$F$239)</f>
        <v>0</v>
      </c>
    </row>
    <row r="592" spans="1:19" hidden="1" outlineLevel="2" x14ac:dyDescent="0.25">
      <c r="B592" s="174" t="s">
        <v>640</v>
      </c>
      <c r="E592" s="185" t="s">
        <v>77</v>
      </c>
      <c r="R592" s="301">
        <f>R591*Daten_ALLG!$D$246</f>
        <v>0</v>
      </c>
      <c r="S592" s="302">
        <f>S591*Daten_ALLG!$D$246</f>
        <v>0</v>
      </c>
    </row>
    <row r="593" spans="1:19" hidden="1" outlineLevel="2" x14ac:dyDescent="0.25">
      <c r="B593" s="174" t="s">
        <v>641</v>
      </c>
      <c r="E593" s="185" t="s">
        <v>77</v>
      </c>
      <c r="R593" s="301">
        <f>R592*Daten_ALLG!$D$267</f>
        <v>0</v>
      </c>
      <c r="S593" s="302">
        <f>S592*Daten_ALLG!$D$267</f>
        <v>0</v>
      </c>
    </row>
    <row r="594" spans="1:19" s="162" customFormat="1" hidden="1" outlineLevel="2" x14ac:dyDescent="0.25">
      <c r="B594" s="163" t="s">
        <v>650</v>
      </c>
      <c r="O594" s="164"/>
      <c r="P594" s="165"/>
      <c r="R594" s="164"/>
      <c r="S594" s="165"/>
    </row>
    <row r="595" spans="1:19" s="170" customFormat="1" hidden="1" outlineLevel="2" x14ac:dyDescent="0.25">
      <c r="A595" s="166"/>
      <c r="B595" s="167"/>
      <c r="C595" s="166"/>
      <c r="D595" s="166"/>
      <c r="E595" s="166"/>
      <c r="F595" s="166"/>
      <c r="G595" s="166"/>
      <c r="H595" s="166"/>
      <c r="J595" s="166"/>
      <c r="K595" s="166"/>
      <c r="L595" s="166"/>
      <c r="M595" s="166"/>
      <c r="N595" s="166"/>
      <c r="O595" s="171"/>
      <c r="P595" s="172"/>
      <c r="R595" s="168" t="s">
        <v>644</v>
      </c>
      <c r="S595" s="169" t="s">
        <v>32</v>
      </c>
    </row>
    <row r="596" spans="1:19" hidden="1" outlineLevel="2" x14ac:dyDescent="0.25">
      <c r="B596" s="174" t="s">
        <v>651</v>
      </c>
      <c r="E596" s="185" t="s">
        <v>48</v>
      </c>
      <c r="R596" s="297">
        <v>0</v>
      </c>
      <c r="S596" s="298">
        <f>R306</f>
        <v>0</v>
      </c>
    </row>
    <row r="597" spans="1:19" hidden="1" outlineLevel="2" x14ac:dyDescent="0.25">
      <c r="B597" s="174" t="s">
        <v>639</v>
      </c>
      <c r="E597" s="185" t="s">
        <v>77</v>
      </c>
      <c r="R597" s="299">
        <v>0</v>
      </c>
      <c r="S597" s="300">
        <f>S596*Daten_ALLG!$D$238</f>
        <v>0</v>
      </c>
    </row>
    <row r="598" spans="1:19" hidden="1" outlineLevel="2" x14ac:dyDescent="0.25">
      <c r="B598" s="174" t="s">
        <v>640</v>
      </c>
      <c r="E598" s="185" t="s">
        <v>77</v>
      </c>
      <c r="R598" s="301">
        <f>R597*Daten_ALLG!$D$246</f>
        <v>0</v>
      </c>
      <c r="S598" s="302">
        <f>S597*Daten_ALLG!$D$246</f>
        <v>0</v>
      </c>
    </row>
    <row r="599" spans="1:19" hidden="1" outlineLevel="2" x14ac:dyDescent="0.25">
      <c r="B599" s="174" t="s">
        <v>641</v>
      </c>
      <c r="E599" s="185" t="s">
        <v>77</v>
      </c>
      <c r="R599" s="301">
        <f>R598*Daten_ALLG!$D$267</f>
        <v>0</v>
      </c>
      <c r="S599" s="302">
        <f>S598*Daten_ALLG!$D$255</f>
        <v>0</v>
      </c>
    </row>
    <row r="600" spans="1:19" s="162" customFormat="1" hidden="1" outlineLevel="2" x14ac:dyDescent="0.25">
      <c r="B600" s="163" t="s">
        <v>652</v>
      </c>
      <c r="O600" s="164"/>
      <c r="P600" s="165"/>
      <c r="R600" s="164"/>
      <c r="S600" s="165"/>
    </row>
    <row r="601" spans="1:19" s="170" customFormat="1" hidden="1" outlineLevel="2" x14ac:dyDescent="0.25">
      <c r="A601" s="166"/>
      <c r="B601" s="167"/>
      <c r="C601" s="166"/>
      <c r="D601" s="166"/>
      <c r="E601" s="166"/>
      <c r="F601" s="166"/>
      <c r="G601" s="166"/>
      <c r="H601" s="166"/>
      <c r="J601" s="166"/>
      <c r="K601" s="166"/>
      <c r="L601" s="166"/>
      <c r="M601" s="166"/>
      <c r="N601" s="166"/>
      <c r="O601" s="171"/>
      <c r="P601" s="172"/>
      <c r="R601" s="168" t="s">
        <v>644</v>
      </c>
      <c r="S601" s="169" t="s">
        <v>32</v>
      </c>
    </row>
    <row r="602" spans="1:19" hidden="1" outlineLevel="2" x14ac:dyDescent="0.25">
      <c r="B602" s="174" t="s">
        <v>653</v>
      </c>
      <c r="E602" s="185" t="s">
        <v>654</v>
      </c>
      <c r="F602" s="223">
        <f>IF($L$276="N",1,0)</f>
        <v>0</v>
      </c>
      <c r="R602" s="295"/>
      <c r="S602" s="296"/>
    </row>
    <row r="603" spans="1:19" hidden="1" outlineLevel="2" x14ac:dyDescent="0.25">
      <c r="B603" s="174" t="s">
        <v>51</v>
      </c>
      <c r="E603" s="185" t="s">
        <v>368</v>
      </c>
      <c r="R603" s="297">
        <f>$S$282</f>
        <v>24.240939036651458</v>
      </c>
      <c r="S603" s="303">
        <f>$R$282</f>
        <v>24.165400894126225</v>
      </c>
    </row>
    <row r="604" spans="1:19" hidden="1" outlineLevel="2" x14ac:dyDescent="0.25">
      <c r="B604" s="174" t="s">
        <v>639</v>
      </c>
      <c r="E604" s="185" t="s">
        <v>77</v>
      </c>
      <c r="R604" s="299">
        <f>Daten_ALLG!$H$224*R603^Daten_ALLG!$J$224*F602</f>
        <v>0</v>
      </c>
      <c r="S604" s="300">
        <f>Daten_ALLG!$D$224*S603^Daten_ALLG!$F$224*F602</f>
        <v>0</v>
      </c>
    </row>
    <row r="605" spans="1:19" hidden="1" outlineLevel="2" x14ac:dyDescent="0.25">
      <c r="B605" s="174" t="s">
        <v>640</v>
      </c>
      <c r="E605" s="185" t="s">
        <v>77</v>
      </c>
      <c r="R605" s="301">
        <f>R604*Daten_ALLG!$D$246</f>
        <v>0</v>
      </c>
      <c r="S605" s="302">
        <f>S604*Daten_ALLG!$D$246</f>
        <v>0</v>
      </c>
    </row>
    <row r="606" spans="1:19" hidden="1" outlineLevel="2" x14ac:dyDescent="0.25">
      <c r="B606" s="174" t="s">
        <v>641</v>
      </c>
      <c r="E606" s="185" t="s">
        <v>77</v>
      </c>
      <c r="R606" s="301">
        <f>R605*Daten_ALLG!$D$258</f>
        <v>0</v>
      </c>
      <c r="S606" s="302">
        <f>S605*Daten_ALLG!$D$251</f>
        <v>0</v>
      </c>
    </row>
    <row r="607" spans="1:19" s="162" customFormat="1" hidden="1" outlineLevel="2" x14ac:dyDescent="0.25">
      <c r="B607" s="163" t="s">
        <v>655</v>
      </c>
      <c r="O607" s="164"/>
      <c r="P607" s="165"/>
      <c r="R607" s="164"/>
      <c r="S607" s="165"/>
    </row>
    <row r="608" spans="1:19" s="170" customFormat="1" hidden="1" outlineLevel="2" x14ac:dyDescent="0.25">
      <c r="A608" s="166"/>
      <c r="B608" s="167"/>
      <c r="C608" s="166"/>
      <c r="D608" s="166"/>
      <c r="E608" s="166"/>
      <c r="F608" s="166"/>
      <c r="G608" s="166"/>
      <c r="H608" s="166"/>
      <c r="J608" s="166"/>
      <c r="K608" s="166"/>
      <c r="L608" s="166"/>
      <c r="M608" s="166"/>
      <c r="N608" s="166"/>
      <c r="O608" s="171"/>
      <c r="P608" s="172"/>
      <c r="R608" s="168" t="s">
        <v>644</v>
      </c>
      <c r="S608" s="169" t="s">
        <v>32</v>
      </c>
    </row>
    <row r="609" spans="1:19" hidden="1" outlineLevel="2" x14ac:dyDescent="0.25">
      <c r="B609" s="174" t="s">
        <v>653</v>
      </c>
      <c r="E609" s="185" t="s">
        <v>654</v>
      </c>
      <c r="F609" s="223">
        <f>IF($M$276="N",1,0)</f>
        <v>0</v>
      </c>
      <c r="R609" s="295"/>
      <c r="S609" s="296"/>
    </row>
    <row r="610" spans="1:19" hidden="1" outlineLevel="2" x14ac:dyDescent="0.25">
      <c r="B610" s="174" t="s">
        <v>51</v>
      </c>
      <c r="E610" s="185" t="s">
        <v>368</v>
      </c>
      <c r="R610" s="297">
        <f>$S$282</f>
        <v>24.240939036651458</v>
      </c>
      <c r="S610" s="303">
        <f>$R$282</f>
        <v>24.165400894126225</v>
      </c>
    </row>
    <row r="611" spans="1:19" hidden="1" outlineLevel="2" x14ac:dyDescent="0.25">
      <c r="B611" s="174" t="s">
        <v>639</v>
      </c>
      <c r="E611" s="185" t="s">
        <v>77</v>
      </c>
      <c r="R611" s="299">
        <f>Daten_ALLG!$H$225*R610^Daten_ALLG!$J$225*F609</f>
        <v>0</v>
      </c>
      <c r="S611" s="300">
        <f>Daten_ALLG!$D$225*S610^Daten_ALLG!$F$225*F609</f>
        <v>0</v>
      </c>
    </row>
    <row r="612" spans="1:19" hidden="1" outlineLevel="2" x14ac:dyDescent="0.25">
      <c r="B612" s="174" t="s">
        <v>640</v>
      </c>
      <c r="E612" s="185" t="s">
        <v>77</v>
      </c>
      <c r="R612" s="301">
        <f>R611*Daten_ALLG!$D$246</f>
        <v>0</v>
      </c>
      <c r="S612" s="302">
        <f>S611*Daten_ALLG!$D$246</f>
        <v>0</v>
      </c>
    </row>
    <row r="613" spans="1:19" hidden="1" outlineLevel="2" x14ac:dyDescent="0.25">
      <c r="B613" s="174" t="s">
        <v>641</v>
      </c>
      <c r="E613" s="185" t="s">
        <v>77</v>
      </c>
      <c r="R613" s="301">
        <f>R612*Daten_ALLG!$D$258</f>
        <v>0</v>
      </c>
      <c r="S613" s="302">
        <f>S612*Daten_ALLG!$D$256</f>
        <v>0</v>
      </c>
    </row>
    <row r="614" spans="1:19" s="162" customFormat="1" hidden="1" outlineLevel="2" x14ac:dyDescent="0.25">
      <c r="B614" s="163" t="s">
        <v>656</v>
      </c>
      <c r="O614" s="164"/>
      <c r="P614" s="165"/>
      <c r="R614" s="164"/>
      <c r="S614" s="165"/>
    </row>
    <row r="615" spans="1:19" s="170" customFormat="1" hidden="1" outlineLevel="2" x14ac:dyDescent="0.25">
      <c r="A615" s="166"/>
      <c r="B615" s="167"/>
      <c r="C615" s="166"/>
      <c r="D615" s="166"/>
      <c r="E615" s="166"/>
      <c r="F615" s="166"/>
      <c r="G615" s="166"/>
      <c r="H615" s="166"/>
      <c r="J615" s="166"/>
      <c r="K615" s="166"/>
      <c r="L615" s="166"/>
      <c r="M615" s="166"/>
      <c r="N615" s="166"/>
      <c r="O615" s="171"/>
      <c r="P615" s="172"/>
      <c r="R615" s="168" t="s">
        <v>644</v>
      </c>
      <c r="S615" s="169" t="s">
        <v>32</v>
      </c>
    </row>
    <row r="616" spans="1:19" hidden="1" outlineLevel="2" x14ac:dyDescent="0.25">
      <c r="B616" s="174" t="s">
        <v>653</v>
      </c>
      <c r="E616" s="185" t="s">
        <v>654</v>
      </c>
      <c r="F616" s="223">
        <f>IF($J$276="N",1,0)</f>
        <v>0</v>
      </c>
      <c r="R616" s="295"/>
      <c r="S616" s="296"/>
    </row>
    <row r="617" spans="1:19" hidden="1" outlineLevel="2" x14ac:dyDescent="0.25">
      <c r="B617" s="174" t="s">
        <v>51</v>
      </c>
      <c r="E617" s="185" t="s">
        <v>368</v>
      </c>
      <c r="R617" s="297">
        <f>$S$282</f>
        <v>24.240939036651458</v>
      </c>
      <c r="S617" s="303">
        <f>$R$282</f>
        <v>24.165400894126225</v>
      </c>
    </row>
    <row r="618" spans="1:19" hidden="1" outlineLevel="2" x14ac:dyDescent="0.25">
      <c r="B618" s="174" t="s">
        <v>639</v>
      </c>
      <c r="E618" s="185" t="s">
        <v>77</v>
      </c>
      <c r="R618" s="299">
        <f>Daten_ALLG!$H$229*R617^Daten_ALLG!$J$229*F616</f>
        <v>0</v>
      </c>
      <c r="S618" s="300">
        <f>Daten_ALLG!$D$229*S617^Daten_ALLG!$F$229*F616</f>
        <v>0</v>
      </c>
    </row>
    <row r="619" spans="1:19" hidden="1" outlineLevel="2" x14ac:dyDescent="0.25">
      <c r="B619" s="174" t="s">
        <v>640</v>
      </c>
      <c r="E619" s="185" t="s">
        <v>77</v>
      </c>
      <c r="R619" s="301">
        <f>R618*Daten_ALLG!$D$246</f>
        <v>0</v>
      </c>
      <c r="S619" s="302">
        <f>S618*Daten_ALLG!$D$246</f>
        <v>0</v>
      </c>
    </row>
    <row r="620" spans="1:19" hidden="1" outlineLevel="2" x14ac:dyDescent="0.25">
      <c r="B620" s="174" t="s">
        <v>641</v>
      </c>
      <c r="E620" s="185" t="s">
        <v>77</v>
      </c>
      <c r="R620" s="301">
        <f>R619*Daten_ALLG!$D$258</f>
        <v>0</v>
      </c>
      <c r="S620" s="302">
        <f>S619*Daten_ALLG!$D$262</f>
        <v>0</v>
      </c>
    </row>
    <row r="621" spans="1:19" s="162" customFormat="1" hidden="1" outlineLevel="2" x14ac:dyDescent="0.25">
      <c r="B621" s="163" t="s">
        <v>21</v>
      </c>
      <c r="O621" s="164"/>
      <c r="P621" s="165"/>
      <c r="R621" s="164"/>
      <c r="S621" s="165"/>
    </row>
    <row r="622" spans="1:19" s="170" customFormat="1" hidden="1" outlineLevel="2" x14ac:dyDescent="0.25">
      <c r="A622" s="166"/>
      <c r="B622" s="167"/>
      <c r="C622" s="166"/>
      <c r="D622" s="166"/>
      <c r="E622" s="166"/>
      <c r="F622" s="166"/>
      <c r="G622" s="166"/>
      <c r="H622" s="166"/>
      <c r="J622" s="166"/>
      <c r="K622" s="166"/>
      <c r="L622" s="166"/>
      <c r="M622" s="166"/>
      <c r="N622" s="166"/>
      <c r="O622" s="171"/>
      <c r="P622" s="172"/>
      <c r="R622" s="168" t="s">
        <v>644</v>
      </c>
      <c r="S622" s="169" t="s">
        <v>32</v>
      </c>
    </row>
    <row r="623" spans="1:19" hidden="1" outlineLevel="2" x14ac:dyDescent="0.25">
      <c r="B623" s="174" t="s">
        <v>653</v>
      </c>
      <c r="E623" s="185" t="s">
        <v>654</v>
      </c>
      <c r="F623" s="223">
        <f>IF($E$276="N",1,0)</f>
        <v>0</v>
      </c>
      <c r="R623" s="295"/>
      <c r="S623" s="296"/>
    </row>
    <row r="624" spans="1:19" hidden="1" outlineLevel="2" x14ac:dyDescent="0.25">
      <c r="B624" s="174" t="s">
        <v>51</v>
      </c>
      <c r="E624" s="185" t="s">
        <v>368</v>
      </c>
      <c r="R624" s="297">
        <f>$S$282</f>
        <v>24.240939036651458</v>
      </c>
      <c r="S624" s="303">
        <f>$R$282</f>
        <v>24.165400894126225</v>
      </c>
    </row>
    <row r="625" spans="1:19" hidden="1" outlineLevel="2" x14ac:dyDescent="0.25">
      <c r="B625" s="174" t="s">
        <v>639</v>
      </c>
      <c r="E625" s="185" t="s">
        <v>77</v>
      </c>
      <c r="R625" s="299">
        <f>Daten_ALLG!$H$227*R624^Daten_ALLG!$J$227*F623</f>
        <v>0</v>
      </c>
      <c r="S625" s="300">
        <f>Daten_ALLG!$D$227*S624^Daten_ALLG!$F$227*F623</f>
        <v>0</v>
      </c>
    </row>
    <row r="626" spans="1:19" hidden="1" outlineLevel="2" x14ac:dyDescent="0.25">
      <c r="B626" s="174" t="s">
        <v>640</v>
      </c>
      <c r="E626" s="185" t="s">
        <v>77</v>
      </c>
      <c r="R626" s="301">
        <f>R625*Daten_ALLG!$D$246</f>
        <v>0</v>
      </c>
      <c r="S626" s="302">
        <f>S625*Daten_ALLG!$D$246</f>
        <v>0</v>
      </c>
    </row>
    <row r="627" spans="1:19" hidden="1" outlineLevel="2" x14ac:dyDescent="0.25">
      <c r="B627" s="174" t="s">
        <v>641</v>
      </c>
      <c r="E627" s="185" t="s">
        <v>77</v>
      </c>
      <c r="R627" s="301">
        <f>R626*Daten_ALLG!$D$258</f>
        <v>0</v>
      </c>
      <c r="S627" s="302">
        <f>S626*Daten_ALLG!$D$259</f>
        <v>0</v>
      </c>
    </row>
    <row r="628" spans="1:19" s="162" customFormat="1" hidden="1" outlineLevel="2" x14ac:dyDescent="0.25">
      <c r="B628" s="163" t="s">
        <v>657</v>
      </c>
      <c r="O628" s="164"/>
      <c r="P628" s="165"/>
      <c r="R628" s="164"/>
      <c r="S628" s="165"/>
    </row>
    <row r="629" spans="1:19" s="170" customFormat="1" hidden="1" outlineLevel="2" x14ac:dyDescent="0.25">
      <c r="A629" s="166"/>
      <c r="B629" s="167"/>
      <c r="C629" s="166"/>
      <c r="D629" s="166"/>
      <c r="E629" s="166"/>
      <c r="F629" s="166"/>
      <c r="G629" s="166"/>
      <c r="H629" s="166"/>
      <c r="J629" s="166"/>
      <c r="K629" s="166"/>
      <c r="L629" s="166"/>
      <c r="M629" s="166"/>
      <c r="N629" s="166"/>
      <c r="O629" s="171"/>
      <c r="P629" s="172"/>
      <c r="R629" s="168" t="s">
        <v>644</v>
      </c>
      <c r="S629" s="169" t="s">
        <v>32</v>
      </c>
    </row>
    <row r="630" spans="1:19" hidden="1" outlineLevel="2" x14ac:dyDescent="0.25">
      <c r="B630" s="174" t="s">
        <v>653</v>
      </c>
      <c r="E630" s="185" t="s">
        <v>654</v>
      </c>
      <c r="F630" s="223">
        <f>IF($H$276="N",1,0)</f>
        <v>0</v>
      </c>
      <c r="R630" s="295"/>
      <c r="S630" s="296"/>
    </row>
    <row r="631" spans="1:19" hidden="1" outlineLevel="2" x14ac:dyDescent="0.25">
      <c r="B631" s="174" t="s">
        <v>51</v>
      </c>
      <c r="E631" s="185" t="s">
        <v>368</v>
      </c>
      <c r="R631" s="297">
        <f>$S$282</f>
        <v>24.240939036651458</v>
      </c>
      <c r="S631" s="303">
        <f>$R$282</f>
        <v>24.165400894126225</v>
      </c>
    </row>
    <row r="632" spans="1:19" hidden="1" outlineLevel="2" x14ac:dyDescent="0.25">
      <c r="B632" s="174" t="s">
        <v>639</v>
      </c>
      <c r="E632" s="185" t="s">
        <v>77</v>
      </c>
      <c r="R632" s="299">
        <f>Daten_ALLG!$H$226*R631^Daten_ALLG!$J$226*F630</f>
        <v>0</v>
      </c>
      <c r="S632" s="300">
        <f>Daten_ALLG!$D$226*S631^Daten_ALLG!$F$226*F630</f>
        <v>0</v>
      </c>
    </row>
    <row r="633" spans="1:19" hidden="1" outlineLevel="2" x14ac:dyDescent="0.25">
      <c r="B633" s="174" t="s">
        <v>640</v>
      </c>
      <c r="E633" s="185" t="s">
        <v>77</v>
      </c>
      <c r="R633" s="301">
        <f>R632*Daten_ALLG!$D$246</f>
        <v>0</v>
      </c>
      <c r="S633" s="302">
        <f>S632*Daten_ALLG!$D$246</f>
        <v>0</v>
      </c>
    </row>
    <row r="634" spans="1:19" hidden="1" outlineLevel="2" x14ac:dyDescent="0.25">
      <c r="B634" s="174" t="s">
        <v>641</v>
      </c>
      <c r="E634" s="185" t="s">
        <v>77</v>
      </c>
      <c r="R634" s="301">
        <f>R633*Daten_ALLG!$D$258</f>
        <v>0</v>
      </c>
      <c r="S634" s="302">
        <f>S633*Daten_ALLG!$D$258</f>
        <v>0</v>
      </c>
    </row>
    <row r="635" spans="1:19" s="162" customFormat="1" hidden="1" outlineLevel="2" x14ac:dyDescent="0.25">
      <c r="B635" s="163" t="s">
        <v>658</v>
      </c>
      <c r="O635" s="164"/>
      <c r="P635" s="165"/>
      <c r="R635" s="164"/>
      <c r="S635" s="165"/>
    </row>
    <row r="636" spans="1:19" s="170" customFormat="1" hidden="1" outlineLevel="2" x14ac:dyDescent="0.25">
      <c r="A636" s="166"/>
      <c r="B636" s="167"/>
      <c r="C636" s="166"/>
      <c r="D636" s="166"/>
      <c r="E636" s="166"/>
      <c r="F636" s="166"/>
      <c r="G636" s="166"/>
      <c r="H636" s="166"/>
      <c r="J636" s="166"/>
      <c r="K636" s="166"/>
      <c r="L636" s="166"/>
      <c r="M636" s="166"/>
      <c r="N636" s="166"/>
      <c r="O636" s="171"/>
      <c r="P636" s="172"/>
      <c r="R636" s="168" t="s">
        <v>644</v>
      </c>
      <c r="S636" s="169" t="s">
        <v>32</v>
      </c>
    </row>
    <row r="637" spans="1:19" hidden="1" outlineLevel="2" x14ac:dyDescent="0.25">
      <c r="B637" s="174" t="s">
        <v>653</v>
      </c>
      <c r="E637" s="185" t="s">
        <v>654</v>
      </c>
      <c r="F637" s="223">
        <f>IF($I$276="N",1,0)</f>
        <v>0</v>
      </c>
      <c r="R637" s="295"/>
      <c r="S637" s="296"/>
    </row>
    <row r="638" spans="1:19" hidden="1" outlineLevel="2" x14ac:dyDescent="0.25">
      <c r="B638" s="174" t="s">
        <v>51</v>
      </c>
      <c r="E638" s="185" t="s">
        <v>368</v>
      </c>
      <c r="R638" s="297">
        <f>$S$282</f>
        <v>24.240939036651458</v>
      </c>
      <c r="S638" s="303">
        <f>$R$282</f>
        <v>24.165400894126225</v>
      </c>
    </row>
    <row r="639" spans="1:19" hidden="1" outlineLevel="2" x14ac:dyDescent="0.25">
      <c r="B639" s="174" t="s">
        <v>639</v>
      </c>
      <c r="E639" s="185" t="s">
        <v>77</v>
      </c>
      <c r="R639" s="299">
        <f>Daten_ALLG!$H$228*R638^Daten_ALLG!$J$228*F637</f>
        <v>0</v>
      </c>
      <c r="S639" s="300">
        <f>Daten_ALLG!$D$228*S638^Daten_ALLG!$F$228*F637</f>
        <v>0</v>
      </c>
    </row>
    <row r="640" spans="1:19" hidden="1" outlineLevel="2" x14ac:dyDescent="0.25">
      <c r="B640" s="174" t="s">
        <v>640</v>
      </c>
      <c r="E640" s="185" t="s">
        <v>77</v>
      </c>
      <c r="R640" s="301">
        <f>R639*Daten_ALLG!$D$246</f>
        <v>0</v>
      </c>
      <c r="S640" s="302">
        <f>S639*Daten_ALLG!$D$246</f>
        <v>0</v>
      </c>
    </row>
    <row r="641" spans="1:19" hidden="1" outlineLevel="2" x14ac:dyDescent="0.25">
      <c r="B641" s="174" t="s">
        <v>641</v>
      </c>
      <c r="E641" s="185" t="s">
        <v>77</v>
      </c>
      <c r="R641" s="301">
        <f>R640*Daten_ALLG!$D$258</f>
        <v>0</v>
      </c>
      <c r="S641" s="302">
        <f>S640*Daten_ALLG!$D$264</f>
        <v>0</v>
      </c>
    </row>
    <row r="642" spans="1:19" s="159" customFormat="1" ht="14.25" customHeight="1" collapsed="1" x14ac:dyDescent="0.25">
      <c r="A642" s="156" t="s">
        <v>659</v>
      </c>
      <c r="B642" s="157"/>
      <c r="C642" s="157"/>
      <c r="D642" s="158"/>
      <c r="O642" s="160"/>
      <c r="P642" s="161"/>
      <c r="R642" s="160"/>
      <c r="S642" s="161"/>
    </row>
    <row r="643" spans="1:19" s="162" customFormat="1" hidden="1" outlineLevel="2" x14ac:dyDescent="0.25">
      <c r="B643" s="163" t="s">
        <v>661</v>
      </c>
      <c r="O643" s="164"/>
      <c r="P643" s="165"/>
      <c r="R643" s="164"/>
      <c r="S643" s="165"/>
    </row>
    <row r="644" spans="1:19" s="170" customFormat="1" hidden="1" outlineLevel="2" x14ac:dyDescent="0.25">
      <c r="A644" s="166"/>
      <c r="B644" s="167"/>
      <c r="C644" s="166"/>
      <c r="D644" s="166"/>
      <c r="E644" s="166"/>
      <c r="F644" s="166"/>
      <c r="G644" s="166"/>
      <c r="H644" s="166"/>
      <c r="J644" s="166"/>
      <c r="K644" s="166"/>
      <c r="L644" s="166"/>
      <c r="M644" s="166"/>
      <c r="N644" s="166"/>
      <c r="O644" s="171"/>
      <c r="P644" s="172"/>
      <c r="R644" s="168"/>
      <c r="S644" s="172"/>
    </row>
    <row r="645" spans="1:19" hidden="1" outlineLevel="2" x14ac:dyDescent="0.25">
      <c r="B645" s="174" t="s">
        <v>662</v>
      </c>
      <c r="E645" s="185" t="s">
        <v>38</v>
      </c>
      <c r="F645" s="304">
        <f>Daten_ALLG!$D$272/(1-((1+Daten_ALLG!$D$272)^(-Daten_ALLG!$D$273)))</f>
        <v>4.4649922293402963E-2</v>
      </c>
      <c r="R645" s="305"/>
      <c r="S645" s="306"/>
    </row>
    <row r="646" spans="1:19" s="162" customFormat="1" hidden="1" outlineLevel="2" x14ac:dyDescent="0.25">
      <c r="B646" s="163" t="s">
        <v>666</v>
      </c>
      <c r="O646" s="164"/>
      <c r="P646" s="165"/>
      <c r="R646" s="164"/>
      <c r="S646" s="165"/>
    </row>
    <row r="647" spans="1:19" s="170" customFormat="1" hidden="1" outlineLevel="2" x14ac:dyDescent="0.25">
      <c r="A647" s="166"/>
      <c r="B647" s="167"/>
      <c r="C647" s="166"/>
      <c r="D647" s="166"/>
      <c r="E647" s="166" t="s">
        <v>565</v>
      </c>
      <c r="F647" s="166" t="s">
        <v>665</v>
      </c>
      <c r="H647" s="166"/>
      <c r="J647" s="166"/>
      <c r="K647" s="166"/>
      <c r="L647" s="166"/>
      <c r="M647" s="166"/>
      <c r="N647" s="166"/>
      <c r="O647" s="171"/>
      <c r="P647" s="172"/>
      <c r="R647" s="168" t="s">
        <v>644</v>
      </c>
      <c r="S647" s="172" t="s">
        <v>32</v>
      </c>
    </row>
    <row r="648" spans="1:19" hidden="1" outlineLevel="2" x14ac:dyDescent="0.25">
      <c r="E648" s="185" t="s">
        <v>34</v>
      </c>
      <c r="F648" s="185" t="s">
        <v>13</v>
      </c>
      <c r="R648" s="295" t="s">
        <v>77</v>
      </c>
      <c r="S648" s="307" t="s">
        <v>77</v>
      </c>
    </row>
    <row r="649" spans="1:19" hidden="1" outlineLevel="2" x14ac:dyDescent="0.25">
      <c r="B649" s="174" t="str">
        <f>B534</f>
        <v>Außenwand</v>
      </c>
      <c r="E649" s="223">
        <f>Daten_ALLG!$D$310</f>
        <v>45</v>
      </c>
      <c r="F649" s="191">
        <f>Daten_ALLG!$D$273/E649</f>
        <v>0.66666666666666663</v>
      </c>
      <c r="R649" s="308">
        <f>R540</f>
        <v>0</v>
      </c>
      <c r="S649" s="309">
        <f>S540</f>
        <v>0</v>
      </c>
    </row>
    <row r="650" spans="1:19" hidden="1" outlineLevel="2" x14ac:dyDescent="0.25">
      <c r="B650" s="174" t="str">
        <f>B541</f>
        <v>Fenster</v>
      </c>
      <c r="E650" s="223">
        <f>Daten_ALLG!$D$317</f>
        <v>35</v>
      </c>
      <c r="F650" s="191">
        <f>Daten_ALLG!$D$273/E650</f>
        <v>0.8571428571428571</v>
      </c>
      <c r="R650" s="308">
        <f>R547</f>
        <v>0</v>
      </c>
      <c r="S650" s="309">
        <f>S547</f>
        <v>0</v>
      </c>
    </row>
    <row r="651" spans="1:19" hidden="1" outlineLevel="2" x14ac:dyDescent="0.25">
      <c r="B651" s="174" t="str">
        <f>B548</f>
        <v>oberer Gebäudeabschluss</v>
      </c>
      <c r="E651" s="219">
        <f>F551*Daten_ALLG!$D$314+Daten_ALLG!$D$323*H551</f>
        <v>53.965517241379317</v>
      </c>
      <c r="F651" s="191">
        <f>Daten_ALLG!$D$273/E651</f>
        <v>0.55591054313099031</v>
      </c>
      <c r="R651" s="308">
        <f>R555</f>
        <v>0</v>
      </c>
      <c r="S651" s="309">
        <f>S555</f>
        <v>0</v>
      </c>
    </row>
    <row r="652" spans="1:19" hidden="1" outlineLevel="2" x14ac:dyDescent="0.25">
      <c r="B652" s="174" t="str">
        <f>B556</f>
        <v>unterer Gebäudeabschluss</v>
      </c>
      <c r="E652" s="219">
        <f>Daten_ALLG!$D$313*H559+F559*Daten_ALLG!$D$320</f>
        <v>62.115384615384613</v>
      </c>
      <c r="F652" s="191">
        <f>Daten_ALLG!$D$273/E652</f>
        <v>0.48297213622291024</v>
      </c>
      <c r="R652" s="308">
        <f>R563</f>
        <v>0</v>
      </c>
      <c r="S652" s="309">
        <f>S563</f>
        <v>0</v>
      </c>
    </row>
    <row r="653" spans="1:19" hidden="1" outlineLevel="2" x14ac:dyDescent="0.25">
      <c r="B653" s="174" t="str">
        <f>B564</f>
        <v>Lüftungsanlage</v>
      </c>
      <c r="E653" s="223">
        <f>Daten_ALLG!$D$328</f>
        <v>25</v>
      </c>
      <c r="F653" s="191">
        <f>Daten_ALLG!$D$273/E653</f>
        <v>1.2</v>
      </c>
      <c r="R653" s="308">
        <f>R569</f>
        <v>0</v>
      </c>
      <c r="S653" s="309">
        <f>S569</f>
        <v>0</v>
      </c>
    </row>
    <row r="654" spans="1:19" hidden="1" outlineLevel="2" x14ac:dyDescent="0.25">
      <c r="B654" s="174" t="str">
        <f>B570</f>
        <v>Photovoltaik</v>
      </c>
      <c r="E654" s="223">
        <f>Daten_ALLG!$D$325</f>
        <v>25</v>
      </c>
      <c r="F654" s="191">
        <f>Daten_ALLG!$D$273/E654</f>
        <v>1.2</v>
      </c>
      <c r="R654" s="308">
        <f>R575</f>
        <v>0</v>
      </c>
      <c r="S654" s="309">
        <f>S575</f>
        <v>0</v>
      </c>
    </row>
    <row r="655" spans="1:19" hidden="1" outlineLevel="2" x14ac:dyDescent="0.25">
      <c r="B655" s="174" t="str">
        <f>B576</f>
        <v>Solarthermiekollektoren</v>
      </c>
      <c r="E655" s="223">
        <f>Daten_ALLG!$D$326</f>
        <v>25</v>
      </c>
      <c r="F655" s="191">
        <f>Daten_ALLG!$D$273/E655</f>
        <v>1.2</v>
      </c>
      <c r="R655" s="308">
        <f>R581</f>
        <v>0</v>
      </c>
      <c r="S655" s="309">
        <f>S581</f>
        <v>0</v>
      </c>
    </row>
    <row r="656" spans="1:19" hidden="1" outlineLevel="2" x14ac:dyDescent="0.25">
      <c r="B656" s="174" t="str">
        <f>B582</f>
        <v>Heizungspufferspeicher</v>
      </c>
      <c r="E656" s="223">
        <f>Daten_ALLG!$D$327</f>
        <v>30</v>
      </c>
      <c r="F656" s="191">
        <f>Daten_ALLG!$D$273/E656</f>
        <v>1</v>
      </c>
      <c r="R656" s="308">
        <f>R587</f>
        <v>0</v>
      </c>
      <c r="S656" s="309">
        <f>S587</f>
        <v>0</v>
      </c>
    </row>
    <row r="657" spans="1:19" hidden="1" outlineLevel="2" x14ac:dyDescent="0.25">
      <c r="B657" s="174" t="str">
        <f>B588</f>
        <v>Trinkwasserspeicher</v>
      </c>
      <c r="E657" s="223">
        <f>Daten_ALLG!$D$327</f>
        <v>30</v>
      </c>
      <c r="F657" s="191">
        <f>Daten_ALLG!$D$273/E657</f>
        <v>1</v>
      </c>
      <c r="R657" s="308">
        <f>R593</f>
        <v>0</v>
      </c>
      <c r="S657" s="309">
        <f>S593</f>
        <v>0</v>
      </c>
    </row>
    <row r="658" spans="1:19" hidden="1" outlineLevel="2" x14ac:dyDescent="0.25">
      <c r="B658" s="174" t="str">
        <f>B594</f>
        <v>Durchlauferhitzer</v>
      </c>
      <c r="E658" s="223">
        <f>Daten_ALLG!$D$315</f>
        <v>15</v>
      </c>
      <c r="F658" s="191">
        <f>Daten_ALLG!$D$273/E658</f>
        <v>2</v>
      </c>
      <c r="R658" s="308">
        <f>R599</f>
        <v>0</v>
      </c>
      <c r="S658" s="309">
        <f>S599</f>
        <v>0</v>
      </c>
    </row>
    <row r="659" spans="1:19" hidden="1" outlineLevel="2" x14ac:dyDescent="0.25">
      <c r="B659" s="174" t="str">
        <f>B600</f>
        <v>Außenluftwärmepumpe</v>
      </c>
      <c r="E659" s="223">
        <f>Daten_ALLG!$D$311</f>
        <v>25</v>
      </c>
      <c r="F659" s="191">
        <f>Daten_ALLG!$D$273/E659</f>
        <v>1.2</v>
      </c>
      <c r="R659" s="308">
        <f>R606</f>
        <v>0</v>
      </c>
      <c r="S659" s="309">
        <f>S606</f>
        <v>0</v>
      </c>
    </row>
    <row r="660" spans="1:19" hidden="1" outlineLevel="2" x14ac:dyDescent="0.25">
      <c r="B660" s="174" t="str">
        <f>B607</f>
        <v>Erdreichwärmepumpe</v>
      </c>
      <c r="E660" s="223">
        <f>Daten_ALLG!$D$316</f>
        <v>25</v>
      </c>
      <c r="F660" s="191">
        <f>Daten_ALLG!$D$273/E660</f>
        <v>1.2</v>
      </c>
      <c r="R660" s="308">
        <f>R613</f>
        <v>0</v>
      </c>
      <c r="S660" s="309">
        <f>S613</f>
        <v>0</v>
      </c>
    </row>
    <row r="661" spans="1:19" hidden="1" outlineLevel="2" x14ac:dyDescent="0.25">
      <c r="B661" s="174" t="str">
        <f>B614</f>
        <v>Fernwärmeanschluss</v>
      </c>
      <c r="E661" s="223">
        <f>Daten_ALLG!$D$322</f>
        <v>40</v>
      </c>
      <c r="F661" s="191">
        <f>Daten_ALLG!$D$273/E661</f>
        <v>0.75</v>
      </c>
      <c r="R661" s="308">
        <f>R620</f>
        <v>0</v>
      </c>
      <c r="S661" s="309">
        <f>S620</f>
        <v>0</v>
      </c>
    </row>
    <row r="662" spans="1:19" hidden="1" outlineLevel="2" x14ac:dyDescent="0.25">
      <c r="B662" s="174" t="str">
        <f>B621</f>
        <v>Holzkessel</v>
      </c>
      <c r="E662" s="223">
        <f>Daten_ALLG!$D$319</f>
        <v>25</v>
      </c>
      <c r="F662" s="191">
        <f>Daten_ALLG!$D$273/E662</f>
        <v>1.2</v>
      </c>
      <c r="R662" s="308">
        <f>R627</f>
        <v>0</v>
      </c>
      <c r="S662" s="309">
        <f>S627</f>
        <v>0</v>
      </c>
    </row>
    <row r="663" spans="1:19" hidden="1" outlineLevel="2" x14ac:dyDescent="0.25">
      <c r="B663" s="174" t="str">
        <f>B628</f>
        <v>Gasbrennwert</v>
      </c>
      <c r="E663" s="223">
        <f>Daten_ALLG!$D$318</f>
        <v>25</v>
      </c>
      <c r="F663" s="191">
        <f>Daten_ALLG!$D$273/E663</f>
        <v>1.2</v>
      </c>
      <c r="R663" s="308">
        <f>R634</f>
        <v>0</v>
      </c>
      <c r="S663" s="309">
        <f>S634</f>
        <v>0</v>
      </c>
    </row>
    <row r="664" spans="1:19" hidden="1" outlineLevel="2" x14ac:dyDescent="0.25">
      <c r="B664" s="174" t="str">
        <f>B635</f>
        <v>Ölbrennwert</v>
      </c>
      <c r="E664" s="223">
        <f>Daten_ALLG!$D$324</f>
        <v>25</v>
      </c>
      <c r="F664" s="191">
        <f>Daten_ALLG!$D$273/E664</f>
        <v>1.2</v>
      </c>
      <c r="R664" s="308">
        <f>R641</f>
        <v>0</v>
      </c>
      <c r="S664" s="309">
        <f>S641</f>
        <v>0</v>
      </c>
    </row>
    <row r="665" spans="1:19" hidden="1" outlineLevel="2" x14ac:dyDescent="0.25">
      <c r="B665" s="174" t="s">
        <v>44</v>
      </c>
      <c r="E665" s="185"/>
      <c r="F665" s="310"/>
      <c r="R665" s="301">
        <f>SUM(R649:R664)</f>
        <v>0</v>
      </c>
      <c r="S665" s="302">
        <f>SUM(S649:S664)</f>
        <v>0</v>
      </c>
    </row>
    <row r="666" spans="1:19" s="162" customFormat="1" hidden="1" outlineLevel="2" x14ac:dyDescent="0.25">
      <c r="B666" s="163" t="s">
        <v>660</v>
      </c>
      <c r="O666" s="164"/>
      <c r="P666" s="165"/>
      <c r="R666" s="164"/>
      <c r="S666" s="165"/>
    </row>
    <row r="667" spans="1:19" s="170" customFormat="1" hidden="1" outlineLevel="2" x14ac:dyDescent="0.25">
      <c r="A667" s="166"/>
      <c r="B667" s="167"/>
      <c r="C667" s="166"/>
      <c r="D667" s="166"/>
      <c r="E667" s="166" t="s">
        <v>742</v>
      </c>
      <c r="F667" s="166" t="s">
        <v>742</v>
      </c>
      <c r="G667" s="166"/>
      <c r="H667" s="166"/>
      <c r="J667" s="166"/>
      <c r="K667" s="166"/>
      <c r="L667" s="166"/>
      <c r="M667" s="166"/>
      <c r="N667" s="166"/>
      <c r="O667" s="171"/>
      <c r="P667" s="172"/>
      <c r="R667" s="168" t="s">
        <v>644</v>
      </c>
      <c r="S667" s="172" t="s">
        <v>32</v>
      </c>
    </row>
    <row r="668" spans="1:19" hidden="1" outlineLevel="2" x14ac:dyDescent="0.25">
      <c r="E668" s="185" t="s">
        <v>77</v>
      </c>
      <c r="F668" s="185" t="s">
        <v>77</v>
      </c>
      <c r="R668" s="295" t="s">
        <v>669</v>
      </c>
      <c r="S668" s="307" t="s">
        <v>669</v>
      </c>
    </row>
    <row r="669" spans="1:19" hidden="1" outlineLevel="2" x14ac:dyDescent="0.25">
      <c r="B669" s="174" t="str">
        <f t="shared" ref="B669:B684" si="30">B649</f>
        <v>Außenwand</v>
      </c>
      <c r="E669" s="214">
        <f t="shared" ref="E669:E684" si="31">R649*F649</f>
        <v>0</v>
      </c>
      <c r="F669" s="214">
        <f t="shared" ref="F669:F684" si="32">S649*F649</f>
        <v>0</v>
      </c>
      <c r="R669" s="311">
        <f t="shared" ref="R669:R684" si="33">R649*F649*$F$645</f>
        <v>0</v>
      </c>
      <c r="S669" s="312">
        <f t="shared" ref="S669:S684" si="34">S649*F649*$F$645</f>
        <v>0</v>
      </c>
    </row>
    <row r="670" spans="1:19" hidden="1" outlineLevel="2" x14ac:dyDescent="0.25">
      <c r="B670" s="174" t="str">
        <f t="shared" si="30"/>
        <v>Fenster</v>
      </c>
      <c r="E670" s="214">
        <f t="shared" si="31"/>
        <v>0</v>
      </c>
      <c r="F670" s="214">
        <f t="shared" si="32"/>
        <v>0</v>
      </c>
      <c r="R670" s="311">
        <f t="shared" si="33"/>
        <v>0</v>
      </c>
      <c r="S670" s="312">
        <f t="shared" si="34"/>
        <v>0</v>
      </c>
    </row>
    <row r="671" spans="1:19" hidden="1" outlineLevel="2" x14ac:dyDescent="0.25">
      <c r="B671" s="174" t="str">
        <f t="shared" si="30"/>
        <v>oberer Gebäudeabschluss</v>
      </c>
      <c r="E671" s="214">
        <f t="shared" si="31"/>
        <v>0</v>
      </c>
      <c r="F671" s="214">
        <f t="shared" si="32"/>
        <v>0</v>
      </c>
      <c r="R671" s="311">
        <f t="shared" si="33"/>
        <v>0</v>
      </c>
      <c r="S671" s="312">
        <f t="shared" si="34"/>
        <v>0</v>
      </c>
    </row>
    <row r="672" spans="1:19" hidden="1" outlineLevel="2" x14ac:dyDescent="0.25">
      <c r="B672" s="174" t="str">
        <f t="shared" si="30"/>
        <v>unterer Gebäudeabschluss</v>
      </c>
      <c r="E672" s="214">
        <f t="shared" si="31"/>
        <v>0</v>
      </c>
      <c r="F672" s="214">
        <f t="shared" si="32"/>
        <v>0</v>
      </c>
      <c r="R672" s="311">
        <f t="shared" si="33"/>
        <v>0</v>
      </c>
      <c r="S672" s="312">
        <f t="shared" si="34"/>
        <v>0</v>
      </c>
    </row>
    <row r="673" spans="1:19" hidden="1" outlineLevel="2" x14ac:dyDescent="0.25">
      <c r="B673" s="174" t="str">
        <f t="shared" si="30"/>
        <v>Lüftungsanlage</v>
      </c>
      <c r="E673" s="214">
        <f t="shared" si="31"/>
        <v>0</v>
      </c>
      <c r="F673" s="214">
        <f t="shared" si="32"/>
        <v>0</v>
      </c>
      <c r="R673" s="311">
        <f t="shared" si="33"/>
        <v>0</v>
      </c>
      <c r="S673" s="312">
        <f t="shared" si="34"/>
        <v>0</v>
      </c>
    </row>
    <row r="674" spans="1:19" hidden="1" outlineLevel="2" x14ac:dyDescent="0.25">
      <c r="B674" s="174" t="str">
        <f t="shared" si="30"/>
        <v>Photovoltaik</v>
      </c>
      <c r="E674" s="214">
        <f t="shared" si="31"/>
        <v>0</v>
      </c>
      <c r="F674" s="214">
        <f t="shared" si="32"/>
        <v>0</v>
      </c>
      <c r="R674" s="311">
        <f t="shared" si="33"/>
        <v>0</v>
      </c>
      <c r="S674" s="312">
        <f t="shared" si="34"/>
        <v>0</v>
      </c>
    </row>
    <row r="675" spans="1:19" hidden="1" outlineLevel="2" x14ac:dyDescent="0.25">
      <c r="B675" s="174" t="str">
        <f t="shared" si="30"/>
        <v>Solarthermiekollektoren</v>
      </c>
      <c r="E675" s="214">
        <f t="shared" si="31"/>
        <v>0</v>
      </c>
      <c r="F675" s="214">
        <f t="shared" si="32"/>
        <v>0</v>
      </c>
      <c r="R675" s="311">
        <f t="shared" si="33"/>
        <v>0</v>
      </c>
      <c r="S675" s="312">
        <f t="shared" si="34"/>
        <v>0</v>
      </c>
    </row>
    <row r="676" spans="1:19" hidden="1" outlineLevel="2" x14ac:dyDescent="0.25">
      <c r="B676" s="174" t="str">
        <f t="shared" si="30"/>
        <v>Heizungspufferspeicher</v>
      </c>
      <c r="E676" s="214">
        <f t="shared" si="31"/>
        <v>0</v>
      </c>
      <c r="F676" s="214">
        <f t="shared" si="32"/>
        <v>0</v>
      </c>
      <c r="R676" s="311">
        <f t="shared" si="33"/>
        <v>0</v>
      </c>
      <c r="S676" s="312">
        <f t="shared" si="34"/>
        <v>0</v>
      </c>
    </row>
    <row r="677" spans="1:19" hidden="1" outlineLevel="2" x14ac:dyDescent="0.25">
      <c r="B677" s="174" t="str">
        <f t="shared" si="30"/>
        <v>Trinkwasserspeicher</v>
      </c>
      <c r="E677" s="214">
        <f t="shared" si="31"/>
        <v>0</v>
      </c>
      <c r="F677" s="214">
        <f t="shared" si="32"/>
        <v>0</v>
      </c>
      <c r="R677" s="311">
        <f t="shared" si="33"/>
        <v>0</v>
      </c>
      <c r="S677" s="312">
        <f t="shared" si="34"/>
        <v>0</v>
      </c>
    </row>
    <row r="678" spans="1:19" hidden="1" outlineLevel="2" x14ac:dyDescent="0.25">
      <c r="B678" s="174" t="str">
        <f t="shared" si="30"/>
        <v>Durchlauferhitzer</v>
      </c>
      <c r="E678" s="214">
        <f t="shared" si="31"/>
        <v>0</v>
      </c>
      <c r="F678" s="214">
        <f t="shared" si="32"/>
        <v>0</v>
      </c>
      <c r="R678" s="311">
        <f t="shared" si="33"/>
        <v>0</v>
      </c>
      <c r="S678" s="312">
        <f t="shared" si="34"/>
        <v>0</v>
      </c>
    </row>
    <row r="679" spans="1:19" hidden="1" outlineLevel="2" x14ac:dyDescent="0.25">
      <c r="B679" s="174" t="str">
        <f t="shared" si="30"/>
        <v>Außenluftwärmepumpe</v>
      </c>
      <c r="E679" s="214">
        <f t="shared" si="31"/>
        <v>0</v>
      </c>
      <c r="F679" s="214">
        <f t="shared" si="32"/>
        <v>0</v>
      </c>
      <c r="R679" s="311">
        <f t="shared" si="33"/>
        <v>0</v>
      </c>
      <c r="S679" s="312">
        <f t="shared" si="34"/>
        <v>0</v>
      </c>
    </row>
    <row r="680" spans="1:19" hidden="1" outlineLevel="2" x14ac:dyDescent="0.25">
      <c r="B680" s="174" t="str">
        <f t="shared" si="30"/>
        <v>Erdreichwärmepumpe</v>
      </c>
      <c r="E680" s="214">
        <f t="shared" si="31"/>
        <v>0</v>
      </c>
      <c r="F680" s="214">
        <f t="shared" si="32"/>
        <v>0</v>
      </c>
      <c r="R680" s="311">
        <f t="shared" si="33"/>
        <v>0</v>
      </c>
      <c r="S680" s="312">
        <f t="shared" si="34"/>
        <v>0</v>
      </c>
    </row>
    <row r="681" spans="1:19" hidden="1" outlineLevel="2" x14ac:dyDescent="0.25">
      <c r="B681" s="174" t="str">
        <f t="shared" si="30"/>
        <v>Fernwärmeanschluss</v>
      </c>
      <c r="E681" s="214">
        <f t="shared" si="31"/>
        <v>0</v>
      </c>
      <c r="F681" s="214">
        <f t="shared" si="32"/>
        <v>0</v>
      </c>
      <c r="R681" s="311">
        <f t="shared" si="33"/>
        <v>0</v>
      </c>
      <c r="S681" s="312">
        <f t="shared" si="34"/>
        <v>0</v>
      </c>
    </row>
    <row r="682" spans="1:19" hidden="1" outlineLevel="2" x14ac:dyDescent="0.25">
      <c r="B682" s="174" t="str">
        <f t="shared" si="30"/>
        <v>Holzkessel</v>
      </c>
      <c r="E682" s="214">
        <f t="shared" si="31"/>
        <v>0</v>
      </c>
      <c r="F682" s="214">
        <f t="shared" si="32"/>
        <v>0</v>
      </c>
      <c r="R682" s="311">
        <f t="shared" si="33"/>
        <v>0</v>
      </c>
      <c r="S682" s="312">
        <f t="shared" si="34"/>
        <v>0</v>
      </c>
    </row>
    <row r="683" spans="1:19" hidden="1" outlineLevel="2" x14ac:dyDescent="0.25">
      <c r="B683" s="174" t="str">
        <f t="shared" si="30"/>
        <v>Gasbrennwert</v>
      </c>
      <c r="E683" s="214">
        <f t="shared" si="31"/>
        <v>0</v>
      </c>
      <c r="F683" s="214">
        <f t="shared" si="32"/>
        <v>0</v>
      </c>
      <c r="R683" s="311">
        <f t="shared" si="33"/>
        <v>0</v>
      </c>
      <c r="S683" s="312">
        <f t="shared" si="34"/>
        <v>0</v>
      </c>
    </row>
    <row r="684" spans="1:19" hidden="1" outlineLevel="2" x14ac:dyDescent="0.25">
      <c r="B684" s="174" t="str">
        <f t="shared" si="30"/>
        <v>Ölbrennwert</v>
      </c>
      <c r="E684" s="214">
        <f t="shared" si="31"/>
        <v>0</v>
      </c>
      <c r="F684" s="214">
        <f t="shared" si="32"/>
        <v>0</v>
      </c>
      <c r="R684" s="311">
        <f t="shared" si="33"/>
        <v>0</v>
      </c>
      <c r="S684" s="312">
        <f t="shared" si="34"/>
        <v>0</v>
      </c>
    </row>
    <row r="685" spans="1:19" hidden="1" outlineLevel="2" x14ac:dyDescent="0.25">
      <c r="B685" s="174" t="s">
        <v>44</v>
      </c>
      <c r="E685" s="214">
        <f>SUM(E669:E684)</f>
        <v>0</v>
      </c>
      <c r="F685" s="214">
        <f>SUM(F669:F684)</f>
        <v>0</v>
      </c>
      <c r="R685" s="301">
        <f>SUM(R669:R684)</f>
        <v>0</v>
      </c>
      <c r="S685" s="302">
        <f>SUM(S669:S684)</f>
        <v>0</v>
      </c>
    </row>
    <row r="686" spans="1:19" s="162" customFormat="1" hidden="1" outlineLevel="2" x14ac:dyDescent="0.25">
      <c r="B686" s="163" t="s">
        <v>667</v>
      </c>
      <c r="O686" s="164"/>
      <c r="P686" s="165"/>
      <c r="R686" s="164"/>
      <c r="S686" s="165"/>
    </row>
    <row r="687" spans="1:19" s="170" customFormat="1" hidden="1" outlineLevel="2" x14ac:dyDescent="0.25">
      <c r="A687" s="166"/>
      <c r="B687" s="167"/>
      <c r="C687" s="166"/>
      <c r="D687" s="166"/>
      <c r="E687" s="166" t="s">
        <v>668</v>
      </c>
      <c r="F687" s="166"/>
      <c r="H687" s="166"/>
      <c r="J687" s="166"/>
      <c r="K687" s="166"/>
      <c r="L687" s="166"/>
      <c r="M687" s="166"/>
      <c r="N687" s="166"/>
      <c r="O687" s="171"/>
      <c r="P687" s="172"/>
      <c r="R687" s="168" t="s">
        <v>644</v>
      </c>
      <c r="S687" s="172" t="s">
        <v>32</v>
      </c>
    </row>
    <row r="688" spans="1:19" hidden="1" outlineLevel="2" x14ac:dyDescent="0.25">
      <c r="E688" s="185" t="s">
        <v>38</v>
      </c>
      <c r="R688" s="295" t="s">
        <v>669</v>
      </c>
      <c r="S688" s="307" t="s">
        <v>669</v>
      </c>
    </row>
    <row r="689" spans="2:19" hidden="1" outlineLevel="2" x14ac:dyDescent="0.25">
      <c r="B689" s="174" t="str">
        <f t="shared" ref="B689:B704" si="35">B669</f>
        <v>Außenwand</v>
      </c>
      <c r="E689" s="237">
        <f>Daten_ALLG!$D$288</f>
        <v>0.01</v>
      </c>
      <c r="R689" s="193">
        <f>E689*R649/Daten_ALLG!$D$246</f>
        <v>0</v>
      </c>
      <c r="S689" s="194">
        <f>E689*S649/Daten_ALLG!$D$246</f>
        <v>0</v>
      </c>
    </row>
    <row r="690" spans="2:19" hidden="1" outlineLevel="2" x14ac:dyDescent="0.25">
      <c r="B690" s="174" t="str">
        <f t="shared" si="35"/>
        <v>Fenster</v>
      </c>
      <c r="E690" s="237">
        <f>Daten_ALLG!$D$295</f>
        <v>0.01</v>
      </c>
      <c r="R690" s="193">
        <f>E690*R650/Daten_ALLG!$D$246</f>
        <v>0</v>
      </c>
      <c r="S690" s="194">
        <f>E690*S650/Daten_ALLG!$D$246</f>
        <v>0</v>
      </c>
    </row>
    <row r="691" spans="2:19" hidden="1" outlineLevel="2" x14ac:dyDescent="0.25">
      <c r="B691" s="174" t="str">
        <f t="shared" si="35"/>
        <v>oberer Gebäudeabschluss</v>
      </c>
      <c r="E691" s="237">
        <f>F551*Daten_ALLG!$D$292+Daten_ALLG!$D$301*H551</f>
        <v>4.0229885057471264E-3</v>
      </c>
      <c r="R691" s="193">
        <f>E691*R651/Daten_ALLG!$D$246</f>
        <v>0</v>
      </c>
      <c r="S691" s="194">
        <f>E691*S651/Daten_ALLG!$D$246</f>
        <v>0</v>
      </c>
    </row>
    <row r="692" spans="2:19" hidden="1" outlineLevel="2" x14ac:dyDescent="0.25">
      <c r="B692" s="174" t="str">
        <f t="shared" si="35"/>
        <v>unterer Gebäudeabschluss</v>
      </c>
      <c r="E692" s="237">
        <f>Daten_ALLG!$D$291*H559+F559*Daten_ALLG!$D$298</f>
        <v>0</v>
      </c>
      <c r="R692" s="193">
        <f>E692*R652/Daten_ALLG!$D$246</f>
        <v>0</v>
      </c>
      <c r="S692" s="194">
        <f>E692*S652/Daten_ALLG!$D$246</f>
        <v>0</v>
      </c>
    </row>
    <row r="693" spans="2:19" hidden="1" outlineLevel="2" x14ac:dyDescent="0.25">
      <c r="B693" s="174" t="str">
        <f t="shared" si="35"/>
        <v>Lüftungsanlage</v>
      </c>
      <c r="E693" s="237">
        <f>Daten_ALLG!$D$306</f>
        <v>0.05</v>
      </c>
      <c r="R693" s="193">
        <f>E693*R653/Daten_ALLG!$D$246</f>
        <v>0</v>
      </c>
      <c r="S693" s="194">
        <f>E693*S653/Daten_ALLG!$D$246</f>
        <v>0</v>
      </c>
    </row>
    <row r="694" spans="2:19" hidden="1" outlineLevel="2" x14ac:dyDescent="0.25">
      <c r="B694" s="174" t="str">
        <f t="shared" si="35"/>
        <v>Photovoltaik</v>
      </c>
      <c r="E694" s="237">
        <f>Daten_ALLG!$D$303</f>
        <v>0.02</v>
      </c>
      <c r="R694" s="193">
        <f>E694*R654/Daten_ALLG!$D$246</f>
        <v>0</v>
      </c>
      <c r="S694" s="194">
        <f>E694*S654/Daten_ALLG!$D$246</f>
        <v>0</v>
      </c>
    </row>
    <row r="695" spans="2:19" hidden="1" outlineLevel="2" x14ac:dyDescent="0.25">
      <c r="B695" s="174" t="str">
        <f t="shared" si="35"/>
        <v>Solarthermiekollektoren</v>
      </c>
      <c r="E695" s="237">
        <f>Daten_ALLG!$D$304</f>
        <v>1.4999999999999999E-2</v>
      </c>
      <c r="R695" s="193">
        <f>E695*R655/Daten_ALLG!$D$246</f>
        <v>0</v>
      </c>
      <c r="S695" s="194">
        <f>E695*S655/Daten_ALLG!$D$246</f>
        <v>0</v>
      </c>
    </row>
    <row r="696" spans="2:19" hidden="1" outlineLevel="2" x14ac:dyDescent="0.25">
      <c r="B696" s="174" t="str">
        <f t="shared" si="35"/>
        <v>Heizungspufferspeicher</v>
      </c>
      <c r="E696" s="237">
        <f>Daten_ALLG!$D$305</f>
        <v>0</v>
      </c>
      <c r="R696" s="193">
        <f>E696*R656/Daten_ALLG!$D$246</f>
        <v>0</v>
      </c>
      <c r="S696" s="194">
        <f>E696*S656/Daten_ALLG!$D$246</f>
        <v>0</v>
      </c>
    </row>
    <row r="697" spans="2:19" hidden="1" outlineLevel="2" x14ac:dyDescent="0.25">
      <c r="B697" s="174" t="str">
        <f t="shared" si="35"/>
        <v>Trinkwasserspeicher</v>
      </c>
      <c r="E697" s="237">
        <f>Daten_ALLG!$D$305</f>
        <v>0</v>
      </c>
      <c r="R697" s="193">
        <f>E697*R657/Daten_ALLG!$D$246</f>
        <v>0</v>
      </c>
      <c r="S697" s="194">
        <f>E697*S657/Daten_ALLG!$D$246</f>
        <v>0</v>
      </c>
    </row>
    <row r="698" spans="2:19" hidden="1" outlineLevel="2" x14ac:dyDescent="0.25">
      <c r="B698" s="174" t="str">
        <f t="shared" si="35"/>
        <v>Durchlauferhitzer</v>
      </c>
      <c r="E698" s="237">
        <f>Daten_ALLG!$D$293</f>
        <v>0</v>
      </c>
      <c r="R698" s="193">
        <f>E698*R658/Daten_ALLG!$D$246</f>
        <v>0</v>
      </c>
      <c r="S698" s="194">
        <f>E698*S658/Daten_ALLG!$D$246</f>
        <v>0</v>
      </c>
    </row>
    <row r="699" spans="2:19" hidden="1" outlineLevel="2" x14ac:dyDescent="0.25">
      <c r="B699" s="174" t="str">
        <f t="shared" si="35"/>
        <v>Außenluftwärmepumpe</v>
      </c>
      <c r="E699" s="237">
        <f>Daten_ALLG!$D$289</f>
        <v>0.02</v>
      </c>
      <c r="R699" s="193">
        <f>E699*R659/Daten_ALLG!$D$246</f>
        <v>0</v>
      </c>
      <c r="S699" s="194">
        <f>E699*S659/Daten_ALLG!$D$246</f>
        <v>0</v>
      </c>
    </row>
    <row r="700" spans="2:19" hidden="1" outlineLevel="2" x14ac:dyDescent="0.25">
      <c r="B700" s="174" t="str">
        <f t="shared" si="35"/>
        <v>Erdreichwärmepumpe</v>
      </c>
      <c r="E700" s="237">
        <f>Daten_ALLG!$D$294</f>
        <v>0.02</v>
      </c>
      <c r="R700" s="193">
        <f>E700*R660/Daten_ALLG!$D$246</f>
        <v>0</v>
      </c>
      <c r="S700" s="194">
        <f>E700*S660/Daten_ALLG!$D$246</f>
        <v>0</v>
      </c>
    </row>
    <row r="701" spans="2:19" hidden="1" outlineLevel="2" x14ac:dyDescent="0.25">
      <c r="B701" s="174" t="str">
        <f t="shared" si="35"/>
        <v>Fernwärmeanschluss</v>
      </c>
      <c r="E701" s="237">
        <f>Daten_ALLG!$D$300</f>
        <v>1.4999999999999999E-2</v>
      </c>
      <c r="R701" s="193">
        <f>E701*R661/Daten_ALLG!$D$246</f>
        <v>0</v>
      </c>
      <c r="S701" s="194">
        <f>E701*S661/Daten_ALLG!$D$246</f>
        <v>0</v>
      </c>
    </row>
    <row r="702" spans="2:19" hidden="1" outlineLevel="2" x14ac:dyDescent="0.25">
      <c r="B702" s="174" t="str">
        <f t="shared" si="35"/>
        <v>Holzkessel</v>
      </c>
      <c r="E702" s="237">
        <f>Daten_ALLG!$D$297</f>
        <v>0.05</v>
      </c>
      <c r="R702" s="193">
        <f>E702*R662/Daten_ALLG!$D$246</f>
        <v>0</v>
      </c>
      <c r="S702" s="194">
        <f>E702*S662/Daten_ALLG!$D$246</f>
        <v>0</v>
      </c>
    </row>
    <row r="703" spans="2:19" hidden="1" outlineLevel="2" x14ac:dyDescent="0.25">
      <c r="B703" s="174" t="str">
        <f t="shared" si="35"/>
        <v>Gasbrennwert</v>
      </c>
      <c r="E703" s="237">
        <f>Daten_ALLG!$D$296</f>
        <v>0.02</v>
      </c>
      <c r="R703" s="193">
        <f>E703*R663/Daten_ALLG!$D$246</f>
        <v>0</v>
      </c>
      <c r="S703" s="194">
        <f>E703*S663/Daten_ALLG!$D$246</f>
        <v>0</v>
      </c>
    </row>
    <row r="704" spans="2:19" hidden="1" outlineLevel="2" x14ac:dyDescent="0.25">
      <c r="B704" s="174" t="str">
        <f t="shared" si="35"/>
        <v>Ölbrennwert</v>
      </c>
      <c r="E704" s="237">
        <f>Daten_ALLG!$D$302</f>
        <v>0.02</v>
      </c>
      <c r="R704" s="193">
        <f>E704*R664/Daten_ALLG!$D$246</f>
        <v>0</v>
      </c>
      <c r="S704" s="194">
        <f>E704*S664/Daten_ALLG!$D$246</f>
        <v>0</v>
      </c>
    </row>
    <row r="705" spans="1:19" hidden="1" outlineLevel="2" x14ac:dyDescent="0.25">
      <c r="B705" s="174" t="s">
        <v>44</v>
      </c>
      <c r="E705" s="185"/>
      <c r="F705" s="310"/>
      <c r="R705" s="301">
        <f>SUM(R689:R704)</f>
        <v>0</v>
      </c>
      <c r="S705" s="302">
        <f>SUM(S689:S704)</f>
        <v>0</v>
      </c>
    </row>
    <row r="706" spans="1:19" s="159" customFormat="1" ht="14.25" customHeight="1" collapsed="1" x14ac:dyDescent="0.25">
      <c r="A706" s="156" t="s">
        <v>75</v>
      </c>
      <c r="B706" s="157"/>
      <c r="C706" s="157"/>
      <c r="D706" s="158"/>
      <c r="O706" s="160"/>
      <c r="P706" s="161"/>
      <c r="R706" s="160"/>
      <c r="S706" s="161"/>
    </row>
    <row r="707" spans="1:19" s="162" customFormat="1" hidden="1" outlineLevel="2" x14ac:dyDescent="0.25">
      <c r="B707" s="163" t="s">
        <v>779</v>
      </c>
      <c r="O707" s="164"/>
      <c r="P707" s="165"/>
      <c r="R707" s="164"/>
      <c r="S707" s="165"/>
    </row>
    <row r="708" spans="1:19" s="170" customFormat="1" hidden="1" outlineLevel="2" x14ac:dyDescent="0.25">
      <c r="A708" s="166"/>
      <c r="B708" s="167"/>
      <c r="C708" s="166"/>
      <c r="D708" s="166"/>
      <c r="E708" s="166"/>
      <c r="F708" s="166"/>
      <c r="H708" s="166"/>
      <c r="J708" s="166"/>
      <c r="K708" s="166"/>
      <c r="L708" s="166"/>
      <c r="M708" s="166"/>
      <c r="N708" s="166"/>
      <c r="O708" s="168" t="s">
        <v>319</v>
      </c>
      <c r="P708" s="172" t="s">
        <v>332</v>
      </c>
      <c r="R708" s="168" t="s">
        <v>644</v>
      </c>
      <c r="S708" s="172" t="s">
        <v>32</v>
      </c>
    </row>
    <row r="709" spans="1:19" hidden="1" outlineLevel="2" x14ac:dyDescent="0.25">
      <c r="B709" s="174" t="s">
        <v>776</v>
      </c>
      <c r="E709" s="185" t="s">
        <v>669</v>
      </c>
      <c r="O709" s="313">
        <f>O532</f>
        <v>9185.7568009821844</v>
      </c>
      <c r="P709" s="314">
        <f>P532</f>
        <v>9185.7568009821844</v>
      </c>
      <c r="Q709" s="315"/>
    </row>
    <row r="710" spans="1:19" hidden="1" outlineLevel="2" x14ac:dyDescent="0.25">
      <c r="B710" s="174" t="s">
        <v>777</v>
      </c>
      <c r="E710" s="185" t="s">
        <v>669</v>
      </c>
      <c r="P710" s="314">
        <f>S710</f>
        <v>0</v>
      </c>
      <c r="Q710" s="315"/>
      <c r="S710" s="302">
        <f>S705</f>
        <v>0</v>
      </c>
    </row>
    <row r="711" spans="1:19" hidden="1" outlineLevel="2" x14ac:dyDescent="0.25">
      <c r="B711" s="174" t="s">
        <v>780</v>
      </c>
      <c r="E711" s="185" t="s">
        <v>669</v>
      </c>
      <c r="P711" s="314">
        <f>S711</f>
        <v>0</v>
      </c>
      <c r="Q711" s="315"/>
      <c r="S711" s="302">
        <f>S685</f>
        <v>0</v>
      </c>
    </row>
    <row r="712" spans="1:19" hidden="1" outlineLevel="2" x14ac:dyDescent="0.25">
      <c r="B712" s="174" t="s">
        <v>44</v>
      </c>
      <c r="E712" s="185" t="s">
        <v>669</v>
      </c>
      <c r="O712" s="313">
        <f>O709+O710+O711</f>
        <v>9185.7568009821844</v>
      </c>
      <c r="P712" s="314">
        <f>P709+P710+P711</f>
        <v>9185.7568009821844</v>
      </c>
      <c r="Q712" s="315"/>
    </row>
    <row r="713" spans="1:19" hidden="1" outlineLevel="2" x14ac:dyDescent="0.25">
      <c r="B713" s="174" t="s">
        <v>781</v>
      </c>
      <c r="E713" s="185" t="s">
        <v>669</v>
      </c>
      <c r="F713" s="316">
        <f>P712-O712</f>
        <v>0</v>
      </c>
      <c r="Q713" s="315"/>
    </row>
    <row r="714" spans="1:19" s="162" customFormat="1" hidden="1" outlineLevel="2" x14ac:dyDescent="0.25">
      <c r="B714" s="163" t="s">
        <v>813</v>
      </c>
      <c r="O714" s="164"/>
      <c r="P714" s="165"/>
      <c r="R714" s="164"/>
      <c r="S714" s="165"/>
    </row>
    <row r="715" spans="1:19" s="170" customFormat="1" hidden="1" outlineLevel="2" x14ac:dyDescent="0.25">
      <c r="A715" s="166"/>
      <c r="B715" s="167"/>
      <c r="C715" s="166"/>
      <c r="D715" s="166"/>
      <c r="E715" s="166"/>
      <c r="F715" s="166"/>
      <c r="H715" s="166"/>
      <c r="J715" s="166"/>
      <c r="K715" s="166"/>
      <c r="L715" s="166"/>
      <c r="M715" s="166"/>
      <c r="N715" s="166"/>
      <c r="O715" s="168" t="s">
        <v>319</v>
      </c>
      <c r="P715" s="172" t="s">
        <v>332</v>
      </c>
      <c r="R715" s="168" t="s">
        <v>644</v>
      </c>
      <c r="S715" s="172" t="s">
        <v>32</v>
      </c>
    </row>
    <row r="716" spans="1:19" hidden="1" outlineLevel="2" x14ac:dyDescent="0.25">
      <c r="B716" s="174" t="s">
        <v>776</v>
      </c>
      <c r="E716" s="185" t="s">
        <v>669</v>
      </c>
      <c r="O716" s="313">
        <f>O532</f>
        <v>9185.7568009821844</v>
      </c>
      <c r="P716" s="314">
        <f>P532</f>
        <v>9185.7568009821844</v>
      </c>
      <c r="Q716" s="315"/>
    </row>
    <row r="717" spans="1:19" hidden="1" outlineLevel="2" x14ac:dyDescent="0.25">
      <c r="B717" s="174" t="s">
        <v>780</v>
      </c>
      <c r="E717" s="185" t="s">
        <v>669</v>
      </c>
      <c r="P717" s="314">
        <f>S717</f>
        <v>0</v>
      </c>
      <c r="Q717" s="315"/>
      <c r="S717" s="302">
        <f>S685</f>
        <v>0</v>
      </c>
    </row>
    <row r="718" spans="1:19" hidden="1" outlineLevel="2" x14ac:dyDescent="0.25">
      <c r="B718" s="174" t="s">
        <v>44</v>
      </c>
      <c r="E718" s="185" t="s">
        <v>669</v>
      </c>
      <c r="O718" s="313">
        <f>O716+O717</f>
        <v>9185.7568009821844</v>
      </c>
      <c r="P718" s="314">
        <f>P716+P717</f>
        <v>9185.7568009821844</v>
      </c>
      <c r="Q718" s="315"/>
    </row>
    <row r="719" spans="1:19" hidden="1" outlineLevel="2" x14ac:dyDescent="0.25">
      <c r="B719" s="174" t="s">
        <v>781</v>
      </c>
      <c r="E719" s="185" t="s">
        <v>669</v>
      </c>
      <c r="F719" s="316">
        <f>P718-O718</f>
        <v>0</v>
      </c>
      <c r="Q719" s="315"/>
    </row>
    <row r="720" spans="1:19" s="162" customFormat="1" hidden="1" outlineLevel="2" x14ac:dyDescent="0.25">
      <c r="B720" s="163" t="s">
        <v>778</v>
      </c>
      <c r="O720" s="164"/>
      <c r="P720" s="165"/>
      <c r="R720" s="164"/>
      <c r="S720" s="165"/>
    </row>
    <row r="721" spans="1:19" s="170" customFormat="1" hidden="1" outlineLevel="2" x14ac:dyDescent="0.25">
      <c r="A721" s="166"/>
      <c r="B721" s="167"/>
      <c r="C721" s="166"/>
      <c r="D721" s="166"/>
      <c r="E721" s="166"/>
      <c r="F721" s="166"/>
      <c r="H721" s="166"/>
      <c r="J721" s="166"/>
      <c r="K721" s="166"/>
      <c r="L721" s="166"/>
      <c r="M721" s="166"/>
      <c r="N721" s="166"/>
      <c r="O721" s="168" t="s">
        <v>319</v>
      </c>
      <c r="P721" s="172" t="s">
        <v>332</v>
      </c>
      <c r="R721" s="168" t="s">
        <v>644</v>
      </c>
      <c r="S721" s="172" t="s">
        <v>32</v>
      </c>
    </row>
    <row r="722" spans="1:19" hidden="1" outlineLevel="2" x14ac:dyDescent="0.25">
      <c r="B722" s="174" t="s">
        <v>776</v>
      </c>
      <c r="E722" s="185" t="s">
        <v>669</v>
      </c>
      <c r="O722" s="313">
        <f>O532</f>
        <v>9185.7568009821844</v>
      </c>
      <c r="P722" s="314">
        <f>P532</f>
        <v>9185.7568009821844</v>
      </c>
      <c r="Q722" s="315"/>
    </row>
    <row r="723" spans="1:19" hidden="1" outlineLevel="2" x14ac:dyDescent="0.25">
      <c r="B723" s="174" t="s">
        <v>777</v>
      </c>
      <c r="E723" s="185" t="s">
        <v>669</v>
      </c>
      <c r="P723" s="314">
        <f>S723-R723</f>
        <v>0</v>
      </c>
      <c r="Q723" s="315"/>
      <c r="R723" s="301">
        <f>R705</f>
        <v>0</v>
      </c>
      <c r="S723" s="302">
        <f>S705</f>
        <v>0</v>
      </c>
    </row>
    <row r="724" spans="1:19" hidden="1" outlineLevel="2" x14ac:dyDescent="0.25">
      <c r="B724" s="174" t="s">
        <v>780</v>
      </c>
      <c r="E724" s="185" t="s">
        <v>669</v>
      </c>
      <c r="P724" s="314">
        <f>S724-R724</f>
        <v>0</v>
      </c>
      <c r="Q724" s="315"/>
      <c r="R724" s="301">
        <f>R685</f>
        <v>0</v>
      </c>
      <c r="S724" s="302">
        <f>S685</f>
        <v>0</v>
      </c>
    </row>
    <row r="725" spans="1:19" hidden="1" outlineLevel="2" x14ac:dyDescent="0.25">
      <c r="B725" s="174" t="s">
        <v>44</v>
      </c>
      <c r="E725" s="185" t="s">
        <v>669</v>
      </c>
      <c r="O725" s="313">
        <f>O722+O723+O724</f>
        <v>9185.7568009821844</v>
      </c>
      <c r="P725" s="314">
        <f>P722+P723+P724</f>
        <v>9185.7568009821844</v>
      </c>
      <c r="Q725" s="315"/>
    </row>
    <row r="726" spans="1:19" hidden="1" outlineLevel="2" x14ac:dyDescent="0.25">
      <c r="B726" s="174" t="s">
        <v>781</v>
      </c>
      <c r="E726" s="185" t="s">
        <v>669</v>
      </c>
      <c r="F726" s="316">
        <f>P725-O725</f>
        <v>0</v>
      </c>
      <c r="Q726" s="315"/>
    </row>
    <row r="727" spans="1:19" s="159" customFormat="1" ht="14.25" customHeight="1" collapsed="1" x14ac:dyDescent="0.25">
      <c r="A727" s="156" t="s">
        <v>744</v>
      </c>
      <c r="B727" s="157"/>
      <c r="C727" s="157"/>
      <c r="D727" s="158"/>
      <c r="O727" s="160"/>
      <c r="P727" s="161"/>
      <c r="R727" s="160"/>
      <c r="S727" s="161"/>
    </row>
    <row r="728" spans="1:19" s="162" customFormat="1" hidden="1" outlineLevel="2" x14ac:dyDescent="0.25">
      <c r="B728" s="163" t="s">
        <v>809</v>
      </c>
      <c r="O728" s="164"/>
      <c r="P728" s="165"/>
      <c r="R728" s="164"/>
      <c r="S728" s="165"/>
    </row>
    <row r="729" spans="1:19" s="170" customFormat="1" hidden="1" outlineLevel="2" x14ac:dyDescent="0.25">
      <c r="A729" s="166"/>
      <c r="B729" s="167"/>
      <c r="C729" s="166"/>
      <c r="D729" s="166"/>
      <c r="E729" s="166"/>
      <c r="F729" s="166"/>
      <c r="H729" s="166"/>
      <c r="J729" s="166"/>
      <c r="K729" s="166"/>
      <c r="L729" s="166"/>
      <c r="M729" s="166"/>
      <c r="N729" s="166"/>
      <c r="O729" s="168"/>
      <c r="P729" s="172"/>
      <c r="R729" s="171"/>
      <c r="S729" s="172"/>
    </row>
    <row r="730" spans="1:19" hidden="1" outlineLevel="2" x14ac:dyDescent="0.25">
      <c r="B730" s="174" t="s">
        <v>808</v>
      </c>
      <c r="E730" s="185" t="s">
        <v>669</v>
      </c>
      <c r="F730" s="317">
        <f>P717</f>
        <v>0</v>
      </c>
      <c r="N730" s="264"/>
    </row>
    <row r="731" spans="1:19" hidden="1" outlineLevel="2" x14ac:dyDescent="0.25">
      <c r="B731" s="174" t="s">
        <v>746</v>
      </c>
      <c r="E731" s="185" t="s">
        <v>621</v>
      </c>
      <c r="F731" s="214">
        <f>O507-P507</f>
        <v>0</v>
      </c>
      <c r="N731" s="264"/>
    </row>
    <row r="732" spans="1:19" hidden="1" outlineLevel="2" x14ac:dyDescent="0.25">
      <c r="B732" s="174" t="s">
        <v>747</v>
      </c>
      <c r="E732" s="185" t="s">
        <v>748</v>
      </c>
      <c r="F732" s="191" t="str">
        <f>IF(F731=0,"k.A.",(F730)/F731)</f>
        <v>k.A.</v>
      </c>
      <c r="N732" s="264"/>
    </row>
    <row r="733" spans="1:19" hidden="1" outlineLevel="2" x14ac:dyDescent="0.25">
      <c r="E733" s="185" t="s">
        <v>749</v>
      </c>
      <c r="F733" s="318" t="str">
        <f>IF(F731=0,"k.A.",F732*1000)</f>
        <v>k.A.</v>
      </c>
      <c r="N733" s="264"/>
    </row>
    <row r="734" spans="1:19" s="162" customFormat="1" hidden="1" outlineLevel="2" x14ac:dyDescent="0.25">
      <c r="B734" s="163" t="s">
        <v>810</v>
      </c>
      <c r="O734" s="164"/>
      <c r="P734" s="165"/>
      <c r="R734" s="164"/>
      <c r="S734" s="165"/>
    </row>
    <row r="735" spans="1:19" s="170" customFormat="1" hidden="1" outlineLevel="2" x14ac:dyDescent="0.25">
      <c r="A735" s="166"/>
      <c r="B735" s="167"/>
      <c r="C735" s="166"/>
      <c r="D735" s="166"/>
      <c r="E735" s="166"/>
      <c r="F735" s="166"/>
      <c r="H735" s="166"/>
      <c r="J735" s="166"/>
      <c r="K735" s="166"/>
      <c r="L735" s="166"/>
      <c r="M735" s="166"/>
      <c r="N735" s="166"/>
      <c r="O735" s="168"/>
      <c r="P735" s="172"/>
      <c r="R735" s="171"/>
      <c r="S735" s="172"/>
    </row>
    <row r="736" spans="1:19" hidden="1" outlineLevel="2" x14ac:dyDescent="0.25">
      <c r="B736" s="174" t="s">
        <v>768</v>
      </c>
      <c r="E736" s="185" t="s">
        <v>669</v>
      </c>
      <c r="F736" s="317">
        <f>P724</f>
        <v>0</v>
      </c>
      <c r="N736" s="264"/>
    </row>
    <row r="737" spans="1:19" hidden="1" outlineLevel="2" x14ac:dyDescent="0.25">
      <c r="B737" s="174" t="s">
        <v>745</v>
      </c>
      <c r="E737" s="185" t="s">
        <v>669</v>
      </c>
      <c r="F737" s="317">
        <f>P723</f>
        <v>0</v>
      </c>
      <c r="N737" s="264"/>
    </row>
    <row r="738" spans="1:19" hidden="1" outlineLevel="2" x14ac:dyDescent="0.25">
      <c r="B738" s="174" t="s">
        <v>746</v>
      </c>
      <c r="E738" s="185" t="s">
        <v>621</v>
      </c>
      <c r="F738" s="214">
        <f>O507-P507</f>
        <v>0</v>
      </c>
      <c r="N738" s="264"/>
    </row>
    <row r="739" spans="1:19" hidden="1" outlineLevel="2" x14ac:dyDescent="0.25">
      <c r="B739" s="174" t="s">
        <v>747</v>
      </c>
      <c r="E739" s="185" t="s">
        <v>748</v>
      </c>
      <c r="F739" s="191" t="str">
        <f>IF(F738=0,"k.A.",(F736+F737)/F738)</f>
        <v>k.A.</v>
      </c>
      <c r="N739" s="264"/>
    </row>
    <row r="740" spans="1:19" hidden="1" outlineLevel="2" x14ac:dyDescent="0.25">
      <c r="E740" s="185" t="s">
        <v>749</v>
      </c>
      <c r="F740" s="318" t="str">
        <f>IF(F738=0,"k.A.",F739*1000)</f>
        <v>k.A.</v>
      </c>
      <c r="N740" s="264"/>
    </row>
    <row r="741" spans="1:19" s="159" customFormat="1" ht="14.25" customHeight="1" collapsed="1" x14ac:dyDescent="0.25">
      <c r="A741" s="156" t="s">
        <v>739</v>
      </c>
      <c r="B741" s="157"/>
      <c r="C741" s="157"/>
      <c r="D741" s="158"/>
      <c r="O741" s="160"/>
      <c r="P741" s="161"/>
      <c r="R741" s="160"/>
      <c r="S741" s="161"/>
    </row>
    <row r="742" spans="1:19" s="162" customFormat="1" hidden="1" outlineLevel="2" x14ac:dyDescent="0.25">
      <c r="B742" s="163" t="s">
        <v>769</v>
      </c>
      <c r="O742" s="164"/>
      <c r="P742" s="165"/>
      <c r="R742" s="164"/>
      <c r="S742" s="165"/>
    </row>
    <row r="743" spans="1:19" s="170" customFormat="1" hidden="1" outlineLevel="2" x14ac:dyDescent="0.25">
      <c r="A743" s="166"/>
      <c r="B743" s="167"/>
      <c r="C743" s="166"/>
      <c r="D743" s="166"/>
      <c r="E743" s="166"/>
      <c r="F743" s="166" t="s">
        <v>811</v>
      </c>
      <c r="G743" s="170" t="s">
        <v>812</v>
      </c>
      <c r="H743" s="166"/>
      <c r="J743" s="166"/>
      <c r="K743" s="166"/>
      <c r="L743" s="166"/>
      <c r="M743" s="166"/>
      <c r="N743" s="166"/>
      <c r="O743" s="168"/>
      <c r="P743" s="172"/>
      <c r="R743" s="171"/>
      <c r="S743" s="172"/>
    </row>
    <row r="744" spans="1:19" hidden="1" outlineLevel="2" x14ac:dyDescent="0.25">
      <c r="B744" s="174" t="s">
        <v>740</v>
      </c>
      <c r="E744" s="185" t="s">
        <v>669</v>
      </c>
      <c r="F744" s="316">
        <f>F719</f>
        <v>0</v>
      </c>
      <c r="G744" s="316">
        <f>F726</f>
        <v>0</v>
      </c>
    </row>
    <row r="745" spans="1:19" hidden="1" outlineLevel="2" x14ac:dyDescent="0.25">
      <c r="B745" s="174" t="s">
        <v>662</v>
      </c>
      <c r="E745" s="185" t="s">
        <v>38</v>
      </c>
      <c r="F745" s="237">
        <f>F645</f>
        <v>4.4649922293402963E-2</v>
      </c>
      <c r="G745" s="237">
        <f>F645</f>
        <v>4.4649922293402963E-2</v>
      </c>
    </row>
    <row r="746" spans="1:19" hidden="1" outlineLevel="2" x14ac:dyDescent="0.25">
      <c r="B746" s="174" t="s">
        <v>750</v>
      </c>
      <c r="E746" s="185" t="s">
        <v>77</v>
      </c>
      <c r="F746" s="214">
        <f>IF(F745=0,"k.A.",IF(F719&lt;0,0,F744/F745))</f>
        <v>0</v>
      </c>
      <c r="G746" s="214">
        <f>IF(G745=0,"k.A.",IF(F726&lt;0,0,G744/G745))</f>
        <v>0</v>
      </c>
    </row>
    <row r="747" spans="1:19" hidden="1" outlineLevel="2" x14ac:dyDescent="0.25">
      <c r="B747" s="174" t="s">
        <v>743</v>
      </c>
      <c r="E747" s="185" t="s">
        <v>13</v>
      </c>
      <c r="F747" s="319">
        <f>IF(F746=0,0,F744/S685)</f>
        <v>0</v>
      </c>
      <c r="G747" s="319">
        <f>IF(G746=0,0,G744/S685)</f>
        <v>0</v>
      </c>
    </row>
    <row r="748" spans="1:19" s="162" customFormat="1" hidden="1" outlineLevel="2" x14ac:dyDescent="0.25">
      <c r="B748" s="163" t="s">
        <v>751</v>
      </c>
      <c r="O748" s="164"/>
      <c r="P748" s="165"/>
      <c r="R748" s="164"/>
      <c r="S748" s="165"/>
    </row>
    <row r="749" spans="1:19" s="170" customFormat="1" hidden="1" outlineLevel="2" x14ac:dyDescent="0.25">
      <c r="A749" s="166"/>
      <c r="B749" s="167"/>
      <c r="C749" s="166"/>
      <c r="D749" s="166"/>
      <c r="E749" s="166"/>
      <c r="F749" s="166" t="s">
        <v>811</v>
      </c>
      <c r="G749" s="170" t="s">
        <v>812</v>
      </c>
      <c r="H749" s="166"/>
      <c r="J749" s="166"/>
      <c r="K749" s="166"/>
      <c r="L749" s="166"/>
      <c r="M749" s="166"/>
      <c r="N749" s="166"/>
      <c r="O749" s="168"/>
      <c r="P749" s="172"/>
      <c r="R749" s="171"/>
      <c r="S749" s="172"/>
    </row>
    <row r="750" spans="1:19" hidden="1" outlineLevel="2" x14ac:dyDescent="0.25">
      <c r="B750" s="174" t="s">
        <v>740</v>
      </c>
      <c r="E750" s="185" t="s">
        <v>669</v>
      </c>
      <c r="F750" s="316">
        <f>IF(F719&lt;0,0,F719)</f>
        <v>0</v>
      </c>
      <c r="G750" s="316">
        <f>IF(F726&lt;0,0,F726)</f>
        <v>0</v>
      </c>
    </row>
    <row r="751" spans="1:19" hidden="1" outlineLevel="2" x14ac:dyDescent="0.25">
      <c r="B751" s="174" t="s">
        <v>752</v>
      </c>
      <c r="E751" s="185" t="s">
        <v>621</v>
      </c>
      <c r="F751" s="320">
        <f>IF(P507&gt;O507,0,O507-P507)</f>
        <v>0</v>
      </c>
      <c r="G751" s="320">
        <f>IF(P507&gt;O507,0,O507-P507)</f>
        <v>0</v>
      </c>
    </row>
    <row r="752" spans="1:19" hidden="1" outlineLevel="2" x14ac:dyDescent="0.25">
      <c r="B752" s="174" t="s">
        <v>753</v>
      </c>
      <c r="E752" s="185" t="s">
        <v>748</v>
      </c>
      <c r="F752" s="237" t="str">
        <f>IF(F751=0,"k.A.",F750/F751)</f>
        <v>k.A.</v>
      </c>
      <c r="G752" s="237" t="str">
        <f>IF(G751=0,"k.A.",G750/G751)</f>
        <v>k.A.</v>
      </c>
    </row>
    <row r="753" spans="1:19" hidden="1" outlineLevel="2" x14ac:dyDescent="0.25">
      <c r="E753" s="185" t="s">
        <v>749</v>
      </c>
      <c r="F753" s="318" t="str">
        <f>IF(F751=0,"k.A.",F752*1000)</f>
        <v>k.A.</v>
      </c>
      <c r="G753" s="318" t="str">
        <f>IF(G751=0,"k.A.",G752*1000)</f>
        <v>k.A.</v>
      </c>
    </row>
    <row r="754" spans="1:19" s="162" customFormat="1" hidden="1" outlineLevel="2" x14ac:dyDescent="0.25">
      <c r="B754" s="163" t="s">
        <v>831</v>
      </c>
      <c r="O754" s="164"/>
      <c r="P754" s="165"/>
      <c r="R754" s="164"/>
      <c r="S754" s="165"/>
    </row>
    <row r="755" spans="1:19" s="170" customFormat="1" hidden="1" outlineLevel="2" x14ac:dyDescent="0.25">
      <c r="A755" s="166"/>
      <c r="B755" s="167"/>
      <c r="C755" s="166"/>
      <c r="D755" s="166"/>
      <c r="E755" s="166"/>
      <c r="F755" s="166"/>
      <c r="H755" s="166"/>
      <c r="J755" s="166"/>
      <c r="K755" s="166"/>
      <c r="L755" s="166"/>
      <c r="M755" s="166"/>
      <c r="N755" s="166"/>
      <c r="O755" s="168" t="s">
        <v>319</v>
      </c>
      <c r="P755" s="169" t="s">
        <v>332</v>
      </c>
      <c r="R755" s="171"/>
      <c r="S755" s="172"/>
    </row>
    <row r="756" spans="1:19" hidden="1" outlineLevel="2" x14ac:dyDescent="0.25">
      <c r="B756" s="174" t="s">
        <v>740</v>
      </c>
      <c r="E756" s="185" t="s">
        <v>669</v>
      </c>
      <c r="F756" s="316">
        <f>IF(F726&lt;0,0,F726)</f>
        <v>0</v>
      </c>
    </row>
    <row r="757" spans="1:19" hidden="1" outlineLevel="2" x14ac:dyDescent="0.25">
      <c r="B757" s="174" t="s">
        <v>832</v>
      </c>
      <c r="E757" s="185" t="s">
        <v>348</v>
      </c>
      <c r="N757" s="264" t="s">
        <v>736</v>
      </c>
      <c r="O757" s="221">
        <f>IF($A$276="",0,IF($D276="V",0,IF($E276="V",0,IF($F276="V",0,IF($G276="V",0,IF($H276="V",0,IF($I276="V",0,IF($J276="V",0,IF($K276="V",0,IF($L276="V",O409,IF($M276="V",O409,0)))))))))))</f>
        <v>0</v>
      </c>
      <c r="P757" s="222">
        <f>IF($A$276="",0,IF($D276="N",0,IF($E276="N",0,IF($F276="N",0,IF($G276="N",0,IF($H276="N",0,IF($I276="N",0,IF($J276="N",0,IF($K276="N",0,IF($L276="N",P409,IF($M276="N",P409,0)))))))))))</f>
        <v>0</v>
      </c>
    </row>
    <row r="758" spans="1:19" hidden="1" outlineLevel="2" x14ac:dyDescent="0.25">
      <c r="B758" s="174" t="s">
        <v>834</v>
      </c>
      <c r="E758" s="185" t="s">
        <v>348</v>
      </c>
      <c r="N758" s="264" t="s">
        <v>40</v>
      </c>
      <c r="O758" s="321">
        <f>L529*O379</f>
        <v>0</v>
      </c>
      <c r="P758" s="222">
        <f>M529*P379</f>
        <v>0</v>
      </c>
    </row>
    <row r="759" spans="1:19" hidden="1" outlineLevel="2" x14ac:dyDescent="0.25">
      <c r="B759" s="174" t="s">
        <v>833</v>
      </c>
      <c r="E759" s="185" t="s">
        <v>348</v>
      </c>
      <c r="N759" s="264" t="s">
        <v>736</v>
      </c>
      <c r="O759" s="321">
        <f>IF($A$303="",0,IF($D303="V",0,IF($E303="V",0,IF($F303="V",0,IF($G303="V",0,IF($H303="V",0,IF($I303="V",0,IF($J303="V",0,IF($K303="V",0,IF($L303="V",O417,IF($M303="V",O417,0)))))))))))</f>
        <v>0</v>
      </c>
      <c r="P759" s="222">
        <f>IF($A$303="",0,IF($D303="N",0,IF($E303="N",0,IF($F303="N",0,IF($G303="N",0,IF($H303="N",0,IF($I303="N",0,IF($J303="N",0,IF($K303="N",0,IF($L303="N",P417,IF($M303="N",P417,0)))))))))))</f>
        <v>0</v>
      </c>
    </row>
    <row r="760" spans="1:19" hidden="1" outlineLevel="2" x14ac:dyDescent="0.25">
      <c r="B760" s="174" t="s">
        <v>835</v>
      </c>
      <c r="E760" s="185" t="s">
        <v>348</v>
      </c>
      <c r="N760" s="264" t="s">
        <v>40</v>
      </c>
      <c r="O760" s="221">
        <f>L530*O388</f>
        <v>0</v>
      </c>
      <c r="P760" s="222">
        <f>M530*P388</f>
        <v>0</v>
      </c>
    </row>
    <row r="761" spans="1:19" hidden="1" outlineLevel="2" x14ac:dyDescent="0.25">
      <c r="B761" s="174" t="s">
        <v>836</v>
      </c>
      <c r="E761" s="185" t="s">
        <v>348</v>
      </c>
      <c r="N761" s="264"/>
      <c r="O761" s="221">
        <f>O757+O759-O758-O760</f>
        <v>0</v>
      </c>
      <c r="P761" s="222">
        <f>P757+P759-P758-P760</f>
        <v>0</v>
      </c>
    </row>
    <row r="762" spans="1:19" hidden="1" outlineLevel="2" x14ac:dyDescent="0.25">
      <c r="B762" s="174" t="s">
        <v>755</v>
      </c>
      <c r="E762" s="185" t="s">
        <v>348</v>
      </c>
      <c r="F762" s="316">
        <f>O761-P761</f>
        <v>0</v>
      </c>
    </row>
    <row r="763" spans="1:19" hidden="1" outlineLevel="2" x14ac:dyDescent="0.25">
      <c r="B763" s="174" t="s">
        <v>754</v>
      </c>
      <c r="E763" s="185" t="s">
        <v>31</v>
      </c>
      <c r="F763" s="191">
        <f>IF(F762=0,0,F756/F762)</f>
        <v>0</v>
      </c>
    </row>
    <row r="764" spans="1:19" hidden="1" outlineLevel="2" x14ac:dyDescent="0.25">
      <c r="B764" s="174" t="s">
        <v>837</v>
      </c>
      <c r="E764" s="185" t="s">
        <v>31</v>
      </c>
      <c r="F764" s="322">
        <f>IF(AND(F762=0,F756&lt;&gt;0),"n.m.",Daten_ALLG!$D$279+F763)</f>
        <v>0.186</v>
      </c>
    </row>
    <row r="765" spans="1:19" hidden="1" outlineLevel="2" x14ac:dyDescent="0.25">
      <c r="E765" s="185"/>
    </row>
  </sheetData>
  <sheetProtection sheet="1" selectLockedCells="1"/>
  <pageMargins left="0.7" right="0.7" top="0.78740157499999996" bottom="0.78740157499999996" header="0.3" footer="0.3"/>
  <pageSetup paperSize="9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B62F31-8710-4A1A-9CCF-D0321FB7AF98}">
  <sheetPr codeName="Tabelle8">
    <tabColor theme="6"/>
    <outlinePr summaryBelow="0" summaryRight="0"/>
  </sheetPr>
  <dimension ref="A1:U765"/>
  <sheetViews>
    <sheetView showGridLines="0" zoomScale="85" zoomScaleNormal="85" workbookViewId="0">
      <pane ySplit="12" topLeftCell="A13" activePane="bottomLeft" state="frozen"/>
      <selection pane="bottomLeft"/>
    </sheetView>
  </sheetViews>
  <sheetFormatPr baseColWidth="10" defaultRowHeight="15" outlineLevelRow="2" x14ac:dyDescent="0.25"/>
  <cols>
    <col min="1" max="1" width="4.140625" style="173" customWidth="1"/>
    <col min="2" max="2" width="14.28515625" style="174" customWidth="1"/>
    <col min="3" max="3" width="12.85546875" style="173" customWidth="1"/>
    <col min="4" max="14" width="9.42578125" style="173" customWidth="1"/>
    <col min="15" max="15" width="9.42578125" style="178" customWidth="1"/>
    <col min="16" max="16" width="9.42578125" style="179" customWidth="1"/>
    <col min="17" max="17" width="9.42578125" style="173" customWidth="1"/>
    <col min="18" max="18" width="9.42578125" style="178" customWidth="1"/>
    <col min="19" max="19" width="9.42578125" style="179" customWidth="1"/>
    <col min="20" max="16384" width="11.42578125" style="173"/>
  </cols>
  <sheetData>
    <row r="1" spans="1:21" s="109" customFormat="1" ht="14.25" customHeight="1" x14ac:dyDescent="0.25">
      <c r="A1" s="106" t="s">
        <v>893</v>
      </c>
      <c r="B1" s="107"/>
      <c r="C1" s="107"/>
      <c r="D1" s="108"/>
    </row>
    <row r="2" spans="1:21" s="110" customFormat="1" ht="15.75" customHeight="1" outlineLevel="1" x14ac:dyDescent="0.2">
      <c r="B2" s="110" t="s">
        <v>339</v>
      </c>
      <c r="C2" s="111" t="s">
        <v>517</v>
      </c>
      <c r="D2" s="110" t="s">
        <v>623</v>
      </c>
      <c r="E2" s="110" t="s">
        <v>609</v>
      </c>
      <c r="F2" s="110" t="s">
        <v>522</v>
      </c>
      <c r="G2" s="110" t="s">
        <v>582</v>
      </c>
      <c r="I2" s="110" t="s">
        <v>529</v>
      </c>
      <c r="J2" s="110" t="s">
        <v>531</v>
      </c>
      <c r="K2" s="110" t="s">
        <v>614</v>
      </c>
      <c r="L2" s="110" t="s">
        <v>615</v>
      </c>
      <c r="M2" s="110" t="s">
        <v>683</v>
      </c>
      <c r="O2" s="110" t="s">
        <v>816</v>
      </c>
      <c r="P2" s="110" t="s">
        <v>894</v>
      </c>
      <c r="Q2" s="110" t="s">
        <v>896</v>
      </c>
      <c r="R2" s="110" t="s">
        <v>2</v>
      </c>
      <c r="S2" s="110" t="s">
        <v>7</v>
      </c>
    </row>
    <row r="3" spans="1:21" s="110" customFormat="1" ht="15.75" customHeight="1" outlineLevel="1" x14ac:dyDescent="0.2">
      <c r="B3" s="110" t="s">
        <v>886</v>
      </c>
      <c r="C3" s="111" t="s">
        <v>626</v>
      </c>
      <c r="D3" s="111" t="s">
        <v>626</v>
      </c>
      <c r="E3" s="337" t="s">
        <v>887</v>
      </c>
      <c r="F3" s="111" t="s">
        <v>626</v>
      </c>
      <c r="G3" s="111" t="s">
        <v>626</v>
      </c>
      <c r="I3" s="111" t="s">
        <v>626</v>
      </c>
      <c r="J3" s="111" t="s">
        <v>626</v>
      </c>
      <c r="K3" s="111" t="s">
        <v>791</v>
      </c>
      <c r="L3" s="111" t="s">
        <v>791</v>
      </c>
      <c r="M3" s="111" t="s">
        <v>888</v>
      </c>
      <c r="O3" s="111" t="s">
        <v>888</v>
      </c>
      <c r="P3" s="337" t="s">
        <v>887</v>
      </c>
      <c r="Q3" s="110" t="s">
        <v>889</v>
      </c>
      <c r="R3" s="110" t="s">
        <v>890</v>
      </c>
      <c r="S3" s="110" t="s">
        <v>890</v>
      </c>
    </row>
    <row r="4" spans="1:21" s="125" customFormat="1" ht="15.75" customHeight="1" outlineLevel="1" x14ac:dyDescent="0.25">
      <c r="A4" s="112" t="s">
        <v>782</v>
      </c>
      <c r="B4" s="113">
        <f>O94</f>
        <v>1.7270611688252515</v>
      </c>
      <c r="C4" s="114">
        <f>O435</f>
        <v>93.305378247620823</v>
      </c>
      <c r="D4" s="115">
        <f>O439</f>
        <v>102.19254171092902</v>
      </c>
      <c r="E4" s="116">
        <f>O441</f>
        <v>0.83893394498204188</v>
      </c>
      <c r="F4" s="117">
        <f>O442</f>
        <v>121.81238144216056</v>
      </c>
      <c r="G4" s="117">
        <f>O481</f>
        <v>128.19583598042317</v>
      </c>
      <c r="H4" s="112" t="s">
        <v>782</v>
      </c>
      <c r="I4" s="118">
        <f>O451</f>
        <v>111.35458532187965</v>
      </c>
      <c r="J4" s="119">
        <f>F4+F9</f>
        <v>156.23281829629138</v>
      </c>
      <c r="K4" s="338">
        <f>O516</f>
        <v>37.281978973639482</v>
      </c>
      <c r="L4" s="120">
        <f>O522</f>
        <v>51.585442036576893</v>
      </c>
      <c r="M4" s="121">
        <f>O709</f>
        <v>10191.537851581512</v>
      </c>
      <c r="N4" s="112" t="s">
        <v>815</v>
      </c>
      <c r="O4" s="121">
        <f>G744</f>
        <v>0</v>
      </c>
      <c r="P4" s="122">
        <f>G747</f>
        <v>0</v>
      </c>
      <c r="Q4" s="123" t="str">
        <f>G753</f>
        <v>k.A.</v>
      </c>
      <c r="R4" s="336" t="str">
        <f>IF(Q4="k.A.","k.A.",Q4/1000*Daten_ALLG!$D$204/1000+Daten_ALLG!$D$276)</f>
        <v>k.A.</v>
      </c>
      <c r="S4" s="336" t="str">
        <f>IF(Q4="k.A.","k.A.",Q4*Daten_ALLG!$D$209/1000/1000+Daten_ALLG!$D$278)</f>
        <v>k.A.</v>
      </c>
    </row>
    <row r="5" spans="1:21" s="125" customFormat="1" ht="15.75" customHeight="1" outlineLevel="1" x14ac:dyDescent="0.25">
      <c r="A5" s="112" t="s">
        <v>783</v>
      </c>
      <c r="B5" s="113">
        <f>P94</f>
        <v>1.7270611688252515</v>
      </c>
      <c r="C5" s="114">
        <f>P435</f>
        <v>93.305378247620823</v>
      </c>
      <c r="D5" s="115">
        <f>P439</f>
        <v>102.19254171092902</v>
      </c>
      <c r="E5" s="116">
        <f>P441</f>
        <v>0.83893394498204188</v>
      </c>
      <c r="F5" s="117">
        <f>P442</f>
        <v>121.81238144216056</v>
      </c>
      <c r="G5" s="117">
        <f>P481</f>
        <v>128.19583598042317</v>
      </c>
      <c r="H5" s="112" t="s">
        <v>783</v>
      </c>
      <c r="I5" s="118">
        <f>P451</f>
        <v>111.35458532187965</v>
      </c>
      <c r="J5" s="119">
        <f>F5+F10</f>
        <v>156.23281829629138</v>
      </c>
      <c r="K5" s="338">
        <f>P516</f>
        <v>37.281978973639482</v>
      </c>
      <c r="L5" s="120">
        <f>P522</f>
        <v>51.585442036576893</v>
      </c>
      <c r="M5" s="121">
        <f>P709</f>
        <v>10191.537851581512</v>
      </c>
      <c r="N5" s="112" t="s">
        <v>814</v>
      </c>
      <c r="O5" s="121">
        <f>F744</f>
        <v>0</v>
      </c>
      <c r="P5" s="122">
        <f>F747</f>
        <v>0</v>
      </c>
      <c r="Q5" s="123" t="str">
        <f>F753</f>
        <v>k.A.</v>
      </c>
      <c r="R5" s="336" t="str">
        <f>IF(Q5="k.A.","k.A.",Q5/1000*Daten_ALLG!$D$204/1000+Daten_ALLG!$D$276)</f>
        <v>k.A.</v>
      </c>
      <c r="S5" s="336" t="str">
        <f>IF(Q5="k.A.","k.A.",Q5*Daten_ALLG!$D$209/1000/1000+Daten_ALLG!$D$278)</f>
        <v>k.A.</v>
      </c>
    </row>
    <row r="6" spans="1:21" s="125" customFormat="1" ht="15.75" customHeight="1" outlineLevel="1" x14ac:dyDescent="0.25">
      <c r="A6" s="112"/>
      <c r="B6" s="126">
        <f>B5/B4-1</f>
        <v>0</v>
      </c>
      <c r="C6" s="127">
        <f>C5/C4-1</f>
        <v>0</v>
      </c>
      <c r="D6" s="128">
        <f t="shared" ref="D6:L6" si="0">D5/D4-1</f>
        <v>0</v>
      </c>
      <c r="E6" s="128">
        <f t="shared" si="0"/>
        <v>0</v>
      </c>
      <c r="F6" s="129">
        <f t="shared" si="0"/>
        <v>0</v>
      </c>
      <c r="G6" s="129">
        <f t="shared" si="0"/>
        <v>0</v>
      </c>
      <c r="H6" s="112"/>
      <c r="I6" s="130">
        <f t="shared" si="0"/>
        <v>0</v>
      </c>
      <c r="J6" s="131">
        <f t="shared" si="0"/>
        <v>0</v>
      </c>
      <c r="K6" s="339">
        <f t="shared" si="0"/>
        <v>0</v>
      </c>
      <c r="L6" s="132">
        <f t="shared" si="0"/>
        <v>0</v>
      </c>
      <c r="M6" s="133">
        <f>M5/M4-1</f>
        <v>0</v>
      </c>
      <c r="P6" s="112"/>
      <c r="R6" s="112"/>
      <c r="T6" s="134"/>
    </row>
    <row r="7" spans="1:21" s="110" customFormat="1" ht="15.75" customHeight="1" outlineLevel="1" x14ac:dyDescent="0.2">
      <c r="A7" s="135"/>
      <c r="B7" s="110" t="s">
        <v>784</v>
      </c>
      <c r="C7" s="110" t="s">
        <v>523</v>
      </c>
      <c r="D7" s="110" t="s">
        <v>624</v>
      </c>
      <c r="E7" s="110" t="s">
        <v>610</v>
      </c>
      <c r="F7" s="110" t="s">
        <v>528</v>
      </c>
      <c r="G7" s="110" t="s">
        <v>608</v>
      </c>
      <c r="I7" s="110" t="s">
        <v>534</v>
      </c>
      <c r="J7" s="110" t="s">
        <v>533</v>
      </c>
      <c r="K7" s="110" t="s">
        <v>734</v>
      </c>
      <c r="L7" s="110" t="s">
        <v>715</v>
      </c>
      <c r="N7" s="110" t="s">
        <v>680</v>
      </c>
      <c r="O7" s="110" t="s">
        <v>681</v>
      </c>
      <c r="P7" s="110" t="s">
        <v>682</v>
      </c>
      <c r="Q7" s="110" t="s">
        <v>684</v>
      </c>
      <c r="S7" s="110" t="s">
        <v>895</v>
      </c>
    </row>
    <row r="8" spans="1:21" s="110" customFormat="1" ht="15.75" customHeight="1" outlineLevel="1" x14ac:dyDescent="0.2">
      <c r="A8" s="135"/>
      <c r="B8" s="110" t="s">
        <v>891</v>
      </c>
      <c r="C8" s="111" t="s">
        <v>626</v>
      </c>
      <c r="D8" s="111" t="s">
        <v>626</v>
      </c>
      <c r="E8" s="337" t="s">
        <v>887</v>
      </c>
      <c r="F8" s="111" t="s">
        <v>626</v>
      </c>
      <c r="G8" s="111" t="s">
        <v>626</v>
      </c>
      <c r="I8" s="111" t="s">
        <v>626</v>
      </c>
      <c r="J8" s="111" t="s">
        <v>626</v>
      </c>
      <c r="K8" s="111" t="s">
        <v>626</v>
      </c>
      <c r="L8" s="111" t="s">
        <v>626</v>
      </c>
      <c r="N8" s="110" t="s">
        <v>892</v>
      </c>
      <c r="O8" s="111" t="s">
        <v>888</v>
      </c>
      <c r="P8" s="111" t="s">
        <v>888</v>
      </c>
      <c r="Q8" s="111" t="s">
        <v>888</v>
      </c>
      <c r="S8" s="110" t="s">
        <v>889</v>
      </c>
    </row>
    <row r="9" spans="1:21" s="146" customFormat="1" ht="15.75" customHeight="1" outlineLevel="1" x14ac:dyDescent="0.25">
      <c r="A9" s="136" t="s">
        <v>782</v>
      </c>
      <c r="B9" s="137">
        <f>O101</f>
        <v>55.265957402408048</v>
      </c>
      <c r="C9" s="138">
        <f>O443</f>
        <v>14.608609078456503</v>
      </c>
      <c r="D9" s="139">
        <f>O447</f>
        <v>29.730697324469329</v>
      </c>
      <c r="E9" s="140">
        <f>O416</f>
        <v>0.86375130712210335</v>
      </c>
      <c r="F9" s="141">
        <f>O450</f>
        <v>34.420436854130841</v>
      </c>
      <c r="G9" s="141">
        <f>O484</f>
        <v>39.227257729794147</v>
      </c>
      <c r="H9" s="136" t="s">
        <v>782</v>
      </c>
      <c r="I9" s="142">
        <f>O456</f>
        <v>32.406848391687866</v>
      </c>
      <c r="J9" s="143">
        <f>O459</f>
        <v>1.918414931801866</v>
      </c>
      <c r="K9" s="144">
        <f>O457</f>
        <v>0.19184149318018662</v>
      </c>
      <c r="L9" s="144">
        <f>O458</f>
        <v>1.7265734386216796</v>
      </c>
      <c r="M9" s="112" t="s">
        <v>815</v>
      </c>
      <c r="N9" s="145">
        <f>S665-R665</f>
        <v>0</v>
      </c>
      <c r="O9" s="121">
        <f>P724</f>
        <v>0</v>
      </c>
      <c r="P9" s="121">
        <f>P723</f>
        <v>0</v>
      </c>
      <c r="Q9" s="121">
        <f>P725</f>
        <v>10191.537851581512</v>
      </c>
      <c r="R9" s="112"/>
      <c r="S9" s="123" t="str">
        <f>F740</f>
        <v>k.A.</v>
      </c>
    </row>
    <row r="10" spans="1:21" s="146" customFormat="1" ht="15.75" customHeight="1" outlineLevel="1" x14ac:dyDescent="0.25">
      <c r="A10" s="112" t="s">
        <v>783</v>
      </c>
      <c r="B10" s="137">
        <f>P101</f>
        <v>55.265957402408048</v>
      </c>
      <c r="C10" s="138">
        <f>P443</f>
        <v>14.608609078456503</v>
      </c>
      <c r="D10" s="139">
        <f>P447</f>
        <v>29.730697324469329</v>
      </c>
      <c r="E10" s="140">
        <f>P416</f>
        <v>0.86375130712210335</v>
      </c>
      <c r="F10" s="141">
        <f>P450</f>
        <v>34.420436854130841</v>
      </c>
      <c r="G10" s="141">
        <f>P484</f>
        <v>39.227257729794147</v>
      </c>
      <c r="H10" s="136" t="s">
        <v>783</v>
      </c>
      <c r="I10" s="142">
        <f>P456</f>
        <v>32.406848391687866</v>
      </c>
      <c r="J10" s="143">
        <f>P459</f>
        <v>1.918414931801866</v>
      </c>
      <c r="K10" s="144">
        <f>P457</f>
        <v>0.19184149318018662</v>
      </c>
      <c r="L10" s="144">
        <f>P458</f>
        <v>1.7265734386216796</v>
      </c>
      <c r="M10" s="112" t="s">
        <v>814</v>
      </c>
      <c r="N10" s="145">
        <f>S665</f>
        <v>0</v>
      </c>
      <c r="O10" s="121">
        <f>P711</f>
        <v>0</v>
      </c>
      <c r="P10" s="121">
        <f>P710</f>
        <v>0</v>
      </c>
      <c r="Q10" s="121">
        <f>P712</f>
        <v>10191.537851581512</v>
      </c>
      <c r="R10" s="112"/>
      <c r="S10" s="123" t="str">
        <f>F733</f>
        <v>k.A.</v>
      </c>
      <c r="U10" s="147"/>
    </row>
    <row r="11" spans="1:21" s="125" customFormat="1" ht="15.75" customHeight="1" outlineLevel="1" x14ac:dyDescent="0.25">
      <c r="A11" s="112"/>
      <c r="B11" s="126">
        <f>B10/B9-1</f>
        <v>0</v>
      </c>
      <c r="C11" s="148">
        <f>C10/C9-1</f>
        <v>0</v>
      </c>
      <c r="D11" s="149">
        <f t="shared" ref="D11:G11" si="1">D10/D9-1</f>
        <v>0</v>
      </c>
      <c r="E11" s="149">
        <f t="shared" si="1"/>
        <v>0</v>
      </c>
      <c r="F11" s="150">
        <f t="shared" si="1"/>
        <v>0</v>
      </c>
      <c r="G11" s="150">
        <f t="shared" si="1"/>
        <v>0</v>
      </c>
      <c r="H11" s="112"/>
      <c r="I11" s="131">
        <f t="shared" ref="I11" si="2">I10/I9-1</f>
        <v>0</v>
      </c>
      <c r="J11" s="151">
        <f>IF(J9=0,"k.A.",J10/J9-1)</f>
        <v>0</v>
      </c>
      <c r="K11" s="152">
        <f>IF(K9=0,"k.A.",K10/K9-1)</f>
        <v>0</v>
      </c>
      <c r="L11" s="152" t="s">
        <v>830</v>
      </c>
      <c r="M11" s="112"/>
      <c r="P11" s="112"/>
      <c r="Q11" s="112"/>
      <c r="R11" s="112"/>
      <c r="S11" s="112"/>
      <c r="T11" s="134"/>
    </row>
    <row r="12" spans="1:21" s="155" customFormat="1" x14ac:dyDescent="0.25">
      <c r="A12" s="153"/>
      <c r="B12" s="154"/>
      <c r="C12" s="153"/>
      <c r="D12" s="153"/>
      <c r="E12" s="154"/>
      <c r="F12" s="153"/>
      <c r="G12" s="153"/>
      <c r="H12" s="153"/>
      <c r="I12" s="154"/>
      <c r="J12" s="153"/>
      <c r="K12" s="153"/>
      <c r="L12" s="153"/>
      <c r="M12" s="154"/>
      <c r="N12" s="153"/>
      <c r="O12" s="153"/>
      <c r="P12" s="153"/>
      <c r="Q12" s="153"/>
      <c r="R12" s="153"/>
      <c r="S12" s="153"/>
    </row>
    <row r="13" spans="1:21" s="159" customFormat="1" ht="14.25" customHeight="1" collapsed="1" x14ac:dyDescent="0.25">
      <c r="A13" s="156" t="s">
        <v>245</v>
      </c>
      <c r="B13" s="157"/>
      <c r="C13" s="157"/>
      <c r="D13" s="158"/>
      <c r="O13" s="160"/>
      <c r="P13" s="161"/>
      <c r="R13" s="160"/>
      <c r="S13" s="161"/>
    </row>
    <row r="14" spans="1:21" s="162" customFormat="1" hidden="1" outlineLevel="2" x14ac:dyDescent="0.25">
      <c r="B14" s="163" t="s">
        <v>342</v>
      </c>
      <c r="O14" s="164"/>
      <c r="P14" s="165"/>
      <c r="R14" s="164"/>
      <c r="S14" s="165"/>
    </row>
    <row r="15" spans="1:21" s="170" customFormat="1" hidden="1" outlineLevel="2" x14ac:dyDescent="0.25">
      <c r="A15" s="166"/>
      <c r="B15" s="167"/>
      <c r="C15" s="166"/>
      <c r="D15" s="166"/>
      <c r="E15" s="166"/>
      <c r="F15" s="166"/>
      <c r="G15" s="166"/>
      <c r="H15" s="166"/>
      <c r="I15" s="166"/>
      <c r="J15" s="166"/>
      <c r="K15" s="166"/>
      <c r="L15" s="166"/>
      <c r="M15" s="166"/>
      <c r="N15" s="166"/>
      <c r="O15" s="168" t="s">
        <v>319</v>
      </c>
      <c r="P15" s="169" t="s">
        <v>332</v>
      </c>
      <c r="R15" s="171"/>
      <c r="S15" s="172"/>
    </row>
    <row r="16" spans="1:21" hidden="1" outlineLevel="2" x14ac:dyDescent="0.25">
      <c r="B16" s="174" t="s">
        <v>344</v>
      </c>
      <c r="C16" s="175" t="s">
        <v>64</v>
      </c>
      <c r="O16" s="176">
        <f>Daten_ALLG!$D$4+O94*Daten_ALLG!$F$4</f>
        <v>15.307117526276478</v>
      </c>
      <c r="P16" s="177">
        <f>Daten_ALLG!$D$4+P94*Daten_ALLG!$F$4</f>
        <v>15.307117526276478</v>
      </c>
    </row>
    <row r="17" spans="1:19" hidden="1" outlineLevel="2" x14ac:dyDescent="0.25">
      <c r="B17" s="174" t="s">
        <v>341</v>
      </c>
      <c r="C17" s="175" t="s">
        <v>64</v>
      </c>
      <c r="O17" s="176">
        <f>Daten_ALLG!$D$12+Daten_ALLG!$F$12*O16</f>
        <v>6.5101021571211559</v>
      </c>
      <c r="P17" s="177">
        <f>Daten_ALLG!$D$12+Daten_ALLG!$F$12*P16</f>
        <v>6.5101021571211559</v>
      </c>
    </row>
    <row r="18" spans="1:19" hidden="1" outlineLevel="2" x14ac:dyDescent="0.25">
      <c r="B18" s="174" t="s">
        <v>343</v>
      </c>
      <c r="C18" s="175" t="s">
        <v>160</v>
      </c>
      <c r="O18" s="180">
        <f>Daten_ALLG!$D$11+Daten_ALLG!$F$11*O16</f>
        <v>271.86986506488074</v>
      </c>
      <c r="P18" s="181">
        <f>Daten_ALLG!$D$11+Daten_ALLG!$F$11*P16</f>
        <v>271.86986506488074</v>
      </c>
    </row>
    <row r="19" spans="1:19" hidden="1" outlineLevel="2" x14ac:dyDescent="0.25">
      <c r="B19" s="174" t="s">
        <v>346</v>
      </c>
      <c r="C19" s="175" t="s">
        <v>622</v>
      </c>
      <c r="D19" s="173" t="s">
        <v>807</v>
      </c>
      <c r="O19" s="182">
        <f>(O16-O17)*O18*24/1000</f>
        <v>57.399441153262543</v>
      </c>
      <c r="P19" s="183">
        <f>(P16-P17)*P18*24/1000</f>
        <v>57.399441153262543</v>
      </c>
    </row>
    <row r="20" spans="1:19" s="162" customFormat="1" hidden="1" outlineLevel="2" x14ac:dyDescent="0.25">
      <c r="B20" s="163" t="s">
        <v>345</v>
      </c>
      <c r="O20" s="164"/>
      <c r="P20" s="165"/>
      <c r="R20" s="164"/>
      <c r="S20" s="165"/>
    </row>
    <row r="21" spans="1:19" s="170" customFormat="1" hidden="1" outlineLevel="2" x14ac:dyDescent="0.25">
      <c r="A21" s="166"/>
      <c r="B21" s="167"/>
      <c r="C21" s="166"/>
      <c r="D21" s="166"/>
      <c r="E21" s="166"/>
      <c r="F21" s="166"/>
      <c r="G21" s="166"/>
      <c r="H21" s="166"/>
      <c r="I21" s="166"/>
      <c r="J21" s="166"/>
      <c r="K21" s="166"/>
      <c r="L21" s="166"/>
      <c r="M21" s="166"/>
      <c r="N21" s="166"/>
      <c r="O21" s="168" t="s">
        <v>319</v>
      </c>
      <c r="P21" s="169" t="s">
        <v>332</v>
      </c>
      <c r="R21" s="171"/>
      <c r="S21" s="172"/>
    </row>
    <row r="22" spans="1:19" hidden="1" outlineLevel="2" x14ac:dyDescent="0.25">
      <c r="B22" s="174" t="s">
        <v>346</v>
      </c>
      <c r="C22" s="175" t="s">
        <v>58</v>
      </c>
      <c r="O22" s="180">
        <f>Daten_ALLG!$D$20+Daten_ALLG!$F$20*O16</f>
        <v>488.42705157658872</v>
      </c>
      <c r="P22" s="181">
        <f>Daten_ALLG!$D$20+Daten_ALLG!$F$20*P16</f>
        <v>488.42705157658872</v>
      </c>
    </row>
    <row r="23" spans="1:19" s="159" customFormat="1" ht="14.25" customHeight="1" collapsed="1" x14ac:dyDescent="0.25">
      <c r="A23" s="156" t="s">
        <v>350</v>
      </c>
      <c r="B23" s="157"/>
      <c r="C23" s="157"/>
      <c r="D23" s="158"/>
      <c r="O23" s="160"/>
      <c r="P23" s="161"/>
      <c r="R23" s="160"/>
      <c r="S23" s="161"/>
    </row>
    <row r="24" spans="1:19" s="162" customFormat="1" hidden="1" outlineLevel="2" x14ac:dyDescent="0.25">
      <c r="B24" s="163" t="s">
        <v>147</v>
      </c>
      <c r="O24" s="164"/>
      <c r="P24" s="165"/>
      <c r="R24" s="164"/>
      <c r="S24" s="165"/>
    </row>
    <row r="25" spans="1:19" s="170" customFormat="1" hidden="1" outlineLevel="2" x14ac:dyDescent="0.25">
      <c r="A25" s="166"/>
      <c r="B25" s="167"/>
      <c r="C25" s="166"/>
      <c r="D25" s="166"/>
      <c r="E25" s="166"/>
      <c r="F25" s="166"/>
      <c r="G25" s="166"/>
      <c r="H25" s="166"/>
      <c r="I25" s="166"/>
      <c r="J25" s="166"/>
      <c r="K25" s="166"/>
      <c r="L25" s="166"/>
      <c r="M25" s="166"/>
      <c r="N25" s="166"/>
      <c r="O25" s="168" t="s">
        <v>319</v>
      </c>
      <c r="P25" s="169" t="s">
        <v>332</v>
      </c>
      <c r="R25" s="171"/>
      <c r="S25" s="172"/>
    </row>
    <row r="26" spans="1:19" hidden="1" outlineLevel="2" x14ac:dyDescent="0.25">
      <c r="B26" s="174" t="s">
        <v>347</v>
      </c>
      <c r="C26" s="175" t="s">
        <v>64</v>
      </c>
      <c r="O26" s="176">
        <f>Daten_ALLG!$D$27-Daten_MFH!$D$5^Daten_ALLG!$F$28*O94^Daten_ALLG!$H$28*Daten_ALLG!$J$28</f>
        <v>19.757499521164696</v>
      </c>
      <c r="P26" s="177">
        <f>Daten_ALLG!$D$27-Daten_MFH!$D$5^Daten_ALLG!$F$28*P94^Daten_ALLG!$H$28*Daten_ALLG!$J$28</f>
        <v>19.757499521164696</v>
      </c>
    </row>
    <row r="27" spans="1:19" s="162" customFormat="1" hidden="1" outlineLevel="2" x14ac:dyDescent="0.25">
      <c r="B27" s="163" t="s">
        <v>74</v>
      </c>
      <c r="O27" s="164"/>
      <c r="P27" s="165"/>
      <c r="R27" s="164"/>
      <c r="S27" s="165"/>
    </row>
    <row r="28" spans="1:19" s="170" customFormat="1" hidden="1" outlineLevel="2" x14ac:dyDescent="0.25">
      <c r="A28" s="166"/>
      <c r="B28" s="167"/>
      <c r="C28" s="166"/>
      <c r="D28" s="166"/>
      <c r="E28" s="166"/>
      <c r="F28" s="166"/>
      <c r="G28" s="166"/>
      <c r="H28" s="166"/>
      <c r="I28" s="166"/>
      <c r="J28" s="166"/>
      <c r="K28" s="166"/>
      <c r="L28" s="166"/>
      <c r="M28" s="166"/>
      <c r="N28" s="166"/>
      <c r="O28" s="168" t="s">
        <v>319</v>
      </c>
      <c r="P28" s="169" t="s">
        <v>332</v>
      </c>
      <c r="R28" s="171"/>
      <c r="S28" s="172"/>
    </row>
    <row r="29" spans="1:19" hidden="1" outlineLevel="2" x14ac:dyDescent="0.25">
      <c r="B29" s="174" t="s">
        <v>351</v>
      </c>
      <c r="C29" s="175" t="s">
        <v>352</v>
      </c>
      <c r="D29" s="184">
        <f>Daten_ALLG!$D$46</f>
        <v>563.89231042842107</v>
      </c>
    </row>
    <row r="30" spans="1:19" hidden="1" outlineLevel="2" x14ac:dyDescent="0.25">
      <c r="B30" s="174" t="s">
        <v>468</v>
      </c>
      <c r="C30" s="185" t="s">
        <v>348</v>
      </c>
      <c r="O30" s="180">
        <f>D29*Daten_MFH!$D$6</f>
        <v>6865.5359202706286</v>
      </c>
      <c r="P30" s="181">
        <f>O30</f>
        <v>6865.5359202706286</v>
      </c>
    </row>
    <row r="31" spans="1:19" s="162" customFormat="1" hidden="1" outlineLevel="2" x14ac:dyDescent="0.25">
      <c r="B31" s="163" t="s">
        <v>353</v>
      </c>
      <c r="O31" s="164"/>
      <c r="P31" s="165"/>
      <c r="R31" s="164"/>
      <c r="S31" s="165"/>
    </row>
    <row r="32" spans="1:19" s="170" customFormat="1" hidden="1" outlineLevel="2" x14ac:dyDescent="0.25">
      <c r="A32" s="166"/>
      <c r="B32" s="167"/>
      <c r="C32" s="166"/>
      <c r="D32" s="166" t="s">
        <v>389</v>
      </c>
      <c r="E32" s="166" t="s">
        <v>12</v>
      </c>
      <c r="F32" s="166" t="s">
        <v>24</v>
      </c>
      <c r="G32" s="166"/>
      <c r="H32" s="166"/>
      <c r="J32" s="166"/>
      <c r="K32" s="166"/>
      <c r="L32" s="166"/>
      <c r="M32" s="166"/>
      <c r="N32" s="166"/>
      <c r="O32" s="168" t="s">
        <v>319</v>
      </c>
      <c r="P32" s="169" t="s">
        <v>332</v>
      </c>
      <c r="R32" s="171"/>
      <c r="S32" s="172"/>
    </row>
    <row r="33" spans="1:19" hidden="1" outlineLevel="2" x14ac:dyDescent="0.25">
      <c r="B33" s="174" t="s">
        <v>354</v>
      </c>
      <c r="C33" s="175" t="s">
        <v>355</v>
      </c>
      <c r="D33" s="186">
        <f>E34*E33+F33*F34</f>
        <v>1.6874911413963996</v>
      </c>
      <c r="E33" s="187">
        <v>0</v>
      </c>
      <c r="F33" s="187">
        <f>Daten_ALLG!$D$162*D80*Daten_MFH!$D$20</f>
        <v>168.74911413963994</v>
      </c>
      <c r="G33" s="188"/>
      <c r="H33" s="188"/>
      <c r="J33" s="188"/>
      <c r="K33" s="188"/>
      <c r="L33" s="188"/>
      <c r="M33" s="188"/>
      <c r="N33" s="188"/>
      <c r="O33" s="189">
        <f>O89</f>
        <v>1.6874911413963996</v>
      </c>
      <c r="P33" s="190">
        <f>P89</f>
        <v>1.6874911413963996</v>
      </c>
    </row>
    <row r="34" spans="1:19" hidden="1" outlineLevel="2" x14ac:dyDescent="0.25">
      <c r="B34" s="174" t="s">
        <v>157</v>
      </c>
      <c r="C34" s="185" t="s">
        <v>13</v>
      </c>
      <c r="E34" s="191">
        <f>1-F34</f>
        <v>0.99</v>
      </c>
      <c r="F34" s="191">
        <f>Daten_MFH!$D$112</f>
        <v>0.01</v>
      </c>
      <c r="G34" s="192"/>
      <c r="H34" s="192"/>
      <c r="J34" s="192"/>
      <c r="K34" s="192"/>
      <c r="L34" s="192"/>
      <c r="M34" s="192"/>
      <c r="N34" s="192"/>
    </row>
    <row r="35" spans="1:19" hidden="1" outlineLevel="2" x14ac:dyDescent="0.25">
      <c r="B35" s="174" t="s">
        <v>356</v>
      </c>
      <c r="C35" s="185" t="s">
        <v>348</v>
      </c>
      <c r="O35" s="193">
        <f>O33*O18*24/1000</f>
        <v>11.010671733830897</v>
      </c>
      <c r="P35" s="194">
        <f>P33*P18*24/1000</f>
        <v>11.010671733830897</v>
      </c>
    </row>
    <row r="36" spans="1:19" hidden="1" outlineLevel="2" x14ac:dyDescent="0.25">
      <c r="B36" s="174" t="s">
        <v>357</v>
      </c>
      <c r="C36" s="175" t="s">
        <v>352</v>
      </c>
      <c r="D36" s="184">
        <f>Daten_ALLG!$D$50</f>
        <v>1250</v>
      </c>
    </row>
    <row r="37" spans="1:19" hidden="1" outlineLevel="2" x14ac:dyDescent="0.25">
      <c r="B37" s="174" t="s">
        <v>476</v>
      </c>
      <c r="C37" s="185" t="s">
        <v>348</v>
      </c>
      <c r="O37" s="180">
        <f>D36*Daten_MFH!$D$6+O35</f>
        <v>15230.086622278561</v>
      </c>
      <c r="P37" s="181">
        <f>D36*Daten_MFH!$D$6+P35</f>
        <v>15230.086622278561</v>
      </c>
    </row>
    <row r="38" spans="1:19" s="159" customFormat="1" ht="14.25" customHeight="1" thickBot="1" x14ac:dyDescent="0.3">
      <c r="A38" s="156" t="s">
        <v>337</v>
      </c>
      <c r="B38" s="157"/>
      <c r="C38" s="157"/>
      <c r="D38" s="158"/>
      <c r="O38" s="160"/>
      <c r="P38" s="161"/>
      <c r="R38" s="160"/>
      <c r="S38" s="161"/>
    </row>
    <row r="39" spans="1:19" s="162" customFormat="1" ht="15.75" outlineLevel="1" thickBot="1" x14ac:dyDescent="0.3">
      <c r="A39" s="335" t="str">
        <f>IF(Bil_MFH_mQS!A39="","",Bil_MFH_mQS!A39)</f>
        <v/>
      </c>
      <c r="B39" s="163" t="s">
        <v>16</v>
      </c>
      <c r="D39" s="335" t="str">
        <f>IF(Bil_MFH_mQS!D39="","",Bil_MFH_mQS!D39)</f>
        <v/>
      </c>
      <c r="E39" s="335" t="str">
        <f>IF(Bil_MFH_mQS!E39="","",Bil_MFH_mQS!E39)</f>
        <v/>
      </c>
      <c r="F39" s="335" t="str">
        <f>IF(Bil_MFH_mQS!F39="","",Bil_MFH_mQS!F39)</f>
        <v/>
      </c>
      <c r="G39" s="335" t="str">
        <f>IF(Bil_MFH_mQS!G39="","",Bil_MFH_mQS!G39)</f>
        <v/>
      </c>
      <c r="H39" s="335" t="str">
        <f>IF(Bil_MFH_mQS!H39="","",Bil_MFH_mQS!H39)</f>
        <v/>
      </c>
      <c r="O39" s="164"/>
      <c r="P39" s="165"/>
      <c r="R39" s="164" t="s">
        <v>457</v>
      </c>
      <c r="S39" s="165"/>
    </row>
    <row r="40" spans="1:19" s="170" customFormat="1" ht="15.75" outlineLevel="1" collapsed="1" thickBot="1" x14ac:dyDescent="0.3">
      <c r="A40" s="166"/>
      <c r="B40" s="167"/>
      <c r="C40" s="166"/>
      <c r="D40" s="166" t="s">
        <v>389</v>
      </c>
      <c r="E40" s="166" t="s">
        <v>143</v>
      </c>
      <c r="F40" s="166" t="s">
        <v>65</v>
      </c>
      <c r="G40" s="166" t="s">
        <v>142</v>
      </c>
      <c r="H40" s="166" t="s">
        <v>308</v>
      </c>
      <c r="J40" s="166"/>
      <c r="K40" s="166"/>
      <c r="L40" s="166"/>
      <c r="M40" s="166"/>
      <c r="N40" s="166"/>
      <c r="O40" s="168" t="s">
        <v>319</v>
      </c>
      <c r="P40" s="169" t="s">
        <v>332</v>
      </c>
      <c r="R40" s="171" t="s">
        <v>313</v>
      </c>
      <c r="S40" s="172" t="s">
        <v>456</v>
      </c>
    </row>
    <row r="41" spans="1:19" s="195" customFormat="1" ht="15.75" hidden="1" outlineLevel="2" thickBot="1" x14ac:dyDescent="0.3">
      <c r="B41" s="196" t="s">
        <v>311</v>
      </c>
      <c r="C41" s="175" t="s">
        <v>63</v>
      </c>
      <c r="D41" s="186">
        <f>Daten_MFH!$G$34</f>
        <v>0.68705390265938648</v>
      </c>
      <c r="E41" s="186">
        <f>Daten_MFH!$D$33</f>
        <v>1</v>
      </c>
      <c r="F41" s="186">
        <f>Daten_MFH!$D$32</f>
        <v>0.68</v>
      </c>
      <c r="G41" s="186">
        <f>Daten_MFH!$D$31</f>
        <v>0.34395104098292006</v>
      </c>
      <c r="H41" s="186">
        <f>Daten_MFH!$D$30</f>
        <v>0.15</v>
      </c>
      <c r="J41" s="197"/>
      <c r="K41" s="197"/>
      <c r="L41" s="197"/>
      <c r="M41" s="197"/>
      <c r="N41" s="197"/>
      <c r="O41" s="198">
        <f>IF($A39&lt;&gt;"",IF($D39="V",$D41,IF($E39="V",$E41,IF($F39="V",$F41,IF($G39="V",$G41,IF($H39="V",$H41,""))))),$D41)</f>
        <v>0.68705390265938648</v>
      </c>
      <c r="P41" s="199">
        <f>IF($A39&lt;&gt;"",IF($D39="N",$D41,IF($E39="N",$E41,IF($F39="N",$F41,IF($G39="N",$G41,IF($H39="N",$H41,O41))))),$D41)</f>
        <v>0.68705390265938648</v>
      </c>
      <c r="Q41" s="175" t="s">
        <v>317</v>
      </c>
      <c r="R41" s="200">
        <f>ROUND((1/P41-1/O41)*Daten_ALLG!$D$63,2)*100</f>
        <v>0</v>
      </c>
      <c r="S41" s="201"/>
    </row>
    <row r="42" spans="1:19" ht="15.75" hidden="1" outlineLevel="2" thickBot="1" x14ac:dyDescent="0.3">
      <c r="B42" s="174" t="s">
        <v>312</v>
      </c>
      <c r="C42" s="175" t="s">
        <v>50</v>
      </c>
      <c r="D42" s="202">
        <f>Daten_MFH!$D$24</f>
        <v>343.54345064427196</v>
      </c>
      <c r="Q42" s="185" t="s">
        <v>50</v>
      </c>
      <c r="R42" s="200">
        <f>IF(A39="",0,D42)</f>
        <v>0</v>
      </c>
      <c r="S42" s="203">
        <f>R42</f>
        <v>0</v>
      </c>
    </row>
    <row r="43" spans="1:19" ht="15.75" hidden="1" outlineLevel="2" thickBot="1" x14ac:dyDescent="0.3">
      <c r="B43" s="174" t="s">
        <v>310</v>
      </c>
      <c r="C43" s="175" t="s">
        <v>207</v>
      </c>
      <c r="O43" s="176">
        <f>O41*D42</f>
        <v>236.03286849821936</v>
      </c>
      <c r="P43" s="177">
        <f>P41*D42</f>
        <v>236.03286849821936</v>
      </c>
    </row>
    <row r="44" spans="1:19" s="162" customFormat="1" ht="15.75" outlineLevel="1" thickBot="1" x14ac:dyDescent="0.3">
      <c r="A44" s="335" t="str">
        <f>IF(Bil_MFH_mQS!A44="","",Bil_MFH_mQS!A44)</f>
        <v/>
      </c>
      <c r="B44" s="163" t="s">
        <v>104</v>
      </c>
      <c r="D44" s="335" t="str">
        <f>IF(Bil_MFH_mQS!D44="","",Bil_MFH_mQS!D44)</f>
        <v/>
      </c>
      <c r="E44" s="335" t="str">
        <f>IF(Bil_MFH_mQS!E44="","",Bil_MFH_mQS!E44)</f>
        <v/>
      </c>
      <c r="F44" s="335" t="str">
        <f>IF(Bil_MFH_mQS!F44="","",Bil_MFH_mQS!F44)</f>
        <v/>
      </c>
      <c r="G44" s="335" t="str">
        <f>IF(Bil_MFH_mQS!G44="","",Bil_MFH_mQS!G44)</f>
        <v/>
      </c>
      <c r="H44" s="335" t="str">
        <f>IF(Bil_MFH_mQS!H44="","",Bil_MFH_mQS!H44)</f>
        <v/>
      </c>
      <c r="O44" s="164"/>
      <c r="P44" s="165"/>
      <c r="R44" s="164" t="s">
        <v>457</v>
      </c>
      <c r="S44" s="165"/>
    </row>
    <row r="45" spans="1:19" s="170" customFormat="1" ht="15.75" outlineLevel="1" collapsed="1" thickBot="1" x14ac:dyDescent="0.3">
      <c r="A45" s="166"/>
      <c r="B45" s="167"/>
      <c r="C45" s="166"/>
      <c r="D45" s="166" t="s">
        <v>389</v>
      </c>
      <c r="E45" s="166" t="s">
        <v>143</v>
      </c>
      <c r="F45" s="166" t="s">
        <v>65</v>
      </c>
      <c r="G45" s="166" t="s">
        <v>142</v>
      </c>
      <c r="H45" s="166" t="s">
        <v>308</v>
      </c>
      <c r="J45" s="166"/>
      <c r="K45" s="166"/>
      <c r="L45" s="166"/>
      <c r="M45" s="166"/>
      <c r="N45" s="166"/>
      <c r="O45" s="168" t="s">
        <v>319</v>
      </c>
      <c r="P45" s="169" t="s">
        <v>332</v>
      </c>
      <c r="R45" s="171" t="s">
        <v>313</v>
      </c>
      <c r="S45" s="172" t="s">
        <v>456</v>
      </c>
    </row>
    <row r="46" spans="1:19" s="195" customFormat="1" ht="15.75" hidden="1" outlineLevel="2" thickBot="1" x14ac:dyDescent="0.3">
      <c r="B46" s="196" t="s">
        <v>311</v>
      </c>
      <c r="C46" s="175" t="s">
        <v>63</v>
      </c>
      <c r="D46" s="186">
        <f>Daten_MFH!$G$41</f>
        <v>0.48795171677982541</v>
      </c>
      <c r="E46" s="186">
        <f>Daten_MFH!$D$40</f>
        <v>1</v>
      </c>
      <c r="F46" s="186">
        <f>Daten_MFH!$D$39</f>
        <v>0.45</v>
      </c>
      <c r="G46" s="186">
        <f>Daten_MFH!$D$38</f>
        <v>0.25504870129870127</v>
      </c>
      <c r="H46" s="186">
        <f>Daten_MFH!$D$37</f>
        <v>0.15</v>
      </c>
      <c r="J46" s="197"/>
      <c r="K46" s="197"/>
      <c r="L46" s="197"/>
      <c r="M46" s="197"/>
      <c r="N46" s="197"/>
      <c r="O46" s="198">
        <f>IF($A44&lt;&gt;"",IF($D44="V",$D46,IF($E44="V",$E46,IF($F44="V",$F46,IF($G44="V",$G46,IF($H44="V",$H46,""))))),$D46)</f>
        <v>0.48795171677982541</v>
      </c>
      <c r="P46" s="199">
        <f>IF($A44&lt;&gt;"",IF($D44="N",$D46,IF($E44="N",$E46,IF($F44="N",$F46,IF($G44="N",$G46,IF($H44="N",$H46,O46))))),$D46)</f>
        <v>0.48795171677982541</v>
      </c>
      <c r="Q46" s="175" t="s">
        <v>317</v>
      </c>
      <c r="R46" s="200">
        <f>ROUND((1/P46-1/O46)*Daten_ALLG!$D$63,2)*100</f>
        <v>0</v>
      </c>
      <c r="S46" s="201"/>
    </row>
    <row r="47" spans="1:19" ht="15.75" hidden="1" outlineLevel="2" thickBot="1" x14ac:dyDescent="0.3">
      <c r="B47" s="174" t="s">
        <v>312</v>
      </c>
      <c r="C47" s="175" t="s">
        <v>50</v>
      </c>
      <c r="D47" s="202">
        <f>Daten_MFH!$D$25</f>
        <v>208.70092564770655</v>
      </c>
      <c r="Q47" s="185" t="s">
        <v>50</v>
      </c>
      <c r="R47" s="200">
        <f>IF(A44="",0,D47)</f>
        <v>0</v>
      </c>
      <c r="S47" s="203">
        <f>R47</f>
        <v>0</v>
      </c>
    </row>
    <row r="48" spans="1:19" ht="15.75" hidden="1" outlineLevel="2" thickBot="1" x14ac:dyDescent="0.3">
      <c r="B48" s="174" t="s">
        <v>318</v>
      </c>
      <c r="C48" s="175"/>
      <c r="D48" s="202">
        <f>Daten_ALLG!$D$67</f>
        <v>0.9</v>
      </c>
    </row>
    <row r="49" spans="1:19" ht="15.75" hidden="1" outlineLevel="2" thickBot="1" x14ac:dyDescent="0.3">
      <c r="B49" s="174" t="s">
        <v>310</v>
      </c>
      <c r="C49" s="175" t="s">
        <v>207</v>
      </c>
      <c r="O49" s="176">
        <f>O46*D47</f>
        <v>101.83597496333711</v>
      </c>
      <c r="P49" s="177">
        <f>P46*D47</f>
        <v>101.83597496333711</v>
      </c>
    </row>
    <row r="50" spans="1:19" s="162" customFormat="1" ht="15.75" outlineLevel="1" thickBot="1" x14ac:dyDescent="0.3">
      <c r="A50" s="335" t="str">
        <f>IF(Bil_MFH_mQS!A50="","",Bil_MFH_mQS!A50)</f>
        <v/>
      </c>
      <c r="B50" s="163" t="s">
        <v>105</v>
      </c>
      <c r="D50" s="335" t="str">
        <f>IF(Bil_MFH_mQS!D50="","",Bil_MFH_mQS!D50)</f>
        <v/>
      </c>
      <c r="E50" s="335" t="str">
        <f>IF(Bil_MFH_mQS!E50="","",Bil_MFH_mQS!E50)</f>
        <v/>
      </c>
      <c r="F50" s="335" t="str">
        <f>IF(Bil_MFH_mQS!F50="","",Bil_MFH_mQS!F50)</f>
        <v/>
      </c>
      <c r="G50" s="335" t="str">
        <f>IF(Bil_MFH_mQS!G50="","",Bil_MFH_mQS!G50)</f>
        <v/>
      </c>
      <c r="H50" s="335" t="str">
        <f>IF(Bil_MFH_mQS!H50="","",Bil_MFH_mQS!H50)</f>
        <v/>
      </c>
      <c r="O50" s="164"/>
      <c r="P50" s="165"/>
      <c r="R50" s="164" t="s">
        <v>457</v>
      </c>
      <c r="S50" s="165"/>
    </row>
    <row r="51" spans="1:19" s="170" customFormat="1" ht="15.75" outlineLevel="1" collapsed="1" thickBot="1" x14ac:dyDescent="0.3">
      <c r="A51" s="166"/>
      <c r="B51" s="167"/>
      <c r="C51" s="166"/>
      <c r="D51" s="166" t="s">
        <v>389</v>
      </c>
      <c r="E51" s="166" t="s">
        <v>143</v>
      </c>
      <c r="F51" s="166" t="s">
        <v>65</v>
      </c>
      <c r="G51" s="166" t="s">
        <v>142</v>
      </c>
      <c r="H51" s="166" t="s">
        <v>308</v>
      </c>
      <c r="J51" s="166"/>
      <c r="K51" s="166"/>
      <c r="L51" s="166"/>
      <c r="M51" s="166"/>
      <c r="N51" s="166"/>
      <c r="O51" s="168" t="s">
        <v>319</v>
      </c>
      <c r="P51" s="169" t="s">
        <v>332</v>
      </c>
      <c r="R51" s="171" t="s">
        <v>313</v>
      </c>
      <c r="S51" s="172" t="s">
        <v>456</v>
      </c>
    </row>
    <row r="52" spans="1:19" s="195" customFormat="1" ht="15.75" hidden="1" outlineLevel="2" thickBot="1" x14ac:dyDescent="0.3">
      <c r="B52" s="196" t="s">
        <v>311</v>
      </c>
      <c r="C52" s="175" t="s">
        <v>63</v>
      </c>
      <c r="D52" s="186">
        <f>Daten_MFH!$G$48</f>
        <v>0.76653514290514679</v>
      </c>
      <c r="E52" s="186">
        <f>Daten_MFH!$D$47</f>
        <v>1</v>
      </c>
      <c r="F52" s="186">
        <f>Daten_MFH!$D$46</f>
        <v>0.69</v>
      </c>
      <c r="G52" s="186">
        <f>Daten_MFH!$D$45</f>
        <v>0.39388937125594681</v>
      </c>
      <c r="H52" s="186">
        <f>Daten_MFH!$D$44</f>
        <v>0.2</v>
      </c>
      <c r="J52" s="197"/>
      <c r="K52" s="197"/>
      <c r="L52" s="197"/>
      <c r="M52" s="197"/>
      <c r="N52" s="197"/>
      <c r="O52" s="198">
        <f>IF($A50&lt;&gt;"",IF($D50="V",$D52,IF($E50="V",$E52,IF($F50="V",$F52,IF($G50="V",$G52,IF($H50="V",$H52,""))))),$D52)</f>
        <v>0.76653514290514679</v>
      </c>
      <c r="P52" s="199">
        <f>IF($A50&lt;&gt;"",IF($D50="N",$D52,IF($E50="N",$E52,IF($F50="N",$F52,IF($G50="N",$G52,IF($H50="N",$H52,O52))))),$D52)</f>
        <v>0.76653514290514679</v>
      </c>
      <c r="Q52" s="175" t="s">
        <v>317</v>
      </c>
      <c r="R52" s="200">
        <f>ROUND((1/P52-1/O52)*Daten_ALLG!$D$63,2)*100</f>
        <v>0</v>
      </c>
      <c r="S52" s="201"/>
    </row>
    <row r="53" spans="1:19" ht="15.75" hidden="1" outlineLevel="2" thickBot="1" x14ac:dyDescent="0.3">
      <c r="B53" s="174" t="s">
        <v>312</v>
      </c>
      <c r="C53" s="175" t="s">
        <v>50</v>
      </c>
      <c r="D53" s="202">
        <f>Daten_MFH!$D$26</f>
        <v>180.7223162652877</v>
      </c>
      <c r="Q53" s="185" t="s">
        <v>50</v>
      </c>
      <c r="R53" s="200">
        <f>IF(A50="",0,D53)</f>
        <v>0</v>
      </c>
      <c r="S53" s="203">
        <f>R53</f>
        <v>0</v>
      </c>
    </row>
    <row r="54" spans="1:19" ht="15.75" hidden="1" outlineLevel="2" thickBot="1" x14ac:dyDescent="0.3">
      <c r="B54" s="174" t="s">
        <v>318</v>
      </c>
      <c r="C54" s="175"/>
      <c r="D54" s="202">
        <f>Daten_ALLG!$D$66</f>
        <v>0.5</v>
      </c>
    </row>
    <row r="55" spans="1:19" ht="15.75" hidden="1" outlineLevel="2" thickBot="1" x14ac:dyDescent="0.3">
      <c r="B55" s="174" t="s">
        <v>310</v>
      </c>
      <c r="C55" s="175" t="s">
        <v>207</v>
      </c>
      <c r="O55" s="176">
        <f>O52*D53*D54</f>
        <v>69.265003262280729</v>
      </c>
      <c r="P55" s="177">
        <f>P52*D53*D54</f>
        <v>69.265003262280729</v>
      </c>
    </row>
    <row r="56" spans="1:19" s="162" customFormat="1" ht="15.75" outlineLevel="1" thickBot="1" x14ac:dyDescent="0.3">
      <c r="A56" s="335" t="str">
        <f>IF(Bil_MFH_mQS!A56="","",Bil_MFH_mQS!A56)</f>
        <v/>
      </c>
      <c r="B56" s="163" t="s">
        <v>12</v>
      </c>
      <c r="D56" s="335" t="str">
        <f>IF(Bil_MFH_mQS!D56="","",Bil_MFH_mQS!D56)</f>
        <v/>
      </c>
      <c r="E56" s="335" t="str">
        <f>IF(Bil_MFH_mQS!E56="","",Bil_MFH_mQS!E56)</f>
        <v/>
      </c>
      <c r="F56" s="335" t="str">
        <f>IF(Bil_MFH_mQS!F56="","",Bil_MFH_mQS!F56)</f>
        <v/>
      </c>
      <c r="G56" s="335" t="str">
        <f>IF(Bil_MFH_mQS!G56="","",Bil_MFH_mQS!G56)</f>
        <v/>
      </c>
      <c r="H56" s="335" t="str">
        <f>IF(Bil_MFH_mQS!H56="","",Bil_MFH_mQS!H56)</f>
        <v/>
      </c>
      <c r="O56" s="164"/>
      <c r="P56" s="165"/>
      <c r="R56" s="164" t="s">
        <v>457</v>
      </c>
      <c r="S56" s="165"/>
    </row>
    <row r="57" spans="1:19" s="170" customFormat="1" outlineLevel="1" collapsed="1" x14ac:dyDescent="0.25">
      <c r="A57" s="166"/>
      <c r="B57" s="167"/>
      <c r="C57" s="166"/>
      <c r="D57" s="166" t="s">
        <v>389</v>
      </c>
      <c r="E57" s="166" t="s">
        <v>143</v>
      </c>
      <c r="F57" s="166" t="s">
        <v>65</v>
      </c>
      <c r="G57" s="166" t="s">
        <v>142</v>
      </c>
      <c r="H57" s="166" t="s">
        <v>308</v>
      </c>
      <c r="J57" s="166"/>
      <c r="K57" s="166"/>
      <c r="L57" s="166"/>
      <c r="M57" s="166"/>
      <c r="N57" s="166"/>
      <c r="O57" s="168" t="s">
        <v>319</v>
      </c>
      <c r="P57" s="169" t="s">
        <v>332</v>
      </c>
      <c r="R57" s="171" t="s">
        <v>333</v>
      </c>
      <c r="S57" s="172" t="s">
        <v>456</v>
      </c>
    </row>
    <row r="58" spans="1:19" s="195" customFormat="1" hidden="1" outlineLevel="2" x14ac:dyDescent="0.25">
      <c r="B58" s="196" t="s">
        <v>311</v>
      </c>
      <c r="C58" s="175" t="s">
        <v>63</v>
      </c>
      <c r="D58" s="186">
        <f>Daten_MFH!$G$55</f>
        <v>2.0570447562725271</v>
      </c>
      <c r="E58" s="186">
        <f>Daten_MFH!$D$54</f>
        <v>2.7</v>
      </c>
      <c r="F58" s="186">
        <f>Daten_MFH!$D$53</f>
        <v>1.6</v>
      </c>
      <c r="G58" s="186">
        <f>Daten_MFH!$D$52</f>
        <v>1.3</v>
      </c>
      <c r="H58" s="186">
        <f>Daten_MFH!$D$51</f>
        <v>0.9</v>
      </c>
      <c r="J58" s="197"/>
      <c r="K58" s="197"/>
      <c r="L58" s="197"/>
      <c r="M58" s="197"/>
      <c r="N58" s="197"/>
      <c r="O58" s="198">
        <f>IF($A56&lt;&gt;"",IF($D56="V",$D58,IF($E56="V",$E58,IF($F56="V",$F58,IF($G56="V",$G58,IF($H56="V",$H58,""))))),$D58)</f>
        <v>2.0570447562725271</v>
      </c>
      <c r="P58" s="199">
        <f>IF($A56&lt;&gt;"",IF($D56="N",$D58,IF($E56="N",$E58,IF($F56="N",$F58,IF($G56="N",$G58,IF($H56="N",$H58,O58))))),$D58)</f>
        <v>2.0570447562725271</v>
      </c>
      <c r="R58" s="204"/>
      <c r="S58" s="201"/>
    </row>
    <row r="59" spans="1:19" hidden="1" outlineLevel="2" x14ac:dyDescent="0.25">
      <c r="B59" s="174" t="s">
        <v>312</v>
      </c>
      <c r="C59" s="175" t="s">
        <v>50</v>
      </c>
      <c r="D59" s="202">
        <f>Daten_MFH!$D$27</f>
        <v>96.412000521088103</v>
      </c>
      <c r="Q59" s="185" t="s">
        <v>50</v>
      </c>
      <c r="R59" s="200">
        <f>IF(A56="",0,D59)</f>
        <v>0</v>
      </c>
      <c r="S59" s="203">
        <f>R59</f>
        <v>0</v>
      </c>
    </row>
    <row r="60" spans="1:19" hidden="1" outlineLevel="2" x14ac:dyDescent="0.25">
      <c r="B60" s="174" t="s">
        <v>310</v>
      </c>
      <c r="C60" s="175" t="s">
        <v>207</v>
      </c>
      <c r="O60" s="176">
        <f>O58*D59</f>
        <v>198.32380011364845</v>
      </c>
      <c r="P60" s="177">
        <f>P58*D59</f>
        <v>198.32380011364845</v>
      </c>
    </row>
    <row r="61" spans="1:19" s="162" customFormat="1" hidden="1" outlineLevel="2" x14ac:dyDescent="0.25">
      <c r="B61" s="163" t="s">
        <v>133</v>
      </c>
      <c r="O61" s="164"/>
      <c r="P61" s="165"/>
      <c r="R61" s="164"/>
      <c r="S61" s="165"/>
    </row>
    <row r="62" spans="1:19" s="170" customFormat="1" hidden="1" outlineLevel="2" x14ac:dyDescent="0.25">
      <c r="A62" s="166"/>
      <c r="B62" s="167"/>
      <c r="C62" s="166"/>
      <c r="D62" s="166"/>
      <c r="E62" s="166"/>
      <c r="F62" s="166"/>
      <c r="G62" s="166"/>
      <c r="H62" s="166"/>
      <c r="J62" s="166"/>
      <c r="K62" s="166"/>
      <c r="L62" s="166"/>
      <c r="M62" s="166"/>
      <c r="N62" s="166"/>
      <c r="O62" s="168" t="s">
        <v>319</v>
      </c>
      <c r="P62" s="169" t="s">
        <v>332</v>
      </c>
      <c r="R62" s="171"/>
      <c r="S62" s="172"/>
    </row>
    <row r="63" spans="1:19" hidden="1" outlineLevel="2" x14ac:dyDescent="0.25">
      <c r="B63" s="174" t="s">
        <v>312</v>
      </c>
      <c r="C63" s="175" t="s">
        <v>50</v>
      </c>
      <c r="O63" s="198">
        <f>P63</f>
        <v>829.37869307835433</v>
      </c>
      <c r="P63" s="199">
        <f>D42+D47+D53+D59</f>
        <v>829.37869307835433</v>
      </c>
    </row>
    <row r="64" spans="1:19" hidden="1" outlineLevel="2" x14ac:dyDescent="0.25">
      <c r="B64" s="174" t="s">
        <v>323</v>
      </c>
      <c r="C64" s="175" t="s">
        <v>63</v>
      </c>
      <c r="O64" s="198">
        <f>(O43+O49+O55+O60)/O63</f>
        <v>0.73001350515799412</v>
      </c>
      <c r="P64" s="199">
        <f>(P43+P49+P55+P60)/P63</f>
        <v>0.73001350515799412</v>
      </c>
    </row>
    <row r="65" spans="1:19" hidden="1" outlineLevel="2" x14ac:dyDescent="0.25">
      <c r="B65" s="174" t="s">
        <v>322</v>
      </c>
      <c r="C65" s="175" t="s">
        <v>63</v>
      </c>
      <c r="O65" s="205">
        <f>Daten_ALLG!$M$70*O64+Daten_ALLG!$M$72</f>
        <v>2.8499324742100297E-2</v>
      </c>
      <c r="P65" s="206">
        <f>Daten_ALLG!$M$70*P64+Daten_ALLG!$M$72</f>
        <v>2.8499324742100297E-2</v>
      </c>
    </row>
    <row r="66" spans="1:19" hidden="1" outlineLevel="2" x14ac:dyDescent="0.25">
      <c r="B66" s="174" t="s">
        <v>325</v>
      </c>
      <c r="C66" s="175" t="s">
        <v>207</v>
      </c>
      <c r="O66" s="176">
        <f>O65*O63</f>
        <v>23.636732708218751</v>
      </c>
      <c r="P66" s="177">
        <f>P65*P63</f>
        <v>23.636732708218751</v>
      </c>
    </row>
    <row r="67" spans="1:19" s="162" customFormat="1" hidden="1" outlineLevel="2" x14ac:dyDescent="0.25">
      <c r="B67" s="163" t="s">
        <v>324</v>
      </c>
      <c r="O67" s="164"/>
      <c r="P67" s="165"/>
      <c r="R67" s="164"/>
      <c r="S67" s="165"/>
    </row>
    <row r="68" spans="1:19" s="170" customFormat="1" hidden="1" outlineLevel="2" x14ac:dyDescent="0.25">
      <c r="A68" s="166"/>
      <c r="B68" s="167"/>
      <c r="C68" s="166"/>
      <c r="D68" s="166"/>
      <c r="E68" s="166"/>
      <c r="F68" s="166"/>
      <c r="G68" s="166"/>
      <c r="H68" s="166"/>
      <c r="J68" s="166"/>
      <c r="K68" s="166"/>
      <c r="L68" s="166"/>
      <c r="M68" s="166"/>
      <c r="N68" s="166"/>
      <c r="O68" s="168" t="s">
        <v>319</v>
      </c>
      <c r="P68" s="169" t="s">
        <v>332</v>
      </c>
      <c r="R68" s="171"/>
      <c r="S68" s="172"/>
    </row>
    <row r="69" spans="1:19" hidden="1" outlineLevel="2" x14ac:dyDescent="0.25">
      <c r="B69" s="174" t="s">
        <v>310</v>
      </c>
      <c r="C69" s="175" t="s">
        <v>207</v>
      </c>
      <c r="O69" s="176">
        <f>O43+O49+O55+O60+O66</f>
        <v>629.09437954570444</v>
      </c>
      <c r="P69" s="177">
        <f>P43+P49+P55+P60+P66</f>
        <v>629.09437954570444</v>
      </c>
    </row>
    <row r="70" spans="1:19" hidden="1" outlineLevel="2" x14ac:dyDescent="0.25">
      <c r="B70" s="174" t="s">
        <v>321</v>
      </c>
      <c r="C70" s="175" t="s">
        <v>63</v>
      </c>
      <c r="O70" s="198">
        <f>O69/O63</f>
        <v>0.7585128299000945</v>
      </c>
      <c r="P70" s="199">
        <f>P69/P63</f>
        <v>0.7585128299000945</v>
      </c>
    </row>
    <row r="71" spans="1:19" s="159" customFormat="1" ht="14.25" customHeight="1" thickBot="1" x14ac:dyDescent="0.3">
      <c r="A71" s="156" t="s">
        <v>53</v>
      </c>
      <c r="B71" s="157"/>
      <c r="C71" s="157"/>
      <c r="D71" s="158"/>
      <c r="O71" s="160"/>
      <c r="P71" s="161"/>
      <c r="R71" s="160"/>
      <c r="S71" s="161"/>
    </row>
    <row r="72" spans="1:19" s="162" customFormat="1" ht="15.75" hidden="1" outlineLevel="2" thickBot="1" x14ac:dyDescent="0.3">
      <c r="B72" s="163" t="s">
        <v>759</v>
      </c>
      <c r="O72" s="164"/>
      <c r="P72" s="165"/>
      <c r="R72" s="164"/>
      <c r="S72" s="165"/>
    </row>
    <row r="73" spans="1:19" s="170" customFormat="1" ht="15.75" hidden="1" outlineLevel="2" thickBot="1" x14ac:dyDescent="0.3">
      <c r="A73" s="166"/>
      <c r="B73" s="167"/>
      <c r="C73" s="166"/>
      <c r="D73" s="166"/>
      <c r="E73" s="166"/>
      <c r="F73" s="166"/>
      <c r="G73" s="166"/>
      <c r="H73" s="166"/>
      <c r="J73" s="166"/>
      <c r="K73" s="166"/>
      <c r="L73" s="166"/>
      <c r="M73" s="166"/>
      <c r="N73" s="166"/>
      <c r="O73" s="168"/>
      <c r="P73" s="169"/>
      <c r="R73" s="171"/>
      <c r="S73" s="172"/>
    </row>
    <row r="74" spans="1:19" ht="15.75" hidden="1" outlineLevel="2" thickBot="1" x14ac:dyDescent="0.3">
      <c r="B74" s="174" t="s">
        <v>327</v>
      </c>
      <c r="C74" s="175" t="s">
        <v>326</v>
      </c>
      <c r="D74" s="186">
        <f>Daten_MFH!$D$6*Daten_ALLG!$M$33/Daten_MFH!$D$20</f>
        <v>0.25906735751295329</v>
      </c>
    </row>
    <row r="75" spans="1:19" ht="15.75" hidden="1" outlineLevel="2" thickBot="1" x14ac:dyDescent="0.3">
      <c r="B75" s="174" t="s">
        <v>328</v>
      </c>
      <c r="C75" s="175" t="s">
        <v>326</v>
      </c>
      <c r="D75" s="186">
        <f>Daten_ALLG!$M$32</f>
        <v>0.2</v>
      </c>
    </row>
    <row r="76" spans="1:19" ht="15.75" hidden="1" outlineLevel="2" thickBot="1" x14ac:dyDescent="0.3">
      <c r="B76" s="174" t="s">
        <v>334</v>
      </c>
      <c r="C76" s="175" t="s">
        <v>326</v>
      </c>
      <c r="D76" s="202">
        <f>D74+D75</f>
        <v>0.4590673575129533</v>
      </c>
    </row>
    <row r="77" spans="1:19" ht="15.75" hidden="1" outlineLevel="2" thickBot="1" x14ac:dyDescent="0.3">
      <c r="B77" s="174" t="s">
        <v>157</v>
      </c>
      <c r="C77" s="175" t="s">
        <v>13</v>
      </c>
      <c r="D77" s="202">
        <f>1-Daten_MFH!$D$112</f>
        <v>0.99</v>
      </c>
    </row>
    <row r="78" spans="1:19" s="162" customFormat="1" ht="15.75" hidden="1" outlineLevel="2" thickBot="1" x14ac:dyDescent="0.3">
      <c r="B78" s="163" t="s">
        <v>760</v>
      </c>
      <c r="O78" s="164"/>
      <c r="P78" s="165"/>
      <c r="R78" s="164"/>
      <c r="S78" s="165"/>
    </row>
    <row r="79" spans="1:19" s="170" customFormat="1" ht="15.75" hidden="1" outlineLevel="2" thickBot="1" x14ac:dyDescent="0.3">
      <c r="A79" s="166"/>
      <c r="B79" s="167"/>
      <c r="C79" s="166"/>
      <c r="D79" s="166"/>
      <c r="E79" s="166"/>
      <c r="F79" s="166"/>
      <c r="G79" s="166"/>
      <c r="H79" s="166"/>
      <c r="J79" s="166"/>
      <c r="K79" s="166"/>
      <c r="L79" s="166"/>
      <c r="M79" s="166"/>
      <c r="N79" s="166"/>
      <c r="O79" s="168"/>
      <c r="P79" s="169"/>
      <c r="R79" s="171"/>
      <c r="S79" s="172"/>
    </row>
    <row r="80" spans="1:19" ht="15.75" hidden="1" outlineLevel="2" thickBot="1" x14ac:dyDescent="0.3">
      <c r="B80" s="174" t="s">
        <v>330</v>
      </c>
      <c r="C80" s="175" t="s">
        <v>326</v>
      </c>
      <c r="D80" s="186">
        <f>D74+Daten_ALLG!$D$160</f>
        <v>0.35906735751295327</v>
      </c>
    </row>
    <row r="81" spans="1:19" ht="15.75" hidden="1" outlineLevel="2" thickBot="1" x14ac:dyDescent="0.3">
      <c r="B81" s="174" t="s">
        <v>331</v>
      </c>
      <c r="C81" s="175" t="s">
        <v>326</v>
      </c>
      <c r="D81" s="186">
        <f>D80*(1-Daten_ALLG!$D$161)</f>
        <v>5.3860103626942997E-2</v>
      </c>
    </row>
    <row r="82" spans="1:19" ht="15.75" hidden="1" outlineLevel="2" thickBot="1" x14ac:dyDescent="0.3">
      <c r="B82" s="174" t="s">
        <v>328</v>
      </c>
      <c r="C82" s="175" t="s">
        <v>326</v>
      </c>
      <c r="D82" s="186">
        <f>D75</f>
        <v>0.2</v>
      </c>
    </row>
    <row r="83" spans="1:19" ht="15.75" hidden="1" outlineLevel="2" thickBot="1" x14ac:dyDescent="0.3">
      <c r="B83" s="174" t="s">
        <v>334</v>
      </c>
      <c r="C83" s="175" t="s">
        <v>326</v>
      </c>
      <c r="D83" s="202">
        <f>D81+D82</f>
        <v>0.253860103626943</v>
      </c>
    </row>
    <row r="84" spans="1:19" ht="15.75" hidden="1" outlineLevel="2" thickBot="1" x14ac:dyDescent="0.3">
      <c r="B84" s="174" t="s">
        <v>157</v>
      </c>
      <c r="C84" s="175" t="s">
        <v>13</v>
      </c>
      <c r="D84" s="323">
        <f>Daten_MFH!$D$112</f>
        <v>0.01</v>
      </c>
    </row>
    <row r="85" spans="1:19" s="162" customFormat="1" ht="15.75" outlineLevel="1" thickBot="1" x14ac:dyDescent="0.3">
      <c r="A85" s="335" t="str">
        <f>IF(Bil_MFH_mQS!A85="","",Bil_MFH_mQS!A85)</f>
        <v/>
      </c>
      <c r="B85" s="163" t="s">
        <v>329</v>
      </c>
      <c r="D85" s="335" t="str">
        <f>IF(Bil_MFH_mQS!D85="","",Bil_MFH_mQS!D85)</f>
        <v/>
      </c>
      <c r="E85" s="335" t="str">
        <f>IF(Bil_MFH_mQS!E85="","",Bil_MFH_mQS!E85)</f>
        <v/>
      </c>
      <c r="F85" s="335" t="str">
        <f>IF(Bil_MFH_mQS!F85="","",Bil_MFH_mQS!F85)</f>
        <v/>
      </c>
      <c r="O85" s="164"/>
      <c r="P85" s="165"/>
      <c r="R85" s="164" t="s">
        <v>457</v>
      </c>
      <c r="S85" s="165"/>
    </row>
    <row r="86" spans="1:19" s="170" customFormat="1" outlineLevel="1" collapsed="1" x14ac:dyDescent="0.25">
      <c r="A86" s="166"/>
      <c r="B86" s="167"/>
      <c r="C86" s="166"/>
      <c r="D86" s="166" t="s">
        <v>389</v>
      </c>
      <c r="E86" s="166" t="s">
        <v>12</v>
      </c>
      <c r="F86" s="166" t="s">
        <v>24</v>
      </c>
      <c r="G86" s="166"/>
      <c r="H86" s="166"/>
      <c r="J86" s="166"/>
      <c r="K86" s="166"/>
      <c r="L86" s="166"/>
      <c r="M86" s="166"/>
      <c r="N86" s="166"/>
      <c r="O86" s="168" t="s">
        <v>319</v>
      </c>
      <c r="P86" s="169" t="s">
        <v>332</v>
      </c>
      <c r="R86" s="171" t="s">
        <v>95</v>
      </c>
      <c r="S86" s="172" t="s">
        <v>456</v>
      </c>
    </row>
    <row r="87" spans="1:19" hidden="1" outlineLevel="2" x14ac:dyDescent="0.25">
      <c r="B87" s="174" t="s">
        <v>334</v>
      </c>
      <c r="C87" s="175" t="s">
        <v>326</v>
      </c>
      <c r="D87" s="324">
        <f>D77*D76+D84*D83</f>
        <v>0.45701528497409316</v>
      </c>
      <c r="E87" s="324">
        <f>D76</f>
        <v>0.4590673575129533</v>
      </c>
      <c r="F87" s="324">
        <f>D83</f>
        <v>0.253860103626943</v>
      </c>
      <c r="G87" s="197"/>
      <c r="H87" s="197"/>
      <c r="J87" s="197"/>
      <c r="K87" s="197"/>
      <c r="L87" s="197"/>
      <c r="M87" s="197"/>
      <c r="N87" s="197"/>
      <c r="O87" s="325">
        <f>IF($A85&lt;&gt;"",IF($D85="V",$D87,IF($E85="V",$E87,IF($F85="V",$F87,""))),$D87)</f>
        <v>0.45701528497409316</v>
      </c>
      <c r="P87" s="199">
        <f>IF($A85&lt;&gt;"",IF($D85="N",$D87,IF($E85="N",$E87,IF($F85="N",$F87,O87))),$D87)</f>
        <v>0.45701528497409316</v>
      </c>
      <c r="R87" s="204"/>
    </row>
    <row r="88" spans="1:19" hidden="1" outlineLevel="2" x14ac:dyDescent="0.25">
      <c r="B88" s="174" t="s">
        <v>336</v>
      </c>
      <c r="C88" s="175" t="s">
        <v>207</v>
      </c>
      <c r="O88" s="176">
        <f>O87*0.34*Daten_MFH!$D$20</f>
        <v>182.56403552957477</v>
      </c>
      <c r="P88" s="177">
        <f>P87*0.34*Daten_MFH!$D$20</f>
        <v>182.56403552957477</v>
      </c>
      <c r="Q88" s="185" t="s">
        <v>50</v>
      </c>
      <c r="R88" s="200">
        <f>IF(F85="N",Daten_MFH!$D$16,0)</f>
        <v>0</v>
      </c>
    </row>
    <row r="89" spans="1:19" hidden="1" outlineLevel="2" x14ac:dyDescent="0.25">
      <c r="B89" s="174" t="s">
        <v>354</v>
      </c>
      <c r="C89" s="175" t="s">
        <v>355</v>
      </c>
      <c r="D89" s="207">
        <f>D77*E89+D84*F89</f>
        <v>1.6874911413963996</v>
      </c>
      <c r="E89" s="187">
        <v>0</v>
      </c>
      <c r="F89" s="187">
        <f>Daten_ALLG!$D$162*D80*Daten_MFH!$D$20</f>
        <v>168.74911413963994</v>
      </c>
      <c r="G89" s="188"/>
      <c r="H89" s="188"/>
      <c r="J89" s="188"/>
      <c r="K89" s="188"/>
      <c r="L89" s="188"/>
      <c r="M89" s="188"/>
      <c r="N89" s="188"/>
      <c r="O89" s="189">
        <f>IF($A85&lt;&gt;"",IF($D85="V",$D89,IF($E85="V",$E89,IF($F85="V",$F89,""))),$D89)</f>
        <v>1.6874911413963996</v>
      </c>
      <c r="P89" s="190">
        <f>IF($A85&lt;&gt;"",IF($D85="N",$D89,IF($E85="N",$E89,IF($F85="N",$F89,O89))),$D89)</f>
        <v>1.6874911413963996</v>
      </c>
    </row>
    <row r="90" spans="1:19" s="159" customFormat="1" ht="14.25" customHeight="1" outlineLevel="1" collapsed="1" x14ac:dyDescent="0.25">
      <c r="A90" s="156" t="s">
        <v>559</v>
      </c>
      <c r="B90" s="157"/>
      <c r="C90" s="157"/>
      <c r="D90" s="158"/>
      <c r="O90" s="160"/>
      <c r="P90" s="161"/>
      <c r="R90" s="160"/>
      <c r="S90" s="161"/>
    </row>
    <row r="91" spans="1:19" s="162" customFormat="1" hidden="1" outlineLevel="2" x14ac:dyDescent="0.25">
      <c r="B91" s="163" t="s">
        <v>340</v>
      </c>
      <c r="O91" s="164"/>
      <c r="P91" s="165"/>
      <c r="R91" s="164"/>
      <c r="S91" s="165"/>
    </row>
    <row r="92" spans="1:19" s="170" customFormat="1" hidden="1" outlineLevel="2" x14ac:dyDescent="0.25">
      <c r="A92" s="166"/>
      <c r="B92" s="167"/>
      <c r="C92" s="166"/>
      <c r="D92" s="166"/>
      <c r="E92" s="166"/>
      <c r="F92" s="166"/>
      <c r="G92" s="166"/>
      <c r="H92" s="166"/>
      <c r="J92" s="166"/>
      <c r="K92" s="166"/>
      <c r="L92" s="166"/>
      <c r="M92" s="166"/>
      <c r="N92" s="166"/>
      <c r="O92" s="168" t="s">
        <v>319</v>
      </c>
      <c r="P92" s="169" t="s">
        <v>332</v>
      </c>
      <c r="R92" s="171"/>
      <c r="S92" s="172"/>
    </row>
    <row r="93" spans="1:19" hidden="1" outlineLevel="2" x14ac:dyDescent="0.25">
      <c r="B93" s="174" t="s">
        <v>338</v>
      </c>
      <c r="C93" s="185" t="s">
        <v>207</v>
      </c>
      <c r="O93" s="208">
        <f>O69+O88</f>
        <v>811.65841507527921</v>
      </c>
      <c r="P93" s="209">
        <f>P69+P88</f>
        <v>811.65841507527921</v>
      </c>
    </row>
    <row r="94" spans="1:19" hidden="1" outlineLevel="2" x14ac:dyDescent="0.25">
      <c r="B94" s="174" t="s">
        <v>339</v>
      </c>
      <c r="C94" s="185" t="s">
        <v>63</v>
      </c>
      <c r="O94" s="176">
        <f>O93/Daten_MFH!$D$16</f>
        <v>1.7270611688252515</v>
      </c>
      <c r="P94" s="177">
        <f>P93/Daten_MFH!$D$16</f>
        <v>1.7270611688252515</v>
      </c>
    </row>
    <row r="95" spans="1:19" hidden="1" outlineLevel="2" x14ac:dyDescent="0.25">
      <c r="B95" s="174" t="s">
        <v>309</v>
      </c>
      <c r="C95" s="185" t="s">
        <v>348</v>
      </c>
      <c r="O95" s="180">
        <f>O69*($O$26-$O$17)*$O$18*24/1000</f>
        <v>54377.430492940694</v>
      </c>
      <c r="P95" s="181">
        <f>P69*(P26-P17)*P18*24/1000</f>
        <v>54377.430492940694</v>
      </c>
    </row>
    <row r="96" spans="1:19" hidden="1" outlineLevel="2" x14ac:dyDescent="0.25">
      <c r="B96" s="174" t="s">
        <v>349</v>
      </c>
      <c r="C96" s="185" t="s">
        <v>348</v>
      </c>
      <c r="O96" s="180">
        <f>O88*($O$26-$O$17)*$O$18*24/1000</f>
        <v>15780.403505892355</v>
      </c>
      <c r="P96" s="181">
        <f>P88*($P$26-$P$17)*$P$18*24/1000</f>
        <v>15780.403505892355</v>
      </c>
    </row>
    <row r="97" spans="1:19" s="162" customFormat="1" hidden="1" outlineLevel="2" x14ac:dyDescent="0.25">
      <c r="B97" s="163" t="s">
        <v>366</v>
      </c>
      <c r="O97" s="164"/>
      <c r="P97" s="165"/>
      <c r="R97" s="164"/>
      <c r="S97" s="165"/>
    </row>
    <row r="98" spans="1:19" s="170" customFormat="1" hidden="1" outlineLevel="2" x14ac:dyDescent="0.25">
      <c r="A98" s="166"/>
      <c r="B98" s="167"/>
      <c r="C98" s="166"/>
      <c r="D98" s="166"/>
      <c r="E98" s="166"/>
      <c r="F98" s="166"/>
      <c r="G98" s="166"/>
      <c r="H98" s="166"/>
      <c r="J98" s="166"/>
      <c r="K98" s="166"/>
      <c r="L98" s="166"/>
      <c r="M98" s="166"/>
      <c r="N98" s="166"/>
      <c r="O98" s="168" t="s">
        <v>319</v>
      </c>
      <c r="P98" s="169" t="s">
        <v>332</v>
      </c>
      <c r="R98" s="171"/>
      <c r="S98" s="172"/>
    </row>
    <row r="99" spans="1:19" hidden="1" outlineLevel="2" x14ac:dyDescent="0.25">
      <c r="B99" s="174" t="s">
        <v>369</v>
      </c>
      <c r="C99" s="185" t="s">
        <v>64</v>
      </c>
      <c r="O99" s="210">
        <f>MAX(O26,20)</f>
        <v>20</v>
      </c>
      <c r="P99" s="211">
        <f>MAX(P26,20)</f>
        <v>20</v>
      </c>
    </row>
    <row r="100" spans="1:19" hidden="1" outlineLevel="2" x14ac:dyDescent="0.25">
      <c r="B100" s="174" t="s">
        <v>367</v>
      </c>
      <c r="C100" s="185" t="s">
        <v>368</v>
      </c>
      <c r="O100" s="176">
        <f>O93*(O99-Daten_ALLG!$D$16)/1000</f>
        <v>25.973069282408936</v>
      </c>
      <c r="P100" s="177">
        <f>P93*(P99-Daten_ALLG!$D$16)/1000</f>
        <v>25.973069282408936</v>
      </c>
    </row>
    <row r="101" spans="1:19" hidden="1" outlineLevel="2" x14ac:dyDescent="0.25">
      <c r="B101" s="174" t="s">
        <v>535</v>
      </c>
      <c r="C101" s="185" t="s">
        <v>761</v>
      </c>
      <c r="O101" s="176">
        <f>O100*1000/Daten_MFH!$D$16</f>
        <v>55.265957402408048</v>
      </c>
      <c r="P101" s="177">
        <f>P100*1000/Daten_MFH!$D$16</f>
        <v>55.265957402408048</v>
      </c>
    </row>
    <row r="102" spans="1:19" s="162" customFormat="1" hidden="1" outlineLevel="2" x14ac:dyDescent="0.25">
      <c r="A102" s="212" t="str">
        <f>IF(A56="","",A56)</f>
        <v/>
      </c>
      <c r="B102" s="163" t="s">
        <v>360</v>
      </c>
      <c r="D102" s="212" t="str">
        <f>IF(D56="","",D56)</f>
        <v/>
      </c>
      <c r="E102" s="212" t="str">
        <f>IF(E56="","",E56)</f>
        <v/>
      </c>
      <c r="F102" s="212" t="str">
        <f>IF(F56="","",F56)</f>
        <v/>
      </c>
      <c r="G102" s="212" t="str">
        <f>IF(G56="","",G56)</f>
        <v/>
      </c>
      <c r="H102" s="212" t="str">
        <f>IF(H56="","",H56)</f>
        <v/>
      </c>
      <c r="O102" s="164"/>
      <c r="P102" s="165"/>
      <c r="R102" s="164"/>
      <c r="S102" s="165"/>
    </row>
    <row r="103" spans="1:19" s="170" customFormat="1" hidden="1" outlineLevel="2" x14ac:dyDescent="0.25">
      <c r="A103" s="166"/>
      <c r="B103" s="167"/>
      <c r="C103" s="166"/>
      <c r="D103" s="166" t="s">
        <v>389</v>
      </c>
      <c r="E103" s="166" t="s">
        <v>143</v>
      </c>
      <c r="F103" s="166" t="s">
        <v>65</v>
      </c>
      <c r="G103" s="166" t="s">
        <v>142</v>
      </c>
      <c r="H103" s="166" t="s">
        <v>308</v>
      </c>
      <c r="J103" s="166"/>
      <c r="K103" s="166"/>
      <c r="L103" s="166"/>
      <c r="M103" s="166"/>
      <c r="N103" s="166"/>
      <c r="O103" s="168" t="s">
        <v>319</v>
      </c>
      <c r="P103" s="169" t="s">
        <v>332</v>
      </c>
      <c r="R103" s="171"/>
      <c r="S103" s="172"/>
    </row>
    <row r="104" spans="1:19" hidden="1" outlineLevel="2" x14ac:dyDescent="0.25">
      <c r="B104" s="196" t="s">
        <v>362</v>
      </c>
      <c r="C104" s="175" t="s">
        <v>13</v>
      </c>
      <c r="D104" s="186">
        <f>D58*Daten_ALLG!$D$59+Daten_ALLG!$F$59</f>
        <v>0.63059369846393176</v>
      </c>
      <c r="E104" s="186">
        <f>E58*Daten_ALLG!$D$59+Daten_ALLG!$F$59</f>
        <v>0.6951323478858713</v>
      </c>
      <c r="F104" s="186">
        <f>F58*Daten_ALLG!$D$59+Daten_ALLG!$F$59</f>
        <v>0.58471639738741821</v>
      </c>
      <c r="G104" s="186">
        <f>G58*Daten_ALLG!$D$59+Daten_ALLG!$F$59</f>
        <v>0.55460295634238554</v>
      </c>
      <c r="H104" s="186">
        <f>H58*Daten_ALLG!$D$59+Daten_ALLG!$F$59</f>
        <v>0.51445170161567533</v>
      </c>
      <c r="J104" s="197"/>
      <c r="K104" s="197"/>
      <c r="L104" s="197"/>
      <c r="M104" s="197"/>
      <c r="N104" s="197"/>
      <c r="O104" s="198">
        <f>IF($A102&lt;&gt;"",IF($D102="V",$D104,IF($E102="V",$E104,IF($F102="V",$F104,IF($G102="V",$G104,IF($H102="V",$H104,""))))),$D104)</f>
        <v>0.63059369846393176</v>
      </c>
      <c r="P104" s="199">
        <f>IF($A102&lt;&gt;"",IF($D102="N",$D104,IF($E102="N",$E104,IF($F102="N",$F104,IF($G102="N",$G104,IF($H102="N",$H104,$O104))))),$D104)</f>
        <v>0.63059369846393176</v>
      </c>
    </row>
    <row r="105" spans="1:19" hidden="1" outlineLevel="2" x14ac:dyDescent="0.25">
      <c r="B105" s="174" t="s">
        <v>361</v>
      </c>
      <c r="C105" s="185" t="s">
        <v>348</v>
      </c>
      <c r="O105" s="180">
        <f>O104*Daten_ALLG!$D$60*O22*$D$59</f>
        <v>11877.920704766417</v>
      </c>
      <c r="P105" s="181">
        <f>P104*Daten_ALLG!$D$60*P22*$D$59</f>
        <v>11877.920704766417</v>
      </c>
    </row>
    <row r="106" spans="1:19" s="162" customFormat="1" hidden="1" outlineLevel="2" x14ac:dyDescent="0.25">
      <c r="B106" s="163" t="s">
        <v>363</v>
      </c>
      <c r="O106" s="164"/>
      <c r="P106" s="165"/>
      <c r="R106" s="164"/>
      <c r="S106" s="165"/>
    </row>
    <row r="107" spans="1:19" s="170" customFormat="1" hidden="1" outlineLevel="2" x14ac:dyDescent="0.25">
      <c r="A107" s="166"/>
      <c r="B107" s="167"/>
      <c r="C107" s="166"/>
      <c r="D107" s="166"/>
      <c r="E107" s="166"/>
      <c r="F107" s="166"/>
      <c r="G107" s="166"/>
      <c r="H107" s="166"/>
      <c r="J107" s="166"/>
      <c r="K107" s="166"/>
      <c r="L107" s="166"/>
      <c r="M107" s="166"/>
      <c r="N107" s="166"/>
      <c r="O107" s="168" t="s">
        <v>319</v>
      </c>
      <c r="P107" s="169" t="s">
        <v>332</v>
      </c>
      <c r="R107" s="171"/>
      <c r="S107" s="172"/>
    </row>
    <row r="108" spans="1:19" hidden="1" outlineLevel="2" x14ac:dyDescent="0.25">
      <c r="B108" s="174" t="s">
        <v>364</v>
      </c>
      <c r="C108" s="185" t="s">
        <v>348</v>
      </c>
      <c r="O108" s="180">
        <f>O18*24*Daten_ALLG!$D$55*Daten_MFH!$D$6</f>
        <v>11907.242670112713</v>
      </c>
      <c r="P108" s="181">
        <f>P18*24*Daten_ALLG!$D$55*Daten_MFH!$D$6</f>
        <v>11907.242670112713</v>
      </c>
    </row>
    <row r="109" spans="1:19" s="162" customFormat="1" hidden="1" outlineLevel="2" x14ac:dyDescent="0.25">
      <c r="B109" s="163" t="s">
        <v>395</v>
      </c>
      <c r="O109" s="164"/>
      <c r="P109" s="165"/>
      <c r="R109" s="164"/>
      <c r="S109" s="165"/>
    </row>
    <row r="110" spans="1:19" s="170" customFormat="1" hidden="1" outlineLevel="2" x14ac:dyDescent="0.25">
      <c r="A110" s="166"/>
      <c r="B110" s="167"/>
      <c r="C110" s="166"/>
      <c r="D110" s="166"/>
      <c r="E110" s="166"/>
      <c r="F110" s="166"/>
      <c r="G110" s="166"/>
      <c r="H110" s="166"/>
      <c r="J110" s="166"/>
      <c r="K110" s="166"/>
      <c r="L110" s="166"/>
      <c r="M110" s="166"/>
      <c r="N110" s="166"/>
      <c r="O110" s="168" t="s">
        <v>319</v>
      </c>
      <c r="P110" s="169" t="s">
        <v>332</v>
      </c>
      <c r="R110" s="171"/>
      <c r="S110" s="172"/>
    </row>
    <row r="111" spans="1:19" hidden="1" outlineLevel="2" x14ac:dyDescent="0.25">
      <c r="B111" s="174" t="s">
        <v>475</v>
      </c>
      <c r="C111" s="185" t="s">
        <v>348</v>
      </c>
      <c r="O111" s="180">
        <f>O166</f>
        <v>2522.402438041096</v>
      </c>
      <c r="P111" s="181">
        <f>P166</f>
        <v>2522.402438041096</v>
      </c>
    </row>
    <row r="112" spans="1:19" s="162" customFormat="1" hidden="1" outlineLevel="2" x14ac:dyDescent="0.25">
      <c r="B112" s="163" t="s">
        <v>359</v>
      </c>
      <c r="O112" s="164"/>
      <c r="P112" s="165"/>
      <c r="R112" s="164"/>
      <c r="S112" s="165"/>
    </row>
    <row r="113" spans="1:19" s="170" customFormat="1" hidden="1" outlineLevel="2" x14ac:dyDescent="0.25">
      <c r="A113" s="166"/>
      <c r="B113" s="167"/>
      <c r="C113" s="166"/>
      <c r="D113" s="166"/>
      <c r="E113" s="166"/>
      <c r="F113" s="166"/>
      <c r="G113" s="166"/>
      <c r="H113" s="166"/>
      <c r="J113" s="166"/>
      <c r="K113" s="166"/>
      <c r="L113" s="166"/>
      <c r="M113" s="166"/>
      <c r="N113" s="166"/>
      <c r="O113" s="168" t="s">
        <v>319</v>
      </c>
      <c r="P113" s="169" t="s">
        <v>332</v>
      </c>
      <c r="R113" s="171"/>
      <c r="S113" s="172"/>
    </row>
    <row r="114" spans="1:19" hidden="1" outlineLevel="2" x14ac:dyDescent="0.25">
      <c r="B114" s="174" t="s">
        <v>396</v>
      </c>
      <c r="C114" s="185" t="s">
        <v>348</v>
      </c>
      <c r="O114" s="180">
        <f>O95+O96-O105-O108-O111</f>
        <v>43850.268185912828</v>
      </c>
      <c r="P114" s="181">
        <f>P95+P96-P105-P108-P111</f>
        <v>43850.268185912828</v>
      </c>
    </row>
    <row r="115" spans="1:19" s="159" customFormat="1" ht="14.25" customHeight="1" thickBot="1" x14ac:dyDescent="0.3">
      <c r="A115" s="156" t="s">
        <v>400</v>
      </c>
      <c r="B115" s="157"/>
      <c r="C115" s="157"/>
      <c r="D115" s="158"/>
      <c r="O115" s="160"/>
      <c r="P115" s="161"/>
      <c r="R115" s="160"/>
      <c r="S115" s="161"/>
    </row>
    <row r="116" spans="1:19" s="162" customFormat="1" ht="15.75" hidden="1" outlineLevel="2" thickBot="1" x14ac:dyDescent="0.3">
      <c r="B116" s="163" t="s">
        <v>762</v>
      </c>
      <c r="O116" s="164"/>
      <c r="P116" s="165"/>
      <c r="R116" s="164"/>
      <c r="S116" s="165"/>
    </row>
    <row r="117" spans="1:19" s="170" customFormat="1" ht="15.75" hidden="1" outlineLevel="2" thickBot="1" x14ac:dyDescent="0.3">
      <c r="A117" s="166"/>
      <c r="B117" s="167"/>
      <c r="C117" s="166"/>
      <c r="D117" s="166"/>
      <c r="E117" s="166"/>
      <c r="F117" s="166"/>
      <c r="G117" s="166"/>
      <c r="H117" s="166"/>
      <c r="J117" s="166"/>
      <c r="K117" s="166"/>
      <c r="L117" s="166"/>
      <c r="M117" s="166"/>
      <c r="N117" s="166"/>
      <c r="O117" s="168"/>
      <c r="P117" s="169"/>
      <c r="R117" s="171"/>
      <c r="S117" s="172"/>
    </row>
    <row r="118" spans="1:19" ht="15.75" hidden="1" outlineLevel="2" thickBot="1" x14ac:dyDescent="0.3">
      <c r="B118" s="174" t="s">
        <v>390</v>
      </c>
      <c r="C118" s="185" t="s">
        <v>128</v>
      </c>
      <c r="D118" s="213">
        <f>Daten_ALLG!$D$89*Daten_MFH!$D$16</f>
        <v>70.494759802923184</v>
      </c>
      <c r="E118" s="173" t="s">
        <v>377</v>
      </c>
    </row>
    <row r="119" spans="1:19" s="162" customFormat="1" ht="15.75" hidden="1" outlineLevel="2" thickBot="1" x14ac:dyDescent="0.3">
      <c r="B119" s="163" t="s">
        <v>374</v>
      </c>
      <c r="O119" s="164"/>
      <c r="P119" s="165"/>
      <c r="R119" s="164"/>
      <c r="S119" s="165"/>
    </row>
    <row r="120" spans="1:19" s="170" customFormat="1" ht="15.75" hidden="1" outlineLevel="2" thickBot="1" x14ac:dyDescent="0.3">
      <c r="A120" s="166"/>
      <c r="B120" s="167"/>
      <c r="C120" s="166"/>
      <c r="D120" s="166" t="s">
        <v>563</v>
      </c>
      <c r="E120" s="166" t="s">
        <v>564</v>
      </c>
      <c r="F120" s="166"/>
      <c r="G120" s="166"/>
      <c r="H120" s="166"/>
      <c r="J120" s="166"/>
      <c r="K120" s="166"/>
      <c r="L120" s="166"/>
      <c r="M120" s="166"/>
      <c r="N120" s="166"/>
      <c r="O120" s="168" t="s">
        <v>319</v>
      </c>
      <c r="P120" s="169" t="s">
        <v>332</v>
      </c>
      <c r="R120" s="171"/>
      <c r="S120" s="172"/>
    </row>
    <row r="121" spans="1:19" ht="15.75" hidden="1" outlineLevel="2" thickBot="1" x14ac:dyDescent="0.3">
      <c r="B121" s="174" t="s">
        <v>373</v>
      </c>
      <c r="C121" s="185" t="s">
        <v>64</v>
      </c>
      <c r="D121" s="207">
        <f>Daten_ALLG!$D$76+Daten_ALLG!$F$76*O94</f>
        <v>37.60600140933866</v>
      </c>
      <c r="E121" s="207">
        <f>Daten_ALLG!$D$76+Daten_ALLG!$F$76*P94</f>
        <v>37.60600140933866</v>
      </c>
    </row>
    <row r="122" spans="1:19" ht="15.75" hidden="1" outlineLevel="2" thickBot="1" x14ac:dyDescent="0.3">
      <c r="B122" s="174" t="s">
        <v>375</v>
      </c>
      <c r="C122" s="185" t="s">
        <v>348</v>
      </c>
      <c r="O122" s="180">
        <f>$D$118*Daten_ALLG!$D$88*(D121-Daten_ALLG!$D$29)*O18*24/1000</f>
        <v>2829.5032797986373</v>
      </c>
      <c r="P122" s="181">
        <f>$D$118*Daten_ALLG!$D$88*(E121-Daten_ALLG!$D$29)*P18*24/1000</f>
        <v>2829.5032797986373</v>
      </c>
    </row>
    <row r="123" spans="1:19" ht="15.75" hidden="1" outlineLevel="2" thickBot="1" x14ac:dyDescent="0.3">
      <c r="B123" s="174" t="s">
        <v>157</v>
      </c>
      <c r="C123" s="185" t="s">
        <v>13</v>
      </c>
      <c r="D123" s="202">
        <f>Daten_MFH!$D$66*Daten_MFH!$D$69</f>
        <v>0.81</v>
      </c>
      <c r="E123" s="173" t="s">
        <v>442</v>
      </c>
    </row>
    <row r="124" spans="1:19" s="162" customFormat="1" ht="15.75" hidden="1" outlineLevel="2" thickBot="1" x14ac:dyDescent="0.3">
      <c r="B124" s="163" t="s">
        <v>174</v>
      </c>
      <c r="O124" s="164"/>
      <c r="P124" s="165"/>
      <c r="R124" s="164"/>
      <c r="S124" s="165"/>
    </row>
    <row r="125" spans="1:19" s="170" customFormat="1" ht="15.75" hidden="1" outlineLevel="2" thickBot="1" x14ac:dyDescent="0.3">
      <c r="A125" s="166"/>
      <c r="B125" s="167"/>
      <c r="C125" s="166"/>
      <c r="D125" s="166" t="s">
        <v>563</v>
      </c>
      <c r="E125" s="166" t="s">
        <v>564</v>
      </c>
      <c r="F125" s="166"/>
      <c r="G125" s="166"/>
      <c r="H125" s="166"/>
      <c r="J125" s="166"/>
      <c r="K125" s="166"/>
      <c r="L125" s="166"/>
      <c r="M125" s="166"/>
      <c r="N125" s="166"/>
      <c r="O125" s="168" t="s">
        <v>319</v>
      </c>
      <c r="P125" s="169" t="s">
        <v>332</v>
      </c>
      <c r="R125" s="171"/>
      <c r="S125" s="172"/>
    </row>
    <row r="126" spans="1:19" ht="15.75" hidden="1" outlineLevel="2" thickBot="1" x14ac:dyDescent="0.3">
      <c r="B126" s="174" t="s">
        <v>373</v>
      </c>
      <c r="C126" s="185" t="s">
        <v>64</v>
      </c>
      <c r="D126" s="207">
        <f>Daten_ALLG!$D$77+Daten_ALLG!$F$77*O94</f>
        <v>28.755672369373649</v>
      </c>
      <c r="E126" s="207">
        <f>Daten_ALLG!$D$77+Daten_ALLG!$F$77*P94</f>
        <v>28.755672369373649</v>
      </c>
    </row>
    <row r="127" spans="1:19" ht="15.75" hidden="1" outlineLevel="2" thickBot="1" x14ac:dyDescent="0.3">
      <c r="B127" s="174" t="s">
        <v>375</v>
      </c>
      <c r="C127" s="185" t="s">
        <v>348</v>
      </c>
      <c r="O127" s="180">
        <f>$D$118*Daten_ALLG!$D$88*(D126-Daten_ALLG!$D$29)*O18*24/1000</f>
        <v>1811.7826583418744</v>
      </c>
      <c r="P127" s="181">
        <f>$D$118*Daten_ALLG!$D$88*(E126-Daten_ALLG!$D$29)*P18*24/1000</f>
        <v>1811.7826583418744</v>
      </c>
    </row>
    <row r="128" spans="1:19" ht="15.75" hidden="1" outlineLevel="2" thickBot="1" x14ac:dyDescent="0.3">
      <c r="B128" s="174" t="s">
        <v>157</v>
      </c>
      <c r="C128" s="185" t="s">
        <v>13</v>
      </c>
      <c r="D128" s="202">
        <f>Daten_MFH!$D$65*Daten_MFH!$D$69</f>
        <v>9.0000000000000011E-2</v>
      </c>
      <c r="E128" s="173" t="s">
        <v>442</v>
      </c>
    </row>
    <row r="129" spans="1:19" s="162" customFormat="1" ht="15.75" outlineLevel="1" thickBot="1" x14ac:dyDescent="0.3">
      <c r="A129" s="335" t="str">
        <f>IF(Bil_MFH_mQS!A129="","",Bil_MFH_mQS!A129)</f>
        <v/>
      </c>
      <c r="B129" s="163" t="s">
        <v>394</v>
      </c>
      <c r="D129" s="335" t="str">
        <f>IF(Bil_MFH_mQS!D129="","",Bil_MFH_mQS!D129)</f>
        <v/>
      </c>
      <c r="E129" s="335" t="str">
        <f>IF(Bil_MFH_mQS!E129="","",Bil_MFH_mQS!E129)</f>
        <v/>
      </c>
      <c r="F129" s="335" t="str">
        <f>IF(Bil_MFH_mQS!F129="","",Bil_MFH_mQS!F129)</f>
        <v/>
      </c>
      <c r="G129" s="335" t="str">
        <f>IF(Bil_MFH_mQS!G129="","",Bil_MFH_mQS!G129)</f>
        <v/>
      </c>
      <c r="O129" s="164"/>
      <c r="P129" s="165"/>
      <c r="R129" s="164"/>
      <c r="S129" s="165"/>
    </row>
    <row r="130" spans="1:19" s="170" customFormat="1" outlineLevel="1" collapsed="1" x14ac:dyDescent="0.25">
      <c r="A130" s="166"/>
      <c r="B130" s="167"/>
      <c r="C130" s="166"/>
      <c r="D130" s="166" t="s">
        <v>389</v>
      </c>
      <c r="E130" s="166" t="s">
        <v>399</v>
      </c>
      <c r="F130" s="166" t="s">
        <v>398</v>
      </c>
      <c r="G130" s="166" t="s">
        <v>441</v>
      </c>
      <c r="H130" s="166"/>
      <c r="J130" s="166"/>
      <c r="K130" s="166"/>
      <c r="L130" s="166"/>
      <c r="M130" s="166"/>
      <c r="N130" s="166"/>
      <c r="O130" s="168" t="s">
        <v>319</v>
      </c>
      <c r="P130" s="169" t="s">
        <v>332</v>
      </c>
      <c r="R130" s="171"/>
      <c r="S130" s="172"/>
    </row>
    <row r="131" spans="1:19" hidden="1" outlineLevel="2" x14ac:dyDescent="0.25">
      <c r="B131" s="196" t="s">
        <v>397</v>
      </c>
      <c r="C131" s="185" t="s">
        <v>348</v>
      </c>
      <c r="D131" s="187">
        <f>$D$123*E131+$D$128*F131</f>
        <v>2454.9580958876654</v>
      </c>
      <c r="E131" s="214">
        <f>O122</f>
        <v>2829.5032797986373</v>
      </c>
      <c r="F131" s="214">
        <f>O127</f>
        <v>1811.7826583418744</v>
      </c>
      <c r="G131" s="214">
        <v>0</v>
      </c>
      <c r="H131" s="215"/>
      <c r="I131" s="197"/>
      <c r="J131" s="197"/>
      <c r="K131" s="197"/>
      <c r="L131" s="197"/>
      <c r="M131" s="197"/>
      <c r="N131" s="197"/>
      <c r="O131" s="216">
        <f>IF($A129&lt;&gt;"",IF($D129="V",$D131,IF($E129="V",$E131,IF($F129="V",$F131,IF($G129="V",$G131,"")))),$D131)</f>
        <v>2454.9580958876654</v>
      </c>
      <c r="P131" s="217">
        <f>IF($A129&lt;&gt;"",IF($D129="N",$D132,IF($E129="N",$E132,IF($F129="N",$F132,IF($G129="N",$G132,SUMPRODUCT(D132:G132,D133:G133))))),$D132)</f>
        <v>2454.9580958876654</v>
      </c>
    </row>
    <row r="132" spans="1:19" hidden="1" outlineLevel="2" x14ac:dyDescent="0.25">
      <c r="C132" s="185" t="s">
        <v>348</v>
      </c>
      <c r="D132" s="187">
        <f>$D$123*E132+$D$128*F132</f>
        <v>2454.9580958876654</v>
      </c>
      <c r="E132" s="214">
        <f>P122</f>
        <v>2829.5032797986373</v>
      </c>
      <c r="F132" s="214">
        <f>P127</f>
        <v>1811.7826583418744</v>
      </c>
      <c r="G132" s="214">
        <v>0</v>
      </c>
      <c r="H132" s="174"/>
    </row>
    <row r="133" spans="1:19" hidden="1" outlineLevel="2" x14ac:dyDescent="0.25">
      <c r="C133" s="185"/>
      <c r="D133" s="218">
        <f>IF(D129="V",1,0)</f>
        <v>0</v>
      </c>
      <c r="E133" s="218">
        <f t="shared" ref="E133:G133" si="3">IF(E129="V",1,0)</f>
        <v>0</v>
      </c>
      <c r="F133" s="218">
        <f t="shared" si="3"/>
        <v>0</v>
      </c>
      <c r="G133" s="218">
        <f t="shared" si="3"/>
        <v>0</v>
      </c>
      <c r="H133" s="174"/>
    </row>
    <row r="134" spans="1:19" hidden="1" outlineLevel="2" x14ac:dyDescent="0.25">
      <c r="B134" s="174" t="s">
        <v>373</v>
      </c>
      <c r="C134" s="185" t="s">
        <v>64</v>
      </c>
      <c r="D134" s="207">
        <f>Daten_MFH!$D$66*E134+Daten_MFH!$D$65*F134</f>
        <v>36.720968505342157</v>
      </c>
      <c r="E134" s="219">
        <f>D121</f>
        <v>37.60600140933866</v>
      </c>
      <c r="F134" s="219">
        <f>D126</f>
        <v>28.755672369373649</v>
      </c>
      <c r="G134" s="220"/>
      <c r="H134" s="215"/>
      <c r="I134" s="197"/>
      <c r="J134" s="197"/>
      <c r="K134" s="197"/>
      <c r="L134" s="197"/>
      <c r="M134" s="197"/>
      <c r="N134" s="197"/>
      <c r="O134" s="208">
        <f>IF($A129&lt;&gt;"",IF($D129="V",$D134,IF($E129="V",$E134,IF($F129="V",$F134,IF($G129="V",$G134,"")))),$D134)</f>
        <v>36.720968505342157</v>
      </c>
      <c r="P134" s="209">
        <f>IF($A129&lt;&gt;"",IF($D129="N",$D135,IF($E129="N",$E135,IF($F129="N",$F135,IF($G129="N",$G135,SUMPRODUCT(D135:G135,D136:G136))))),$D135)</f>
        <v>36.720968505342157</v>
      </c>
    </row>
    <row r="135" spans="1:19" hidden="1" outlineLevel="2" x14ac:dyDescent="0.25">
      <c r="C135" s="185" t="s">
        <v>64</v>
      </c>
      <c r="D135" s="207">
        <f>Daten_MFH!$D$66*E135+Daten_MFH!$D$65*F135</f>
        <v>36.720968505342157</v>
      </c>
      <c r="E135" s="219">
        <f>E121</f>
        <v>37.60600140933866</v>
      </c>
      <c r="F135" s="219">
        <f>E126</f>
        <v>28.755672369373649</v>
      </c>
      <c r="G135" s="220"/>
      <c r="H135" s="174"/>
    </row>
    <row r="136" spans="1:19" hidden="1" outlineLevel="2" x14ac:dyDescent="0.25">
      <c r="C136" s="185"/>
      <c r="D136" s="218">
        <f>IF(D129="V",1,0)</f>
        <v>0</v>
      </c>
      <c r="E136" s="218">
        <f t="shared" ref="E136:F136" si="4">IF(E129="V",1,0)</f>
        <v>0</v>
      </c>
      <c r="F136" s="218">
        <f t="shared" si="4"/>
        <v>0</v>
      </c>
      <c r="G136" s="218"/>
      <c r="H136" s="174"/>
    </row>
    <row r="137" spans="1:19" s="159" customFormat="1" ht="14.25" customHeight="1" thickBot="1" x14ac:dyDescent="0.3">
      <c r="A137" s="156" t="s">
        <v>401</v>
      </c>
      <c r="B137" s="157"/>
      <c r="C137" s="157"/>
      <c r="D137" s="158"/>
      <c r="O137" s="160"/>
      <c r="P137" s="161"/>
      <c r="R137" s="160"/>
      <c r="S137" s="161"/>
    </row>
    <row r="138" spans="1:19" s="162" customFormat="1" ht="15.75" hidden="1" outlineLevel="2" thickBot="1" x14ac:dyDescent="0.3">
      <c r="B138" s="163" t="s">
        <v>376</v>
      </c>
      <c r="O138" s="164"/>
      <c r="P138" s="165"/>
      <c r="R138" s="164"/>
      <c r="S138" s="165"/>
    </row>
    <row r="139" spans="1:19" s="170" customFormat="1" ht="15.75" hidden="1" outlineLevel="2" thickBot="1" x14ac:dyDescent="0.3">
      <c r="A139" s="166"/>
      <c r="B139" s="167"/>
      <c r="C139" s="166"/>
      <c r="D139" s="166"/>
      <c r="E139" s="166"/>
      <c r="F139" s="166"/>
      <c r="G139" s="166"/>
      <c r="H139" s="166"/>
      <c r="J139" s="166"/>
      <c r="K139" s="166"/>
      <c r="L139" s="166"/>
      <c r="M139" s="166"/>
      <c r="N139" s="166"/>
      <c r="O139" s="168"/>
      <c r="P139" s="169"/>
      <c r="R139" s="171"/>
      <c r="S139" s="172"/>
    </row>
    <row r="140" spans="1:19" ht="15.75" hidden="1" outlineLevel="2" thickBot="1" x14ac:dyDescent="0.3">
      <c r="B140" s="174" t="s">
        <v>391</v>
      </c>
      <c r="C140" s="185" t="s">
        <v>128</v>
      </c>
      <c r="D140" s="213">
        <f>Daten_ALLG!$D$95*Daten_MFH!$D$16</f>
        <v>23.498253267641065</v>
      </c>
      <c r="E140" s="173" t="s">
        <v>378</v>
      </c>
      <c r="G140" s="173" t="s">
        <v>377</v>
      </c>
    </row>
    <row r="141" spans="1:19" ht="15.75" hidden="1" outlineLevel="2" thickBot="1" x14ac:dyDescent="0.3">
      <c r="B141" s="174" t="s">
        <v>391</v>
      </c>
      <c r="C141" s="185" t="s">
        <v>128</v>
      </c>
      <c r="D141" s="213">
        <f>Daten_ALLG!$D$94*Daten_MFH!$D$16</f>
        <v>93.99301307056426</v>
      </c>
      <c r="E141" s="173" t="s">
        <v>378</v>
      </c>
      <c r="G141" s="173" t="s">
        <v>379</v>
      </c>
    </row>
    <row r="142" spans="1:19" ht="15.75" hidden="1" outlineLevel="2" thickBot="1" x14ac:dyDescent="0.3">
      <c r="B142" s="174" t="s">
        <v>391</v>
      </c>
      <c r="C142" s="185" t="s">
        <v>128</v>
      </c>
      <c r="D142" s="213">
        <f>Daten_ALLG!$D$95*Daten_ALLG!$F$95*Daten_MFH!$D$16</f>
        <v>46.99650653528213</v>
      </c>
      <c r="E142" s="173" t="s">
        <v>380</v>
      </c>
      <c r="G142" s="173" t="s">
        <v>377</v>
      </c>
    </row>
    <row r="143" spans="1:19" ht="15.75" hidden="1" outlineLevel="2" thickBot="1" x14ac:dyDescent="0.3">
      <c r="B143" s="174" t="s">
        <v>391</v>
      </c>
      <c r="C143" s="185" t="s">
        <v>128</v>
      </c>
      <c r="D143" s="213">
        <f>Daten_ALLG!$D$94*Daten_ALLG!$F$94*Daten_MFH!$D$16</f>
        <v>122.19091699173354</v>
      </c>
      <c r="E143" s="173" t="s">
        <v>380</v>
      </c>
      <c r="G143" s="173" t="s">
        <v>379</v>
      </c>
    </row>
    <row r="144" spans="1:19" ht="15.75" hidden="1" outlineLevel="2" thickBot="1" x14ac:dyDescent="0.3">
      <c r="B144" s="174" t="s">
        <v>391</v>
      </c>
      <c r="C144" s="185" t="s">
        <v>128</v>
      </c>
      <c r="D144" s="213">
        <f>Daten_ALLG!$D$93*D118</f>
        <v>7.0494759802923186</v>
      </c>
      <c r="E144" s="173" t="s">
        <v>189</v>
      </c>
    </row>
    <row r="145" spans="1:19" s="162" customFormat="1" ht="15.75" hidden="1" outlineLevel="2" thickBot="1" x14ac:dyDescent="0.3">
      <c r="B145" s="163" t="s">
        <v>383</v>
      </c>
      <c r="O145" s="164"/>
      <c r="P145" s="165"/>
      <c r="R145" s="164"/>
      <c r="S145" s="165"/>
    </row>
    <row r="146" spans="1:19" s="170" customFormat="1" ht="15.75" hidden="1" outlineLevel="2" thickBot="1" x14ac:dyDescent="0.3">
      <c r="A146" s="166"/>
      <c r="B146" s="167"/>
      <c r="C146" s="166"/>
      <c r="D146" s="166"/>
      <c r="E146" s="166"/>
      <c r="F146" s="166"/>
      <c r="G146" s="166"/>
      <c r="H146" s="166"/>
      <c r="J146" s="166"/>
      <c r="K146" s="166"/>
      <c r="L146" s="166"/>
      <c r="M146" s="166"/>
      <c r="N146" s="166"/>
      <c r="O146" s="168" t="s">
        <v>319</v>
      </c>
      <c r="P146" s="169" t="s">
        <v>332</v>
      </c>
      <c r="R146" s="171"/>
      <c r="S146" s="172"/>
    </row>
    <row r="147" spans="1:19" ht="15.75" hidden="1" outlineLevel="2" thickBot="1" x14ac:dyDescent="0.3">
      <c r="B147" s="174" t="s">
        <v>375</v>
      </c>
      <c r="C147" s="185" t="s">
        <v>348</v>
      </c>
      <c r="O147" s="180">
        <f>$D$144*Daten_ALLG!$D$92*(Daten_ALLG!$D$39-O26)*8.76</f>
        <v>126.50186545365095</v>
      </c>
      <c r="P147" s="181">
        <f>$D$144*Daten_ALLG!$D$92*(Daten_ALLG!$D$39-P26)*8.76</f>
        <v>126.50186545365095</v>
      </c>
    </row>
    <row r="148" spans="1:19" ht="15.75" hidden="1" outlineLevel="2" thickBot="1" x14ac:dyDescent="0.3">
      <c r="B148" s="174" t="s">
        <v>157</v>
      </c>
      <c r="C148" s="185" t="s">
        <v>13</v>
      </c>
      <c r="D148" s="202">
        <f>Daten_MFH!$D$73</f>
        <v>0.18</v>
      </c>
    </row>
    <row r="149" spans="1:19" s="162" customFormat="1" ht="15.75" hidden="1" outlineLevel="2" thickBot="1" x14ac:dyDescent="0.3">
      <c r="B149" s="163" t="s">
        <v>387</v>
      </c>
      <c r="O149" s="164"/>
      <c r="P149" s="165"/>
      <c r="R149" s="164"/>
      <c r="S149" s="165"/>
    </row>
    <row r="150" spans="1:19" s="170" customFormat="1" ht="15.75" hidden="1" outlineLevel="2" thickBot="1" x14ac:dyDescent="0.3">
      <c r="A150" s="166"/>
      <c r="B150" s="167"/>
      <c r="C150" s="166"/>
      <c r="D150" s="166"/>
      <c r="E150" s="166"/>
      <c r="F150" s="166"/>
      <c r="G150" s="166"/>
      <c r="H150" s="166"/>
      <c r="J150" s="166"/>
      <c r="K150" s="166"/>
      <c r="L150" s="166"/>
      <c r="M150" s="166"/>
      <c r="N150" s="166"/>
      <c r="O150" s="168" t="s">
        <v>319</v>
      </c>
      <c r="P150" s="169" t="s">
        <v>332</v>
      </c>
      <c r="R150" s="171"/>
      <c r="S150" s="172"/>
    </row>
    <row r="151" spans="1:19" ht="15.75" hidden="1" outlineLevel="2" thickBot="1" x14ac:dyDescent="0.3">
      <c r="B151" s="174" t="s">
        <v>382</v>
      </c>
      <c r="C151" s="185" t="s">
        <v>348</v>
      </c>
      <c r="O151" s="193">
        <f>$D$143*Daten_ALLG!$D$92*(Daten_ALLG!$D$38-O26)*8.76</f>
        <v>6474.2687325869601</v>
      </c>
      <c r="P151" s="194">
        <f>$D$143*Daten_ALLG!$D$92*(Daten_ALLG!$D$38-P26)*8.76</f>
        <v>6474.2687325869601</v>
      </c>
    </row>
    <row r="152" spans="1:19" ht="15.75" hidden="1" outlineLevel="2" thickBot="1" x14ac:dyDescent="0.3">
      <c r="B152" s="174" t="s">
        <v>381</v>
      </c>
      <c r="C152" s="185" t="s">
        <v>348</v>
      </c>
      <c r="O152" s="221">
        <f>$D$142*Daten_ALLG!$D$92*(Daten_ALLG!$D$38-Daten_ALLG!$D$29)*8.76</f>
        <v>3046.501539643129</v>
      </c>
      <c r="P152" s="222">
        <f>$D$142*Daten_ALLG!$D$92*(Daten_ALLG!$D$38-Daten_ALLG!$D$29)*8.76</f>
        <v>3046.501539643129</v>
      </c>
    </row>
    <row r="153" spans="1:19" ht="15.75" hidden="1" outlineLevel="2" thickBot="1" x14ac:dyDescent="0.3">
      <c r="B153" s="174" t="s">
        <v>375</v>
      </c>
      <c r="C153" s="185" t="s">
        <v>348</v>
      </c>
      <c r="O153" s="180">
        <f>O151+O152</f>
        <v>9520.7702722300892</v>
      </c>
      <c r="P153" s="181">
        <f>P151+P152</f>
        <v>9520.7702722300892</v>
      </c>
    </row>
    <row r="154" spans="1:19" ht="15.75" hidden="1" outlineLevel="2" thickBot="1" x14ac:dyDescent="0.3">
      <c r="B154" s="174" t="s">
        <v>157</v>
      </c>
      <c r="C154" s="185" t="s">
        <v>13</v>
      </c>
      <c r="D154" s="202">
        <f>Daten_MFH!$D$74*Daten_MFH!$D$77</f>
        <v>0.65600000000000014</v>
      </c>
    </row>
    <row r="155" spans="1:19" s="162" customFormat="1" ht="15.75" hidden="1" outlineLevel="2" thickBot="1" x14ac:dyDescent="0.3">
      <c r="B155" s="163" t="s">
        <v>388</v>
      </c>
      <c r="O155" s="164"/>
      <c r="P155" s="165"/>
      <c r="R155" s="164"/>
      <c r="S155" s="165"/>
    </row>
    <row r="156" spans="1:19" s="170" customFormat="1" ht="15.75" hidden="1" outlineLevel="2" thickBot="1" x14ac:dyDescent="0.3">
      <c r="A156" s="166"/>
      <c r="B156" s="167"/>
      <c r="C156" s="166"/>
      <c r="D156" s="166"/>
      <c r="E156" s="166"/>
      <c r="F156" s="166"/>
      <c r="G156" s="166"/>
      <c r="H156" s="166"/>
      <c r="J156" s="166"/>
      <c r="K156" s="166"/>
      <c r="L156" s="166"/>
      <c r="M156" s="166"/>
      <c r="N156" s="166"/>
      <c r="O156" s="168" t="s">
        <v>319</v>
      </c>
      <c r="P156" s="169" t="s">
        <v>332</v>
      </c>
      <c r="R156" s="171"/>
      <c r="S156" s="172"/>
    </row>
    <row r="157" spans="1:19" ht="15.75" hidden="1" outlineLevel="2" thickBot="1" x14ac:dyDescent="0.3">
      <c r="B157" s="174" t="s">
        <v>382</v>
      </c>
      <c r="C157" s="185" t="s">
        <v>348</v>
      </c>
      <c r="O157" s="193">
        <f>$D$141*Daten_ALLG!$D$92*(Daten_ALLG!$D$39-O26)*8.76</f>
        <v>1686.6915393820127</v>
      </c>
      <c r="P157" s="194">
        <f>$D$141*Daten_ALLG!$D$92*(Daten_ALLG!$D$39-P26)*8.76</f>
        <v>1686.6915393820127</v>
      </c>
    </row>
    <row r="158" spans="1:19" ht="15.75" hidden="1" outlineLevel="2" thickBot="1" x14ac:dyDescent="0.3">
      <c r="B158" s="174" t="s">
        <v>381</v>
      </c>
      <c r="C158" s="185" t="s">
        <v>348</v>
      </c>
      <c r="O158" s="221">
        <f>$D$140*Daten_ALLG!$D$92*(Daten_ALLG!$D$39-Daten_ALLG!$D$29)*8.76</f>
        <v>699.87197532342145</v>
      </c>
      <c r="P158" s="222">
        <f>$D$140*Daten_ALLG!$D$92*(Daten_ALLG!$D$39-Daten_ALLG!$D$29)*8.76</f>
        <v>699.87197532342145</v>
      </c>
    </row>
    <row r="159" spans="1:19" ht="15.75" hidden="1" outlineLevel="2" thickBot="1" x14ac:dyDescent="0.3">
      <c r="B159" s="174" t="s">
        <v>375</v>
      </c>
      <c r="C159" s="185" t="s">
        <v>348</v>
      </c>
      <c r="O159" s="180">
        <f>O157+O158</f>
        <v>2386.563514705434</v>
      </c>
      <c r="P159" s="181">
        <f>P157+P158</f>
        <v>2386.563514705434</v>
      </c>
    </row>
    <row r="160" spans="1:19" ht="15.75" hidden="1" outlineLevel="2" thickBot="1" x14ac:dyDescent="0.3">
      <c r="B160" s="174" t="s">
        <v>157</v>
      </c>
      <c r="C160" s="185" t="s">
        <v>13</v>
      </c>
      <c r="D160" s="202">
        <f>Daten_MFH!$D$74*Daten_MFH!$D$78</f>
        <v>0.16399999999999998</v>
      </c>
    </row>
    <row r="161" spans="1:19" s="162" customFormat="1" ht="15.75" outlineLevel="1" thickBot="1" x14ac:dyDescent="0.3">
      <c r="A161" s="335" t="str">
        <f>IF(Bil_MFH_mQS!A161="","",Bil_MFH_mQS!A161)</f>
        <v/>
      </c>
      <c r="B161" s="163" t="s">
        <v>568</v>
      </c>
      <c r="D161" s="335" t="str">
        <f>IF(Bil_MFH_mQS!D161="","",Bil_MFH_mQS!D161)</f>
        <v/>
      </c>
      <c r="E161" s="335" t="str">
        <f>IF(Bil_MFH_mQS!E161="","",Bil_MFH_mQS!E161)</f>
        <v/>
      </c>
      <c r="F161" s="335" t="str">
        <f>IF(Bil_MFH_mQS!F161="","",Bil_MFH_mQS!F161)</f>
        <v/>
      </c>
      <c r="G161" s="335" t="str">
        <f>IF(Bil_MFH_mQS!G161="","",Bil_MFH_mQS!G161)</f>
        <v/>
      </c>
      <c r="O161" s="164"/>
      <c r="P161" s="165"/>
      <c r="R161" s="164"/>
      <c r="S161" s="165"/>
    </row>
    <row r="162" spans="1:19" s="170" customFormat="1" outlineLevel="1" collapsed="1" x14ac:dyDescent="0.25">
      <c r="A162" s="166"/>
      <c r="B162" s="167"/>
      <c r="C162" s="166"/>
      <c r="D162" s="166" t="s">
        <v>389</v>
      </c>
      <c r="E162" s="166" t="s">
        <v>189</v>
      </c>
      <c r="F162" s="166" t="s">
        <v>393</v>
      </c>
      <c r="G162" s="166" t="s">
        <v>392</v>
      </c>
      <c r="H162" s="166"/>
      <c r="J162" s="166"/>
      <c r="K162" s="166"/>
      <c r="L162" s="166"/>
      <c r="M162" s="166"/>
      <c r="N162" s="166"/>
      <c r="O162" s="168" t="s">
        <v>319</v>
      </c>
      <c r="P162" s="169" t="s">
        <v>332</v>
      </c>
      <c r="R162" s="171"/>
      <c r="S162" s="172"/>
    </row>
    <row r="163" spans="1:19" hidden="1" outlineLevel="2" x14ac:dyDescent="0.25">
      <c r="B163" s="196" t="s">
        <v>477</v>
      </c>
      <c r="C163" s="185" t="s">
        <v>348</v>
      </c>
      <c r="D163" s="187">
        <f>$D$148*E163+$D$154*F163+$D$160*G163</f>
        <v>6659.7920507762883</v>
      </c>
      <c r="E163" s="214">
        <f>O147</f>
        <v>126.50186545365095</v>
      </c>
      <c r="F163" s="214">
        <f>O153</f>
        <v>9520.7702722300892</v>
      </c>
      <c r="G163" s="214">
        <f>O159</f>
        <v>2386.563514705434</v>
      </c>
      <c r="H163" s="215" t="s">
        <v>563</v>
      </c>
      <c r="I163" s="197"/>
      <c r="J163" s="197"/>
      <c r="K163" s="197"/>
      <c r="L163" s="197"/>
      <c r="M163" s="197"/>
      <c r="N163" s="197"/>
      <c r="O163" s="216">
        <f>IF($A161&lt;&gt;"",IF($D161="V",$D163,IF($E161="V",$E163,IF($F161="V",$F163,IF($G161="V",$G163,"")))),$D163)</f>
        <v>6659.7920507762883</v>
      </c>
      <c r="P163" s="217">
        <f>IF($A161&lt;&gt;"",IF($D161="N",$D164,IF($E161="N",$E164,IF($F161="N",$F164,IF($G161="N",$G164,SUMPRODUCT(D164:G164,D165:G165))))),$D164)</f>
        <v>6659.7920507762883</v>
      </c>
    </row>
    <row r="164" spans="1:19" hidden="1" outlineLevel="2" x14ac:dyDescent="0.25">
      <c r="C164" s="185" t="s">
        <v>348</v>
      </c>
      <c r="D164" s="187">
        <f>$D$148*E164+$D$154*F164+$D$160*G164</f>
        <v>6659.7920507762883</v>
      </c>
      <c r="E164" s="214">
        <f>P147</f>
        <v>126.50186545365095</v>
      </c>
      <c r="F164" s="214">
        <f>P153</f>
        <v>9520.7702722300892</v>
      </c>
      <c r="G164" s="214">
        <f>P159</f>
        <v>2386.563514705434</v>
      </c>
      <c r="H164" s="174" t="s">
        <v>564</v>
      </c>
    </row>
    <row r="165" spans="1:19" hidden="1" outlineLevel="2" x14ac:dyDescent="0.25">
      <c r="C165" s="185"/>
      <c r="D165" s="218">
        <f>IF(D161="V",1,0)</f>
        <v>0</v>
      </c>
      <c r="E165" s="218">
        <f t="shared" ref="E165:G165" si="5">IF(E161="V",1,0)</f>
        <v>0</v>
      </c>
      <c r="F165" s="218">
        <f t="shared" si="5"/>
        <v>0</v>
      </c>
      <c r="G165" s="218">
        <f t="shared" si="5"/>
        <v>0</v>
      </c>
      <c r="H165" s="174"/>
    </row>
    <row r="166" spans="1:19" hidden="1" outlineLevel="2" x14ac:dyDescent="0.25">
      <c r="B166" s="174" t="s">
        <v>475</v>
      </c>
      <c r="C166" s="185" t="s">
        <v>348</v>
      </c>
      <c r="D166" s="187">
        <f>O18/365*($D$148*E166+$D$154*F166+$D$160*G166)</f>
        <v>2522.402438041096</v>
      </c>
      <c r="E166" s="214">
        <f>O18/365*(O147)</f>
        <v>94.224781072163779</v>
      </c>
      <c r="F166" s="214">
        <f>O18/365*(O151)</f>
        <v>4822.3522375950497</v>
      </c>
      <c r="G166" s="214">
        <f>O18/365*(O157)</f>
        <v>1256.3304142955171</v>
      </c>
      <c r="H166" s="174" t="s">
        <v>563</v>
      </c>
      <c r="O166" s="216">
        <f>IF($A161&lt;&gt;"",IF($D161="V",$D166,IF($E161="V",$E166,IF($F161="V",$F166,IF($G161="V",$G166,"")))),$D166)</f>
        <v>2522.402438041096</v>
      </c>
      <c r="P166" s="217">
        <f>IF($A161&lt;&gt;"",IF($D161="N",$D167,IF($E161="N",$E167,IF($F161="N",$F167,IF($G161="N",$G167,SUMPRODUCT(D167:G167,D168:G168))))),$D167)</f>
        <v>2522.402438041096</v>
      </c>
    </row>
    <row r="167" spans="1:19" hidden="1" outlineLevel="2" x14ac:dyDescent="0.25">
      <c r="C167" s="185" t="s">
        <v>348</v>
      </c>
      <c r="D167" s="187">
        <f>P18/365*($D$148*E167+$D$154*F167+$D$160*G167)</f>
        <v>2522.402438041096</v>
      </c>
      <c r="E167" s="214">
        <f>P18/365*(P147)</f>
        <v>94.224781072163779</v>
      </c>
      <c r="F167" s="214">
        <f>P18/365*(P151)</f>
        <v>4822.3522375950497</v>
      </c>
      <c r="G167" s="214">
        <f>P18/365*(P157)</f>
        <v>1256.3304142955171</v>
      </c>
      <c r="H167" s="174" t="s">
        <v>564</v>
      </c>
    </row>
    <row r="168" spans="1:19" hidden="1" outlineLevel="2" x14ac:dyDescent="0.25">
      <c r="C168" s="185"/>
      <c r="D168" s="218">
        <f>IF(D161="V",1,0)</f>
        <v>0</v>
      </c>
      <c r="E168" s="218">
        <f t="shared" ref="E168:G168" si="6">IF(E161="V",1,0)</f>
        <v>0</v>
      </c>
      <c r="F168" s="218">
        <f t="shared" si="6"/>
        <v>0</v>
      </c>
      <c r="G168" s="218">
        <f t="shared" si="6"/>
        <v>0</v>
      </c>
      <c r="H168" s="174"/>
    </row>
    <row r="169" spans="1:19" s="159" customFormat="1" ht="14.25" customHeight="1" collapsed="1" x14ac:dyDescent="0.25">
      <c r="A169" s="156" t="s">
        <v>439</v>
      </c>
      <c r="B169" s="157"/>
      <c r="C169" s="157"/>
      <c r="D169" s="158"/>
      <c r="O169" s="160"/>
      <c r="P169" s="161"/>
      <c r="R169" s="160"/>
      <c r="S169" s="161"/>
    </row>
    <row r="170" spans="1:19" s="162" customFormat="1" hidden="1" outlineLevel="2" x14ac:dyDescent="0.25">
      <c r="B170" s="163" t="s">
        <v>414</v>
      </c>
      <c r="O170" s="164"/>
      <c r="P170" s="165"/>
      <c r="R170" s="164"/>
      <c r="S170" s="165"/>
    </row>
    <row r="171" spans="1:19" s="170" customFormat="1" hidden="1" outlineLevel="2" x14ac:dyDescent="0.25">
      <c r="A171" s="166"/>
      <c r="B171" s="167"/>
      <c r="C171" s="166"/>
      <c r="D171" s="166" t="s">
        <v>563</v>
      </c>
      <c r="E171" s="166" t="s">
        <v>564</v>
      </c>
      <c r="F171" s="166"/>
      <c r="G171" s="166"/>
      <c r="H171" s="166"/>
      <c r="J171" s="166" t="s">
        <v>563</v>
      </c>
      <c r="K171" s="166" t="s">
        <v>564</v>
      </c>
      <c r="L171" s="166"/>
      <c r="M171" s="166"/>
      <c r="N171" s="166"/>
      <c r="O171" s="168" t="s">
        <v>319</v>
      </c>
      <c r="P171" s="169" t="s">
        <v>332</v>
      </c>
      <c r="R171" s="171"/>
      <c r="S171" s="172"/>
    </row>
    <row r="172" spans="1:19" hidden="1" outlineLevel="2" x14ac:dyDescent="0.25">
      <c r="B172" s="174" t="s">
        <v>404</v>
      </c>
      <c r="C172" s="185" t="s">
        <v>64</v>
      </c>
      <c r="D172" s="214">
        <f>Daten_ALLG!$D$123</f>
        <v>-2</v>
      </c>
      <c r="G172" s="173" t="s">
        <v>838</v>
      </c>
      <c r="I172" s="185" t="s">
        <v>368</v>
      </c>
      <c r="J172" s="219">
        <f>O100</f>
        <v>25.973069282408936</v>
      </c>
      <c r="K172" s="219">
        <f>P100</f>
        <v>25.973069282408936</v>
      </c>
    </row>
    <row r="173" spans="1:19" hidden="1" outlineLevel="2" x14ac:dyDescent="0.25">
      <c r="B173" s="174" t="s">
        <v>405</v>
      </c>
      <c r="C173" s="185" t="s">
        <v>64</v>
      </c>
      <c r="D173" s="223">
        <f>Daten_ALLG!$D$27</f>
        <v>21</v>
      </c>
      <c r="G173" s="173" t="s">
        <v>839</v>
      </c>
      <c r="I173" s="185" t="s">
        <v>368</v>
      </c>
      <c r="J173" s="223">
        <v>0</v>
      </c>
      <c r="K173" s="223">
        <v>0</v>
      </c>
    </row>
    <row r="174" spans="1:19" hidden="1" outlineLevel="2" x14ac:dyDescent="0.25">
      <c r="B174" s="174" t="s">
        <v>406</v>
      </c>
      <c r="C174" s="185" t="s">
        <v>64</v>
      </c>
      <c r="D174" s="223">
        <f>Daten_ALLG!$D$16</f>
        <v>-12</v>
      </c>
      <c r="G174" s="173" t="s">
        <v>840</v>
      </c>
      <c r="I174" s="185" t="s">
        <v>64</v>
      </c>
      <c r="J174" s="223">
        <f>Daten_ALLG!$D$16</f>
        <v>-12</v>
      </c>
      <c r="K174" s="223">
        <f>Daten_ALLG!$D$16</f>
        <v>-12</v>
      </c>
    </row>
    <row r="175" spans="1:19" hidden="1" outlineLevel="2" x14ac:dyDescent="0.25">
      <c r="B175" s="174" t="s">
        <v>407</v>
      </c>
      <c r="C175" s="185" t="s">
        <v>64</v>
      </c>
      <c r="D175" s="214">
        <f>Daten_ALLG!$D$81+Daten_ALLG!$F$81*$O$94</f>
        <v>41.839428181776768</v>
      </c>
      <c r="E175" s="214">
        <f>Daten_ALLG!$D$81+Daten_ALLG!$F$81*$P$94</f>
        <v>41.839428181776768</v>
      </c>
      <c r="G175" s="173" t="s">
        <v>62</v>
      </c>
      <c r="I175" s="185" t="s">
        <v>64</v>
      </c>
      <c r="J175" s="219">
        <f>O16</f>
        <v>15.307117526276478</v>
      </c>
      <c r="K175" s="219">
        <f>P16</f>
        <v>15.307117526276478</v>
      </c>
    </row>
    <row r="176" spans="1:19" hidden="1" outlineLevel="2" x14ac:dyDescent="0.25">
      <c r="B176" s="174" t="s">
        <v>410</v>
      </c>
      <c r="C176" s="185" t="s">
        <v>64</v>
      </c>
      <c r="D176" s="214">
        <f>(D173-D172)*(D175-D173)/(D173-D174)+D173</f>
        <v>35.524449944874718</v>
      </c>
      <c r="E176" s="214">
        <f>(D173-D172)*(E175-D173)/(D173-D174)+D173</f>
        <v>35.524449944874718</v>
      </c>
      <c r="G176" s="173" t="s">
        <v>841</v>
      </c>
      <c r="I176" s="185" t="s">
        <v>368</v>
      </c>
      <c r="J176" s="219">
        <f>J172-(J172-J173)/(J175-J174)*($D$172-J174)</f>
        <v>16.461604274278308</v>
      </c>
      <c r="K176" s="219">
        <f>K172-(K172-K173)/(K175-K174)*($D$172-K174)</f>
        <v>16.461604274278308</v>
      </c>
    </row>
    <row r="177" spans="1:19" hidden="1" outlineLevel="2" x14ac:dyDescent="0.25">
      <c r="B177" s="174" t="s">
        <v>411</v>
      </c>
      <c r="C177" s="185" t="s">
        <v>13</v>
      </c>
      <c r="D177" s="191">
        <f>(273+D176+Daten_ALLG!$D$128)/(D176-D172+Daten_ALLG!$D$128-Daten_ALLG!$D$127)*Daten_ALLG!$M$135</f>
        <v>2.046314345286238</v>
      </c>
      <c r="E177" s="191">
        <f>(273+E176+Daten_ALLG!$D$128)/(E176-D172+Daten_ALLG!$D$128-Daten_ALLG!$D$127)*Daten_ALLG!$M$135</f>
        <v>2.046314345286238</v>
      </c>
    </row>
    <row r="178" spans="1:19" hidden="1" outlineLevel="2" x14ac:dyDescent="0.25">
      <c r="B178" s="174" t="s">
        <v>763</v>
      </c>
      <c r="C178" s="185" t="s">
        <v>13</v>
      </c>
      <c r="D178" s="191">
        <f>D176*Daten_ALLG!$F$132+Daten_ALLG!$D$132</f>
        <v>1.0095354535431766</v>
      </c>
      <c r="E178" s="191">
        <f>E176*Daten_ALLG!$F$132+Daten_ALLG!$D$132</f>
        <v>1.0095354535431766</v>
      </c>
    </row>
    <row r="179" spans="1:19" hidden="1" outlineLevel="2" x14ac:dyDescent="0.25">
      <c r="B179" s="174" t="s">
        <v>413</v>
      </c>
      <c r="C179" s="185" t="s">
        <v>13</v>
      </c>
      <c r="O179" s="224">
        <f>D177*D178/Daten_ALLG!$M$139</f>
        <v>0.91074088287181165</v>
      </c>
      <c r="P179" s="225">
        <f>E177*E178/Daten_ALLG!$M$139</f>
        <v>0.91074088287181165</v>
      </c>
    </row>
    <row r="180" spans="1:19" hidden="1" outlineLevel="2" x14ac:dyDescent="0.25">
      <c r="B180" s="174" t="s">
        <v>445</v>
      </c>
      <c r="C180" s="185" t="s">
        <v>368</v>
      </c>
      <c r="O180" s="226">
        <f>J176/O179</f>
        <v>18.074959172108787</v>
      </c>
      <c r="P180" s="227">
        <f>K176/P179</f>
        <v>18.074959172108787</v>
      </c>
    </row>
    <row r="181" spans="1:19" s="162" customFormat="1" hidden="1" outlineLevel="2" x14ac:dyDescent="0.25">
      <c r="B181" s="163" t="s">
        <v>415</v>
      </c>
      <c r="O181" s="164"/>
      <c r="P181" s="165"/>
      <c r="R181" s="164"/>
      <c r="S181" s="165"/>
    </row>
    <row r="182" spans="1:19" s="170" customFormat="1" hidden="1" outlineLevel="2" x14ac:dyDescent="0.25">
      <c r="A182" s="166"/>
      <c r="B182" s="167"/>
      <c r="C182" s="166"/>
      <c r="D182" s="166" t="s">
        <v>563</v>
      </c>
      <c r="E182" s="166" t="s">
        <v>564</v>
      </c>
      <c r="F182" s="166"/>
      <c r="G182" s="166"/>
      <c r="H182" s="166"/>
      <c r="J182" s="166"/>
      <c r="K182" s="166"/>
      <c r="L182" s="166"/>
      <c r="M182" s="166"/>
      <c r="N182" s="166"/>
      <c r="O182" s="168" t="s">
        <v>319</v>
      </c>
      <c r="P182" s="169" t="s">
        <v>332</v>
      </c>
      <c r="R182" s="171"/>
      <c r="S182" s="172"/>
    </row>
    <row r="183" spans="1:19" hidden="1" outlineLevel="2" x14ac:dyDescent="0.25">
      <c r="B183" s="174" t="s">
        <v>404</v>
      </c>
      <c r="C183" s="185" t="s">
        <v>64</v>
      </c>
      <c r="D183" s="214">
        <f>Daten_ALLG!$D$123</f>
        <v>-2</v>
      </c>
    </row>
    <row r="184" spans="1:19" hidden="1" outlineLevel="2" x14ac:dyDescent="0.25">
      <c r="B184" s="174" t="s">
        <v>405</v>
      </c>
      <c r="C184" s="185" t="s">
        <v>64</v>
      </c>
      <c r="D184" s="223">
        <f>Daten_ALLG!$D$27</f>
        <v>21</v>
      </c>
    </row>
    <row r="185" spans="1:19" hidden="1" outlineLevel="2" x14ac:dyDescent="0.25">
      <c r="B185" s="174" t="s">
        <v>406</v>
      </c>
      <c r="C185" s="185" t="s">
        <v>64</v>
      </c>
      <c r="D185" s="223">
        <f>Daten_ALLG!$D$16</f>
        <v>-12</v>
      </c>
    </row>
    <row r="186" spans="1:19" hidden="1" outlineLevel="2" x14ac:dyDescent="0.25">
      <c r="B186" s="174" t="s">
        <v>407</v>
      </c>
      <c r="C186" s="185" t="s">
        <v>64</v>
      </c>
      <c r="D186" s="214">
        <f>Daten_ALLG!$D$80+Daten_ALLG!$F$80*$O$94</f>
        <v>64.54122337650503</v>
      </c>
      <c r="E186" s="214">
        <f>Daten_ALLG!$D$80+Daten_ALLG!$F$80*$P$94</f>
        <v>64.54122337650503</v>
      </c>
    </row>
    <row r="187" spans="1:19" hidden="1" outlineLevel="2" x14ac:dyDescent="0.25">
      <c r="B187" s="174" t="s">
        <v>410</v>
      </c>
      <c r="C187" s="185" t="s">
        <v>64</v>
      </c>
      <c r="D187" s="214">
        <f>(D184-D183)*(D186-D184)/(D184-D185)+D184</f>
        <v>51.346913262412599</v>
      </c>
      <c r="E187" s="214">
        <f>(D184-D183)*(E186-D184)/(D184-D185)+D184</f>
        <v>51.346913262412599</v>
      </c>
    </row>
    <row r="188" spans="1:19" hidden="1" outlineLevel="2" x14ac:dyDescent="0.25">
      <c r="B188" s="174" t="s">
        <v>411</v>
      </c>
      <c r="C188" s="185" t="s">
        <v>13</v>
      </c>
      <c r="D188" s="191">
        <f>(273+D187+Daten_ALLG!$D$128)/(D187-D183+Daten_ALLG!$D$128-Daten_ALLG!$D$127)*Daten_ALLG!$M$135</f>
        <v>1.5959087225780573</v>
      </c>
      <c r="E188" s="191">
        <f>(273+E187+Daten_ALLG!$D$128)/(E187-D183+Daten_ALLG!$D$128-Daten_ALLG!$D$127)*Daten_ALLG!$M$135</f>
        <v>1.5959087225780573</v>
      </c>
    </row>
    <row r="189" spans="1:19" hidden="1" outlineLevel="2" x14ac:dyDescent="0.25">
      <c r="B189" s="174" t="s">
        <v>763</v>
      </c>
      <c r="C189" s="185" t="s">
        <v>13</v>
      </c>
      <c r="D189" s="191">
        <f>D187*Daten_ALLG!$F$132+Daten_ALLG!$D$132</f>
        <v>1.2972166047711378</v>
      </c>
      <c r="E189" s="191">
        <f>E187*Daten_ALLG!$F$132+Daten_ALLG!$D$132</f>
        <v>1.2972166047711378</v>
      </c>
    </row>
    <row r="190" spans="1:19" hidden="1" outlineLevel="2" x14ac:dyDescent="0.25">
      <c r="B190" s="174" t="s">
        <v>413</v>
      </c>
      <c r="C190" s="185" t="s">
        <v>13</v>
      </c>
      <c r="O190" s="224">
        <f>D188*D189/Daten_ALLG!$M$139</f>
        <v>0.91268614064216558</v>
      </c>
      <c r="P190" s="225">
        <f>E188*E189/Daten_ALLG!$M$139</f>
        <v>0.91268614064216558</v>
      </c>
    </row>
    <row r="191" spans="1:19" hidden="1" outlineLevel="2" x14ac:dyDescent="0.25">
      <c r="B191" s="174" t="s">
        <v>445</v>
      </c>
      <c r="C191" s="185" t="s">
        <v>368</v>
      </c>
      <c r="O191" s="226">
        <f>J176/O190</f>
        <v>18.036435025403069</v>
      </c>
      <c r="P191" s="227">
        <f>K176/P190</f>
        <v>18.036435025403069</v>
      </c>
    </row>
    <row r="192" spans="1:19" s="162" customFormat="1" hidden="1" outlineLevel="2" x14ac:dyDescent="0.25">
      <c r="B192" s="163" t="s">
        <v>486</v>
      </c>
      <c r="O192" s="164"/>
      <c r="P192" s="165"/>
      <c r="R192" s="164"/>
      <c r="S192" s="165"/>
    </row>
    <row r="193" spans="1:19" s="170" customFormat="1" hidden="1" outlineLevel="2" x14ac:dyDescent="0.25">
      <c r="A193" s="166"/>
      <c r="B193" s="167"/>
      <c r="C193" s="166"/>
      <c r="D193" s="166" t="s">
        <v>563</v>
      </c>
      <c r="E193" s="166" t="s">
        <v>564</v>
      </c>
      <c r="F193" s="166"/>
      <c r="G193" s="166"/>
      <c r="H193" s="166"/>
      <c r="J193" s="166"/>
      <c r="K193" s="166"/>
      <c r="L193" s="166"/>
      <c r="M193" s="166"/>
      <c r="N193" s="166"/>
      <c r="O193" s="168" t="s">
        <v>319</v>
      </c>
      <c r="P193" s="169" t="s">
        <v>332</v>
      </c>
      <c r="R193" s="171"/>
      <c r="S193" s="172"/>
    </row>
    <row r="194" spans="1:19" hidden="1" outlineLevel="2" x14ac:dyDescent="0.25">
      <c r="B194" s="174" t="s">
        <v>425</v>
      </c>
      <c r="C194" s="185" t="s">
        <v>64</v>
      </c>
      <c r="D194" s="219">
        <f>$O$17</f>
        <v>6.5101021571211559</v>
      </c>
      <c r="E194" s="219">
        <f>$P$17</f>
        <v>6.5101021571211559</v>
      </c>
    </row>
    <row r="195" spans="1:19" hidden="1" outlineLevel="2" x14ac:dyDescent="0.25">
      <c r="B195" s="174" t="s">
        <v>407</v>
      </c>
      <c r="C195" s="185" t="s">
        <v>64</v>
      </c>
      <c r="D195" s="214">
        <f>Daten_ALLG!$D$85+Daten_ALLG!$F$85*$O$94</f>
        <v>30.472467355353075</v>
      </c>
      <c r="E195" s="214">
        <f>Daten_ALLG!$D$85+Daten_ALLG!$F$85*$P$94</f>
        <v>30.472467355353075</v>
      </c>
    </row>
    <row r="196" spans="1:19" hidden="1" outlineLevel="2" x14ac:dyDescent="0.25">
      <c r="B196" s="174" t="s">
        <v>487</v>
      </c>
      <c r="C196" s="185" t="s">
        <v>13</v>
      </c>
      <c r="O196" s="224">
        <f>(273+D195+Daten_ALLG!$D$128)/(D195-D194+Daten_ALLG!$D$128-Daten_ALLG!$D$127)*Daten_ALLG!$M$135</f>
        <v>2.8671764319767963</v>
      </c>
      <c r="P196" s="225">
        <f>(273+E195+Daten_ALLG!$D$128)/(E195-E194+Daten_ALLG!$D$128-Daten_ALLG!$D$127)*Daten_ALLG!$M$135</f>
        <v>2.8671764319767963</v>
      </c>
    </row>
    <row r="197" spans="1:19" hidden="1" outlineLevel="2" x14ac:dyDescent="0.25">
      <c r="B197" s="174" t="s">
        <v>488</v>
      </c>
      <c r="C197" s="185" t="s">
        <v>13</v>
      </c>
      <c r="O197" s="228">
        <f>Daten_ALLG!$D$124*O196+(1-Daten_ALLG!$D$124)*Daten_ALLG!$M$120</f>
        <v>2.6580526715953954</v>
      </c>
      <c r="P197" s="229">
        <f>Daten_ALLG!$D$124*P196+(1-Daten_ALLG!$D$124)*Daten_ALLG!$M$120</f>
        <v>2.6580526715953954</v>
      </c>
    </row>
    <row r="198" spans="1:19" s="162" customFormat="1" hidden="1" outlineLevel="2" x14ac:dyDescent="0.25">
      <c r="B198" s="163" t="s">
        <v>489</v>
      </c>
      <c r="O198" s="164"/>
      <c r="P198" s="165"/>
      <c r="R198" s="164"/>
      <c r="S198" s="165"/>
    </row>
    <row r="199" spans="1:19" s="170" customFormat="1" hidden="1" outlineLevel="2" x14ac:dyDescent="0.25">
      <c r="A199" s="166"/>
      <c r="B199" s="167"/>
      <c r="C199" s="166"/>
      <c r="D199" s="166" t="s">
        <v>563</v>
      </c>
      <c r="E199" s="166" t="s">
        <v>564</v>
      </c>
      <c r="F199" s="166"/>
      <c r="G199" s="166"/>
      <c r="H199" s="166"/>
      <c r="J199" s="166"/>
      <c r="K199" s="166"/>
      <c r="L199" s="166"/>
      <c r="M199" s="166"/>
      <c r="N199" s="166"/>
      <c r="O199" s="168" t="s">
        <v>319</v>
      </c>
      <c r="P199" s="169" t="s">
        <v>332</v>
      </c>
      <c r="R199" s="171"/>
      <c r="S199" s="172"/>
    </row>
    <row r="200" spans="1:19" hidden="1" outlineLevel="2" x14ac:dyDescent="0.25">
      <c r="B200" s="174" t="s">
        <v>425</v>
      </c>
      <c r="C200" s="185" t="s">
        <v>64</v>
      </c>
      <c r="D200" s="219">
        <f>$O$17</f>
        <v>6.5101021571211559</v>
      </c>
      <c r="E200" s="219">
        <f>$P$17</f>
        <v>6.5101021571211559</v>
      </c>
    </row>
    <row r="201" spans="1:19" hidden="1" outlineLevel="2" x14ac:dyDescent="0.25">
      <c r="B201" s="174" t="s">
        <v>407</v>
      </c>
      <c r="C201" s="185" t="s">
        <v>64</v>
      </c>
      <c r="D201" s="214">
        <f>Daten_ALLG!$D$84+Daten_ALLG!$F$84*$O$94</f>
        <v>40.791465171138654</v>
      </c>
      <c r="E201" s="214">
        <f>Daten_ALLG!$D$84+Daten_ALLG!$F$84*$P$94</f>
        <v>40.791465171138654</v>
      </c>
    </row>
    <row r="202" spans="1:19" hidden="1" outlineLevel="2" x14ac:dyDescent="0.25">
      <c r="B202" s="174" t="s">
        <v>487</v>
      </c>
      <c r="C202" s="185" t="s">
        <v>13</v>
      </c>
      <c r="O202" s="224">
        <f>(273+D201+Daten_ALLG!$D$128)/(D201-D200+Daten_ALLG!$D$128-Daten_ALLG!$D$127)*Daten_ALLG!$M$135</f>
        <v>2.2406429877847924</v>
      </c>
      <c r="P202" s="225">
        <f>(273+E201+Daten_ALLG!$D$128)/(E201-E200+Daten_ALLG!$D$128-Daten_ALLG!$D$127)*Daten_ALLG!$M$135</f>
        <v>2.2406429877847924</v>
      </c>
    </row>
    <row r="203" spans="1:19" hidden="1" outlineLevel="2" x14ac:dyDescent="0.25">
      <c r="B203" s="174" t="s">
        <v>488</v>
      </c>
      <c r="C203" s="185" t="s">
        <v>13</v>
      </c>
      <c r="O203" s="228">
        <f>Daten_ALLG!$D$124*O202+(1-Daten_ALLG!$D$124)*Daten_ALLG!$M$120</f>
        <v>2.1016909731528957</v>
      </c>
      <c r="P203" s="229">
        <f>Daten_ALLG!$D$124*P202+(1-Daten_ALLG!$D$124)*Daten_ALLG!$M$120</f>
        <v>2.1016909731528957</v>
      </c>
    </row>
    <row r="204" spans="1:19" s="162" customFormat="1" hidden="1" outlineLevel="2" x14ac:dyDescent="0.25">
      <c r="A204" s="212" t="str">
        <f>IF(A129="","",A129)</f>
        <v/>
      </c>
      <c r="B204" s="163" t="s">
        <v>438</v>
      </c>
      <c r="D204" s="212" t="str">
        <f>IF(D129="","",D129)</f>
        <v/>
      </c>
      <c r="E204" s="212" t="str">
        <f>IF(E129="","",E129)</f>
        <v/>
      </c>
      <c r="F204" s="212" t="str">
        <f>IF(F129="","",F129)</f>
        <v/>
      </c>
      <c r="G204" s="212"/>
      <c r="O204" s="164"/>
      <c r="P204" s="165"/>
      <c r="R204" s="164"/>
      <c r="S204" s="165"/>
    </row>
    <row r="205" spans="1:19" s="170" customFormat="1" hidden="1" outlineLevel="2" x14ac:dyDescent="0.25">
      <c r="A205" s="166"/>
      <c r="B205" s="167"/>
      <c r="C205" s="166"/>
      <c r="D205" s="166" t="s">
        <v>389</v>
      </c>
      <c r="E205" s="166" t="s">
        <v>399</v>
      </c>
      <c r="F205" s="166" t="s">
        <v>398</v>
      </c>
      <c r="G205" s="166"/>
      <c r="H205" s="166"/>
      <c r="J205" s="166"/>
      <c r="K205" s="166"/>
      <c r="L205" s="166"/>
      <c r="M205" s="166"/>
      <c r="N205" s="166"/>
      <c r="O205" s="168" t="s">
        <v>319</v>
      </c>
      <c r="P205" s="169" t="s">
        <v>332</v>
      </c>
      <c r="R205" s="171"/>
      <c r="S205" s="172"/>
    </row>
    <row r="206" spans="1:19" hidden="1" outlineLevel="2" x14ac:dyDescent="0.25">
      <c r="B206" s="174" t="s">
        <v>178</v>
      </c>
      <c r="C206" s="185" t="s">
        <v>13</v>
      </c>
      <c r="D206" s="220"/>
      <c r="E206" s="191">
        <f>D123/(D123+D128)</f>
        <v>0.9</v>
      </c>
      <c r="F206" s="191">
        <f>1-E206</f>
        <v>9.9999999999999978E-2</v>
      </c>
      <c r="G206" s="185"/>
    </row>
    <row r="207" spans="1:19" hidden="1" outlineLevel="2" x14ac:dyDescent="0.25">
      <c r="B207" s="174" t="s">
        <v>488</v>
      </c>
      <c r="C207" s="185" t="s">
        <v>13</v>
      </c>
      <c r="D207" s="191">
        <f>$E$206*E207+$F$206*F207</f>
        <v>2.1573271429971457</v>
      </c>
      <c r="E207" s="191">
        <f>O203</f>
        <v>2.1016909731528957</v>
      </c>
      <c r="F207" s="191">
        <f>O197</f>
        <v>2.6580526715953954</v>
      </c>
      <c r="G207" s="215" t="s">
        <v>563</v>
      </c>
      <c r="O207" s="228">
        <f>IF($A204&lt;&gt;"",IF($D204="V",$D207,IF($E204="V",$E207,IF($F204="V",$F207,0))),$D207)</f>
        <v>2.1573271429971457</v>
      </c>
      <c r="P207" s="229">
        <f>IF($A204&lt;&gt;"",IF($D204="N",$D208,IF($E204="N",$E208,IF($F204="N",$F208,SUMPRODUCT(D208:F208,D209:F209)))),$D208)</f>
        <v>2.1573271429971457</v>
      </c>
    </row>
    <row r="208" spans="1:19" hidden="1" outlineLevel="2" x14ac:dyDescent="0.25">
      <c r="C208" s="185" t="s">
        <v>13</v>
      </c>
      <c r="D208" s="191">
        <f>$E$206*E208+$F$206*F208</f>
        <v>2.1573271429971457</v>
      </c>
      <c r="E208" s="191">
        <f>P203</f>
        <v>2.1016909731528957</v>
      </c>
      <c r="F208" s="191">
        <f>P197</f>
        <v>2.6580526715953954</v>
      </c>
      <c r="G208" s="174" t="s">
        <v>564</v>
      </c>
    </row>
    <row r="209" spans="1:19" hidden="1" outlineLevel="2" x14ac:dyDescent="0.25">
      <c r="C209" s="185"/>
      <c r="D209" s="218">
        <f>IF(D204="V",1,0)</f>
        <v>0</v>
      </c>
      <c r="E209" s="218">
        <f t="shared" ref="E209:F209" si="7">IF(E204="V",1,0)</f>
        <v>0</v>
      </c>
      <c r="F209" s="218">
        <f t="shared" si="7"/>
        <v>0</v>
      </c>
      <c r="G209" s="218"/>
      <c r="H209" s="174"/>
    </row>
    <row r="210" spans="1:19" hidden="1" outlineLevel="2" x14ac:dyDescent="0.25">
      <c r="B210" s="174" t="s">
        <v>420</v>
      </c>
      <c r="C210" s="185" t="s">
        <v>368</v>
      </c>
      <c r="D210" s="191">
        <f>$E$206*E210+$F$206*F210</f>
        <v>18.040287440073641</v>
      </c>
      <c r="E210" s="191">
        <f>O191</f>
        <v>18.036435025403069</v>
      </c>
      <c r="F210" s="191">
        <f>O180</f>
        <v>18.074959172108787</v>
      </c>
      <c r="G210" s="215" t="s">
        <v>563</v>
      </c>
      <c r="O210" s="226">
        <f>IF($A204&lt;&gt;"",IF($D204="V",$D210,IF($E204="V",$E210,IF($F204="V",$F210,0))),$D210)</f>
        <v>18.040287440073641</v>
      </c>
      <c r="P210" s="227">
        <f>IF($A204&lt;&gt;"",IF($D204="N",$D211,IF($E204="N",$E211,IF($F204="N",$F211,SUMPRODUCT(D211:F211,D212:F212)))),$D211)</f>
        <v>18.040287440073641</v>
      </c>
    </row>
    <row r="211" spans="1:19" hidden="1" outlineLevel="2" x14ac:dyDescent="0.25">
      <c r="C211" s="185" t="s">
        <v>368</v>
      </c>
      <c r="D211" s="191">
        <f>$E$206*E211+$F$206*F211</f>
        <v>18.040287440073641</v>
      </c>
      <c r="E211" s="191">
        <f>P191</f>
        <v>18.036435025403069</v>
      </c>
      <c r="F211" s="191">
        <f>P180</f>
        <v>18.074959172108787</v>
      </c>
      <c r="G211" s="174" t="s">
        <v>564</v>
      </c>
    </row>
    <row r="212" spans="1:19" hidden="1" outlineLevel="2" x14ac:dyDescent="0.25">
      <c r="C212" s="185"/>
      <c r="D212" s="218">
        <f>IF(D204="V",1,0)</f>
        <v>0</v>
      </c>
      <c r="E212" s="218">
        <f t="shared" ref="E212:F212" si="8">IF(E204="V",1,0)</f>
        <v>0</v>
      </c>
      <c r="F212" s="218">
        <f t="shared" si="8"/>
        <v>0</v>
      </c>
      <c r="G212" s="218"/>
      <c r="H212" s="174"/>
    </row>
    <row r="213" spans="1:19" s="162" customFormat="1" hidden="1" outlineLevel="2" x14ac:dyDescent="0.25">
      <c r="B213" s="163" t="s">
        <v>490</v>
      </c>
      <c r="O213" s="164"/>
      <c r="P213" s="165"/>
      <c r="R213" s="164"/>
      <c r="S213" s="165"/>
    </row>
    <row r="214" spans="1:19" s="170" customFormat="1" hidden="1" outlineLevel="2" x14ac:dyDescent="0.25">
      <c r="A214" s="166"/>
      <c r="B214" s="167"/>
      <c r="C214" s="166"/>
      <c r="D214" s="166"/>
      <c r="E214" s="166"/>
      <c r="F214" s="166"/>
      <c r="G214" s="166"/>
      <c r="H214" s="166"/>
      <c r="J214" s="166"/>
      <c r="K214" s="166"/>
      <c r="L214" s="166"/>
      <c r="M214" s="166"/>
      <c r="N214" s="166"/>
      <c r="O214" s="168" t="s">
        <v>319</v>
      </c>
      <c r="P214" s="169" t="s">
        <v>332</v>
      </c>
      <c r="R214" s="171"/>
      <c r="S214" s="172"/>
    </row>
    <row r="215" spans="1:19" hidden="1" outlineLevel="2" x14ac:dyDescent="0.25">
      <c r="B215" s="174" t="s">
        <v>424</v>
      </c>
      <c r="C215" s="185" t="s">
        <v>64</v>
      </c>
      <c r="D215" s="219">
        <f>Daten_ALLG!$D$7</f>
        <v>9.60602185258848</v>
      </c>
      <c r="E215" s="230"/>
    </row>
    <row r="216" spans="1:19" hidden="1" outlineLevel="2" x14ac:dyDescent="0.25">
      <c r="B216" s="174" t="s">
        <v>407</v>
      </c>
      <c r="C216" s="185" t="s">
        <v>64</v>
      </c>
      <c r="D216" s="214">
        <f>Daten_ALLG!$D$37</f>
        <v>55</v>
      </c>
      <c r="E216" s="220"/>
    </row>
    <row r="217" spans="1:19" hidden="1" outlineLevel="2" x14ac:dyDescent="0.25">
      <c r="B217" s="174" t="s">
        <v>491</v>
      </c>
      <c r="C217" s="185" t="s">
        <v>13</v>
      </c>
      <c r="O217" s="224">
        <f>(273+D216+Daten_ALLG!$D$128)/(D216-D215+Daten_ALLG!$D$128-Daten_ALLG!$D$127)*Daten_ALLG!$M$135</f>
        <v>1.8541416735549872</v>
      </c>
      <c r="P217" s="225">
        <f>(273+D216+Daten_ALLG!$D$128)/(D216-D215+Daten_ALLG!$D$128-Daten_ALLG!$D$127)*Daten_ALLG!$M$135</f>
        <v>1.8541416735549872</v>
      </c>
    </row>
    <row r="218" spans="1:19" hidden="1" outlineLevel="2" x14ac:dyDescent="0.25">
      <c r="B218" s="174" t="s">
        <v>492</v>
      </c>
      <c r="C218" s="185" t="s">
        <v>13</v>
      </c>
      <c r="O218" s="228">
        <f>Daten_ALLG!$D$124*O217+(1-Daten_ALLG!$D$124)*Daten_ALLG!$M$120</f>
        <v>1.7584778061168285</v>
      </c>
      <c r="P218" s="229">
        <f>Daten_ALLG!$D$124*P217+(1-Daten_ALLG!$D$124)*Daten_ALLG!$M$120</f>
        <v>1.7584778061168285</v>
      </c>
    </row>
    <row r="219" spans="1:19" s="159" customFormat="1" ht="14.25" customHeight="1" collapsed="1" x14ac:dyDescent="0.25">
      <c r="A219" s="156" t="s">
        <v>440</v>
      </c>
      <c r="B219" s="157"/>
      <c r="C219" s="157"/>
      <c r="D219" s="158"/>
      <c r="O219" s="160"/>
      <c r="P219" s="161"/>
      <c r="R219" s="160"/>
      <c r="S219" s="161"/>
    </row>
    <row r="220" spans="1:19" s="162" customFormat="1" hidden="1" outlineLevel="2" x14ac:dyDescent="0.25">
      <c r="B220" s="163" t="s">
        <v>417</v>
      </c>
      <c r="O220" s="164"/>
      <c r="P220" s="165"/>
      <c r="R220" s="164"/>
      <c r="S220" s="165"/>
    </row>
    <row r="221" spans="1:19" s="170" customFormat="1" hidden="1" outlineLevel="2" x14ac:dyDescent="0.25">
      <c r="A221" s="166"/>
      <c r="B221" s="167"/>
      <c r="C221" s="166"/>
      <c r="D221" s="166" t="s">
        <v>563</v>
      </c>
      <c r="E221" s="166" t="s">
        <v>564</v>
      </c>
      <c r="F221" s="166"/>
      <c r="G221" s="166"/>
      <c r="H221" s="166"/>
      <c r="J221" s="166"/>
      <c r="K221" s="166"/>
      <c r="L221" s="166"/>
      <c r="M221" s="166"/>
      <c r="N221" s="166"/>
      <c r="O221" s="168" t="s">
        <v>319</v>
      </c>
      <c r="P221" s="169" t="s">
        <v>332</v>
      </c>
      <c r="R221" s="171"/>
      <c r="S221" s="172"/>
    </row>
    <row r="222" spans="1:19" hidden="1" outlineLevel="2" x14ac:dyDescent="0.25">
      <c r="B222" s="174" t="s">
        <v>423</v>
      </c>
      <c r="C222" s="185" t="s">
        <v>64</v>
      </c>
      <c r="D222" s="223">
        <f>Daten_ALLG!$D$17</f>
        <v>-2</v>
      </c>
    </row>
    <row r="223" spans="1:19" hidden="1" outlineLevel="2" x14ac:dyDescent="0.25">
      <c r="B223" s="174" t="s">
        <v>407</v>
      </c>
      <c r="C223" s="185" t="s">
        <v>64</v>
      </c>
      <c r="D223" s="214">
        <f>Daten_ALLG!$D$81+Daten_ALLG!$F$81*$O$94</f>
        <v>41.839428181776768</v>
      </c>
      <c r="E223" s="214">
        <f>Daten_ALLG!$D$81+Daten_ALLG!$F$81*$P$94</f>
        <v>41.839428181776768</v>
      </c>
    </row>
    <row r="224" spans="1:19" hidden="1" outlineLevel="2" x14ac:dyDescent="0.25">
      <c r="B224" s="174" t="s">
        <v>416</v>
      </c>
      <c r="C224" s="185" t="s">
        <v>13</v>
      </c>
      <c r="D224" s="191">
        <f>(273+D223+Daten_ALLG!$D$128)/(D223-D222+Daten_ALLG!$D$128-Daten_ALLG!$D$127)*Daten_ALLG!$M$136</f>
        <v>2.0780592950227232</v>
      </c>
      <c r="E224" s="191">
        <f>(273+E223+Daten_ALLG!$D$128)/(E223-D222+Daten_ALLG!$D$128-Daten_ALLG!$D$127)*Daten_ALLG!$M$136</f>
        <v>2.0780592950227232</v>
      </c>
    </row>
    <row r="225" spans="1:19" hidden="1" outlineLevel="2" x14ac:dyDescent="0.25">
      <c r="B225" s="174" t="s">
        <v>763</v>
      </c>
      <c r="C225" s="185" t="s">
        <v>13</v>
      </c>
      <c r="D225" s="191">
        <f>D223*Daten_ALLG!$F$132+Daten_ALLG!$D$132</f>
        <v>1.1243532396686682</v>
      </c>
      <c r="E225" s="191">
        <f>E223*Daten_ALLG!$F$132+Daten_ALLG!$D$132</f>
        <v>1.1243532396686682</v>
      </c>
    </row>
    <row r="226" spans="1:19" hidden="1" outlineLevel="2" x14ac:dyDescent="0.25">
      <c r="B226" s="174" t="s">
        <v>419</v>
      </c>
      <c r="C226" s="185" t="s">
        <v>13</v>
      </c>
      <c r="O226" s="224">
        <f>D224*D225/Daten_ALLG!$M$140</f>
        <v>0.95320992528503479</v>
      </c>
      <c r="P226" s="225">
        <f>E224*E225/Daten_ALLG!$M$140</f>
        <v>0.95320992528503479</v>
      </c>
    </row>
    <row r="227" spans="1:19" hidden="1" outlineLevel="2" x14ac:dyDescent="0.25">
      <c r="B227" s="174" t="s">
        <v>445</v>
      </c>
      <c r="C227" s="185" t="s">
        <v>368</v>
      </c>
      <c r="O227" s="226">
        <f>$O$100/O226</f>
        <v>27.248005495371135</v>
      </c>
      <c r="P227" s="227">
        <f>$P$100/P226</f>
        <v>27.248005495371135</v>
      </c>
    </row>
    <row r="228" spans="1:19" s="162" customFormat="1" hidden="1" outlineLevel="2" x14ac:dyDescent="0.25">
      <c r="B228" s="163" t="s">
        <v>418</v>
      </c>
      <c r="O228" s="164"/>
      <c r="P228" s="165"/>
      <c r="R228" s="164"/>
      <c r="S228" s="165"/>
    </row>
    <row r="229" spans="1:19" s="170" customFormat="1" hidden="1" outlineLevel="2" x14ac:dyDescent="0.25">
      <c r="A229" s="166"/>
      <c r="B229" s="167"/>
      <c r="C229" s="166"/>
      <c r="D229" s="166" t="s">
        <v>563</v>
      </c>
      <c r="E229" s="166" t="s">
        <v>564</v>
      </c>
      <c r="F229" s="166"/>
      <c r="G229" s="166"/>
      <c r="H229" s="166"/>
      <c r="J229" s="166"/>
      <c r="K229" s="166"/>
      <c r="L229" s="166"/>
      <c r="M229" s="166"/>
      <c r="N229" s="166"/>
      <c r="O229" s="168" t="s">
        <v>319</v>
      </c>
      <c r="P229" s="169" t="s">
        <v>332</v>
      </c>
      <c r="R229" s="171"/>
      <c r="S229" s="172"/>
    </row>
    <row r="230" spans="1:19" hidden="1" outlineLevel="2" x14ac:dyDescent="0.25">
      <c r="B230" s="174" t="s">
        <v>423</v>
      </c>
      <c r="C230" s="185" t="s">
        <v>64</v>
      </c>
      <c r="D230" s="223">
        <f>Daten_ALLG!$D$17</f>
        <v>-2</v>
      </c>
    </row>
    <row r="231" spans="1:19" hidden="1" outlineLevel="2" x14ac:dyDescent="0.25">
      <c r="B231" s="174" t="s">
        <v>407</v>
      </c>
      <c r="C231" s="185" t="s">
        <v>64</v>
      </c>
      <c r="D231" s="214">
        <f>Daten_ALLG!$D$80+Daten_ALLG!$F$80*$O$94</f>
        <v>64.54122337650503</v>
      </c>
      <c r="E231" s="214">
        <f>Daten_ALLG!$D$80+Daten_ALLG!$F$80*$P$94</f>
        <v>64.54122337650503</v>
      </c>
    </row>
    <row r="232" spans="1:19" hidden="1" outlineLevel="2" x14ac:dyDescent="0.25">
      <c r="B232" s="174" t="s">
        <v>416</v>
      </c>
      <c r="C232" s="185" t="s">
        <v>13</v>
      </c>
      <c r="D232" s="191">
        <f>(273+D231+Daten_ALLG!$D$128)/(D231-D230+Daten_ALLG!$D$128-Daten_ALLG!$D$127)*Daten_ALLG!$M$136</f>
        <v>1.5487271434345551</v>
      </c>
      <c r="E232" s="191">
        <f>(273+E231+Daten_ALLG!$D$128)/(E231-D230+Daten_ALLG!$D$128-Daten_ALLG!$D$127)*Daten_ALLG!$M$136</f>
        <v>1.5487271434345551</v>
      </c>
    </row>
    <row r="233" spans="1:19" hidden="1" outlineLevel="2" x14ac:dyDescent="0.25">
      <c r="B233" s="174" t="s">
        <v>763</v>
      </c>
      <c r="C233" s="185" t="s">
        <v>13</v>
      </c>
      <c r="D233" s="191">
        <f>D231*Daten_ALLG!$F$132+Daten_ALLG!$D$132</f>
        <v>1.5371131523000909</v>
      </c>
      <c r="E233" s="191">
        <f>E231*Daten_ALLG!$F$132+Daten_ALLG!$D$132</f>
        <v>1.5371131523000909</v>
      </c>
    </row>
    <row r="234" spans="1:19" hidden="1" outlineLevel="2" x14ac:dyDescent="0.25">
      <c r="B234" s="174" t="s">
        <v>419</v>
      </c>
      <c r="C234" s="185" t="s">
        <v>13</v>
      </c>
      <c r="O234" s="224">
        <f>D232*D233/Daten_ALLG!$M$140</f>
        <v>0.97119982015548734</v>
      </c>
      <c r="P234" s="225">
        <f>E232*E233/Daten_ALLG!$M$140</f>
        <v>0.97119982015548734</v>
      </c>
    </row>
    <row r="235" spans="1:19" hidden="1" outlineLevel="2" x14ac:dyDescent="0.25">
      <c r="B235" s="174" t="s">
        <v>445</v>
      </c>
      <c r="C235" s="185" t="s">
        <v>368</v>
      </c>
      <c r="O235" s="226">
        <f>$O$100/O234</f>
        <v>26.743280572530065</v>
      </c>
      <c r="P235" s="227">
        <f>$P$100/P234</f>
        <v>26.743280572530065</v>
      </c>
    </row>
    <row r="236" spans="1:19" s="162" customFormat="1" hidden="1" outlineLevel="2" x14ac:dyDescent="0.25">
      <c r="B236" s="163" t="s">
        <v>493</v>
      </c>
      <c r="O236" s="164"/>
      <c r="P236" s="165"/>
      <c r="R236" s="164"/>
      <c r="S236" s="165"/>
    </row>
    <row r="237" spans="1:19" s="170" customFormat="1" hidden="1" outlineLevel="2" x14ac:dyDescent="0.25">
      <c r="A237" s="166"/>
      <c r="B237" s="167"/>
      <c r="C237" s="166"/>
      <c r="D237" s="166" t="s">
        <v>563</v>
      </c>
      <c r="E237" s="166" t="s">
        <v>564</v>
      </c>
      <c r="F237" s="166"/>
      <c r="G237" s="166"/>
      <c r="H237" s="166"/>
      <c r="J237" s="166"/>
      <c r="K237" s="166"/>
      <c r="L237" s="166"/>
      <c r="M237" s="166"/>
      <c r="N237" s="166"/>
      <c r="O237" s="168" t="s">
        <v>319</v>
      </c>
      <c r="P237" s="169" t="s">
        <v>332</v>
      </c>
      <c r="R237" s="171"/>
      <c r="S237" s="172"/>
    </row>
    <row r="238" spans="1:19" hidden="1" outlineLevel="2" x14ac:dyDescent="0.25">
      <c r="B238" s="174" t="s">
        <v>426</v>
      </c>
      <c r="C238" s="185" t="s">
        <v>64</v>
      </c>
      <c r="D238" s="219">
        <f>Daten_ALLG!$D$13</f>
        <v>8.60602185258848</v>
      </c>
      <c r="E238" s="219">
        <f>Daten_ALLG!$D$13</f>
        <v>8.60602185258848</v>
      </c>
    </row>
    <row r="239" spans="1:19" hidden="1" outlineLevel="2" x14ac:dyDescent="0.25">
      <c r="B239" s="174" t="s">
        <v>407</v>
      </c>
      <c r="C239" s="185" t="s">
        <v>64</v>
      </c>
      <c r="D239" s="214">
        <f>Daten_ALLG!$D$85+Daten_ALLG!$F$85*$O$94</f>
        <v>30.472467355353075</v>
      </c>
      <c r="E239" s="214">
        <f>Daten_ALLG!$D$85+Daten_ALLG!$F$85*$P$94</f>
        <v>30.472467355353075</v>
      </c>
    </row>
    <row r="240" spans="1:19" hidden="1" outlineLevel="2" x14ac:dyDescent="0.25">
      <c r="B240" s="174" t="s">
        <v>487</v>
      </c>
      <c r="C240" s="185" t="s">
        <v>13</v>
      </c>
      <c r="O240" s="228">
        <f>(273+D239+Daten_ALLG!$D$128)/(D239-D238+Daten_ALLG!$D$128-Daten_ALLG!$D$127)*Daten_ALLG!$M$136</f>
        <v>3.4775024999612412</v>
      </c>
      <c r="P240" s="229">
        <f>(273+E239+Daten_ALLG!$D$128)/(E239-E238+Daten_ALLG!$D$128-Daten_ALLG!$D$127)*Daten_ALLG!$M$136</f>
        <v>3.4775024999612412</v>
      </c>
    </row>
    <row r="241" spans="1:19" s="162" customFormat="1" hidden="1" outlineLevel="2" x14ac:dyDescent="0.25">
      <c r="B241" s="163" t="s">
        <v>494</v>
      </c>
      <c r="O241" s="164"/>
      <c r="P241" s="165"/>
      <c r="R241" s="164"/>
      <c r="S241" s="165"/>
    </row>
    <row r="242" spans="1:19" s="170" customFormat="1" hidden="1" outlineLevel="2" x14ac:dyDescent="0.25">
      <c r="A242" s="166"/>
      <c r="B242" s="167"/>
      <c r="C242" s="166"/>
      <c r="D242" s="166" t="s">
        <v>563</v>
      </c>
      <c r="E242" s="166" t="s">
        <v>564</v>
      </c>
      <c r="F242" s="166"/>
      <c r="G242" s="166"/>
      <c r="H242" s="166"/>
      <c r="J242" s="166"/>
      <c r="K242" s="166"/>
      <c r="L242" s="166"/>
      <c r="M242" s="166"/>
      <c r="N242" s="166"/>
      <c r="O242" s="168" t="s">
        <v>319</v>
      </c>
      <c r="P242" s="169" t="s">
        <v>332</v>
      </c>
      <c r="R242" s="171"/>
      <c r="S242" s="172"/>
    </row>
    <row r="243" spans="1:19" hidden="1" outlineLevel="2" x14ac:dyDescent="0.25">
      <c r="B243" s="174" t="s">
        <v>426</v>
      </c>
      <c r="C243" s="185" t="s">
        <v>64</v>
      </c>
      <c r="D243" s="219">
        <f>Daten_ALLG!$D$13</f>
        <v>8.60602185258848</v>
      </c>
      <c r="E243" s="219">
        <f>Daten_ALLG!$D$13</f>
        <v>8.60602185258848</v>
      </c>
    </row>
    <row r="244" spans="1:19" hidden="1" outlineLevel="2" x14ac:dyDescent="0.25">
      <c r="B244" s="174" t="s">
        <v>407</v>
      </c>
      <c r="C244" s="185" t="s">
        <v>64</v>
      </c>
      <c r="D244" s="214">
        <f>Daten_ALLG!$D$84+Daten_ALLG!$F$84*$O$94</f>
        <v>40.791465171138654</v>
      </c>
      <c r="E244" s="214">
        <f>Daten_ALLG!$D$84+Daten_ALLG!$F$84*$P$94</f>
        <v>40.791465171138654</v>
      </c>
    </row>
    <row r="245" spans="1:19" hidden="1" outlineLevel="2" x14ac:dyDescent="0.25">
      <c r="B245" s="174" t="s">
        <v>487</v>
      </c>
      <c r="C245" s="185" t="s">
        <v>13</v>
      </c>
      <c r="O245" s="228">
        <f>(273+D244+Daten_ALLG!$D$128)/(D244-D243+Daten_ALLG!$D$128-Daten_ALLG!$D$127)*Daten_ALLG!$M$136</f>
        <v>2.6718405793628275</v>
      </c>
      <c r="P245" s="229">
        <f>(273+E244+Daten_ALLG!$D$128)/(E244-E243+Daten_ALLG!$D$128-Daten_ALLG!$D$127)*Daten_ALLG!$M$136</f>
        <v>2.6718405793628275</v>
      </c>
    </row>
    <row r="246" spans="1:19" s="162" customFormat="1" hidden="1" outlineLevel="2" x14ac:dyDescent="0.25">
      <c r="A246" s="212" t="str">
        <f>IF(A129="","",A129)</f>
        <v/>
      </c>
      <c r="B246" s="163" t="s">
        <v>438</v>
      </c>
      <c r="D246" s="212" t="str">
        <f>IF(D129="","",D129)</f>
        <v/>
      </c>
      <c r="E246" s="212" t="str">
        <f>IF(E129="","",E129)</f>
        <v/>
      </c>
      <c r="F246" s="212" t="str">
        <f t="shared" ref="F246:G246" si="9">IF(F129="","",F129)</f>
        <v/>
      </c>
      <c r="G246" s="212" t="str">
        <f t="shared" si="9"/>
        <v/>
      </c>
      <c r="O246" s="164"/>
      <c r="P246" s="165"/>
      <c r="R246" s="164"/>
      <c r="S246" s="165"/>
    </row>
    <row r="247" spans="1:19" s="170" customFormat="1" hidden="1" outlineLevel="2" x14ac:dyDescent="0.25">
      <c r="A247" s="166"/>
      <c r="B247" s="167"/>
      <c r="C247" s="166"/>
      <c r="D247" s="166" t="s">
        <v>389</v>
      </c>
      <c r="E247" s="166" t="s">
        <v>399</v>
      </c>
      <c r="F247" s="166" t="s">
        <v>398</v>
      </c>
      <c r="G247" s="166"/>
      <c r="H247" s="166"/>
      <c r="J247" s="166"/>
      <c r="K247" s="166"/>
      <c r="L247" s="166"/>
      <c r="M247" s="166"/>
      <c r="N247" s="166"/>
      <c r="O247" s="168" t="s">
        <v>319</v>
      </c>
      <c r="P247" s="169" t="s">
        <v>332</v>
      </c>
      <c r="R247" s="171"/>
      <c r="S247" s="172"/>
    </row>
    <row r="248" spans="1:19" hidden="1" outlineLevel="2" x14ac:dyDescent="0.25">
      <c r="B248" s="174" t="s">
        <v>178</v>
      </c>
      <c r="C248" s="185" t="s">
        <v>13</v>
      </c>
      <c r="D248" s="220"/>
      <c r="E248" s="191">
        <f>D123/(D128+D123)</f>
        <v>0.9</v>
      </c>
      <c r="F248" s="191">
        <f>1-E248</f>
        <v>9.9999999999999978E-2</v>
      </c>
      <c r="G248" s="185"/>
    </row>
    <row r="249" spans="1:19" hidden="1" outlineLevel="2" x14ac:dyDescent="0.25">
      <c r="B249" s="174" t="s">
        <v>487</v>
      </c>
      <c r="C249" s="185" t="s">
        <v>13</v>
      </c>
      <c r="D249" s="191">
        <f>$E$206*E249+$F$206*F249</f>
        <v>2.7524067714226685</v>
      </c>
      <c r="E249" s="191">
        <f>O245</f>
        <v>2.6718405793628275</v>
      </c>
      <c r="F249" s="191">
        <f>O240</f>
        <v>3.4775024999612412</v>
      </c>
      <c r="G249" s="215" t="s">
        <v>563</v>
      </c>
      <c r="O249" s="228">
        <f>IF($A246&lt;&gt;"",IF($D246="V",$D249,IF($E246="V",$E249,IF($F246="V",$F249,0))),$D249)</f>
        <v>2.7524067714226685</v>
      </c>
      <c r="P249" s="229">
        <f>IF($A246&lt;&gt;"",IF($D246="N",$D250,IF($E246="N",$E250,IF($F246="N",$F250,SUMPRODUCT(D250:F250,D251:F251)))),$D250)</f>
        <v>2.7524067714226685</v>
      </c>
    </row>
    <row r="250" spans="1:19" hidden="1" outlineLevel="2" x14ac:dyDescent="0.25">
      <c r="C250" s="185" t="s">
        <v>13</v>
      </c>
      <c r="D250" s="191">
        <f>$E$206*E250+$F$206*F250</f>
        <v>2.7524067714226685</v>
      </c>
      <c r="E250" s="191">
        <f>P245</f>
        <v>2.6718405793628275</v>
      </c>
      <c r="F250" s="191">
        <f>P240</f>
        <v>3.4775024999612412</v>
      </c>
      <c r="G250" s="174" t="s">
        <v>564</v>
      </c>
    </row>
    <row r="251" spans="1:19" hidden="1" outlineLevel="2" x14ac:dyDescent="0.25">
      <c r="C251" s="185"/>
      <c r="D251" s="218">
        <f>IF(D246="V",1,0)</f>
        <v>0</v>
      </c>
      <c r="E251" s="218">
        <f t="shared" ref="E251:F251" si="10">IF(E246="V",1,0)</f>
        <v>0</v>
      </c>
      <c r="F251" s="218">
        <f t="shared" si="10"/>
        <v>0</v>
      </c>
      <c r="G251" s="218"/>
      <c r="H251" s="174"/>
    </row>
    <row r="252" spans="1:19" hidden="1" outlineLevel="2" x14ac:dyDescent="0.25">
      <c r="B252" s="174" t="s">
        <v>420</v>
      </c>
      <c r="C252" s="185" t="s">
        <v>368</v>
      </c>
      <c r="D252" s="191">
        <f>$E$206*E252+$F$206*F252</f>
        <v>26.793753064814169</v>
      </c>
      <c r="E252" s="191">
        <f>O235</f>
        <v>26.743280572530065</v>
      </c>
      <c r="F252" s="191">
        <f>O227</f>
        <v>27.248005495371135</v>
      </c>
      <c r="G252" s="215" t="s">
        <v>563</v>
      </c>
      <c r="O252" s="226">
        <f>IF($A246&lt;&gt;"",IF($D246="V",$D252,IF($E246="V",$E252,IF($F246="V",$F252,0))),$D252)</f>
        <v>26.793753064814169</v>
      </c>
      <c r="P252" s="227">
        <f>IF($A246&lt;&gt;"",IF($D246="N",$D253,IF($E246="N",$E253,IF($F246="N",$F253,SUMPRODUCT(D253:F253,D254:F254)))),$D253)</f>
        <v>26.793753064814169</v>
      </c>
    </row>
    <row r="253" spans="1:19" hidden="1" outlineLevel="2" x14ac:dyDescent="0.25">
      <c r="C253" s="185" t="s">
        <v>368</v>
      </c>
      <c r="D253" s="191">
        <f>$E$206*E253+$F$206*F253</f>
        <v>26.793753064814169</v>
      </c>
      <c r="E253" s="191">
        <f>P235</f>
        <v>26.743280572530065</v>
      </c>
      <c r="F253" s="191">
        <f>P227</f>
        <v>27.248005495371135</v>
      </c>
      <c r="G253" s="174" t="s">
        <v>564</v>
      </c>
    </row>
    <row r="254" spans="1:19" hidden="1" outlineLevel="2" x14ac:dyDescent="0.25">
      <c r="C254" s="185"/>
      <c r="D254" s="218">
        <f>IF(D246="V",1,0)</f>
        <v>0</v>
      </c>
      <c r="E254" s="218">
        <f t="shared" ref="E254:F254" si="11">IF(E246="V",1,0)</f>
        <v>0</v>
      </c>
      <c r="F254" s="218">
        <f t="shared" si="11"/>
        <v>0</v>
      </c>
      <c r="G254" s="218"/>
      <c r="H254" s="174"/>
    </row>
    <row r="255" spans="1:19" s="162" customFormat="1" hidden="1" outlineLevel="2" x14ac:dyDescent="0.25">
      <c r="B255" s="163" t="s">
        <v>495</v>
      </c>
      <c r="O255" s="164"/>
      <c r="P255" s="165"/>
      <c r="R255" s="164"/>
      <c r="S255" s="165"/>
    </row>
    <row r="256" spans="1:19" s="170" customFormat="1" hidden="1" outlineLevel="2" x14ac:dyDescent="0.25">
      <c r="A256" s="166"/>
      <c r="B256" s="167"/>
      <c r="C256" s="166"/>
      <c r="D256" s="166"/>
      <c r="E256" s="166"/>
      <c r="F256" s="166"/>
      <c r="G256" s="166"/>
      <c r="H256" s="166"/>
      <c r="J256" s="166"/>
      <c r="K256" s="166"/>
      <c r="L256" s="166"/>
      <c r="M256" s="166"/>
      <c r="N256" s="166"/>
      <c r="O256" s="168" t="s">
        <v>319</v>
      </c>
      <c r="P256" s="169" t="s">
        <v>332</v>
      </c>
      <c r="R256" s="171"/>
      <c r="S256" s="172"/>
    </row>
    <row r="257" spans="1:19" hidden="1" outlineLevel="2" x14ac:dyDescent="0.25">
      <c r="B257" s="174" t="s">
        <v>426</v>
      </c>
      <c r="C257" s="185" t="s">
        <v>64</v>
      </c>
      <c r="D257" s="219">
        <f>Daten_ALLG!$D$8</f>
        <v>10.60602185258848</v>
      </c>
      <c r="E257" s="230"/>
    </row>
    <row r="258" spans="1:19" hidden="1" outlineLevel="2" x14ac:dyDescent="0.25">
      <c r="B258" s="174" t="s">
        <v>407</v>
      </c>
      <c r="C258" s="185" t="s">
        <v>64</v>
      </c>
      <c r="D258" s="214">
        <f>Daten_ALLG!$D$37</f>
        <v>55</v>
      </c>
      <c r="E258" s="220"/>
    </row>
    <row r="259" spans="1:19" hidden="1" outlineLevel="2" x14ac:dyDescent="0.25">
      <c r="B259" s="174" t="s">
        <v>491</v>
      </c>
      <c r="C259" s="185" t="s">
        <v>13</v>
      </c>
      <c r="O259" s="228">
        <f>(273+D258+Daten_ALLG!$D$128)/(D258-D257+Daten_ALLG!$D$128-Daten_ALLG!$D$127)*Daten_ALLG!$M$136</f>
        <v>2.1414674733100632</v>
      </c>
      <c r="P259" s="229">
        <f>(273+D258+Daten_ALLG!$D$128)/(D258-D257+Daten_ALLG!$D$128-Daten_ALLG!$D$127)*Daten_ALLG!$M$136</f>
        <v>2.1414674733100632</v>
      </c>
    </row>
    <row r="260" spans="1:19" s="159" customFormat="1" ht="14.25" customHeight="1" collapsed="1" x14ac:dyDescent="0.25">
      <c r="A260" s="156" t="s">
        <v>428</v>
      </c>
      <c r="B260" s="157"/>
      <c r="C260" s="157"/>
      <c r="D260" s="158"/>
      <c r="O260" s="160"/>
      <c r="P260" s="161"/>
      <c r="R260" s="160"/>
      <c r="S260" s="161"/>
    </row>
    <row r="261" spans="1:19" s="162" customFormat="1" hidden="1" outlineLevel="2" x14ac:dyDescent="0.25">
      <c r="B261" s="163" t="s">
        <v>429</v>
      </c>
      <c r="O261" s="164"/>
      <c r="P261" s="165"/>
      <c r="R261" s="164"/>
      <c r="S261" s="165"/>
    </row>
    <row r="262" spans="1:19" s="170" customFormat="1" hidden="1" outlineLevel="2" x14ac:dyDescent="0.25">
      <c r="A262" s="166"/>
      <c r="B262" s="167"/>
      <c r="C262" s="166"/>
      <c r="D262" s="166"/>
      <c r="E262" s="166"/>
      <c r="F262" s="166"/>
      <c r="G262" s="166"/>
      <c r="H262" s="166"/>
      <c r="J262" s="166"/>
      <c r="K262" s="166"/>
      <c r="L262" s="166"/>
      <c r="M262" s="166"/>
      <c r="N262" s="166"/>
      <c r="O262" s="168" t="s">
        <v>319</v>
      </c>
      <c r="P262" s="169" t="s">
        <v>332</v>
      </c>
      <c r="R262" s="171"/>
      <c r="S262" s="172"/>
    </row>
    <row r="263" spans="1:19" hidden="1" outlineLevel="2" x14ac:dyDescent="0.25">
      <c r="B263" s="173" t="s">
        <v>21</v>
      </c>
      <c r="C263" s="185" t="s">
        <v>13</v>
      </c>
      <c r="O263" s="231">
        <f>Daten_ALLG!$M116</f>
        <v>0.7</v>
      </c>
      <c r="P263" s="232">
        <f>Daten_ALLG!$M116</f>
        <v>0.7</v>
      </c>
    </row>
    <row r="264" spans="1:19" hidden="1" outlineLevel="2" x14ac:dyDescent="0.25">
      <c r="B264" s="173" t="s">
        <v>402</v>
      </c>
      <c r="C264" s="185" t="s">
        <v>13</v>
      </c>
      <c r="O264" s="231">
        <f>Daten_ALLG!$M117</f>
        <v>0.75</v>
      </c>
      <c r="P264" s="232">
        <f>Daten_ALLG!$M117</f>
        <v>0.75</v>
      </c>
    </row>
    <row r="265" spans="1:19" hidden="1" outlineLevel="2" x14ac:dyDescent="0.25">
      <c r="B265" s="173" t="s">
        <v>403</v>
      </c>
      <c r="C265" s="185" t="s">
        <v>13</v>
      </c>
      <c r="O265" s="231">
        <f>Daten_ALLG!$M118</f>
        <v>0.88</v>
      </c>
      <c r="P265" s="232">
        <f>Daten_ALLG!$M118</f>
        <v>0.88</v>
      </c>
    </row>
    <row r="266" spans="1:19" hidden="1" outlineLevel="2" x14ac:dyDescent="0.25">
      <c r="B266" s="173" t="s">
        <v>8</v>
      </c>
      <c r="C266" s="185" t="s">
        <v>13</v>
      </c>
      <c r="O266" s="231">
        <f>Daten_ALLG!$M119</f>
        <v>0.98</v>
      </c>
      <c r="P266" s="232">
        <f>Daten_ALLG!$M119</f>
        <v>0.98</v>
      </c>
    </row>
    <row r="267" spans="1:19" hidden="1" outlineLevel="2" x14ac:dyDescent="0.25">
      <c r="B267" s="173" t="s">
        <v>7</v>
      </c>
      <c r="C267" s="185" t="s">
        <v>13</v>
      </c>
      <c r="O267" s="231">
        <f>Daten_ALLG!$M120</f>
        <v>1</v>
      </c>
      <c r="P267" s="232">
        <f>Daten_ALLG!$M120</f>
        <v>1</v>
      </c>
    </row>
    <row r="268" spans="1:19" s="162" customFormat="1" hidden="1" outlineLevel="2" x14ac:dyDescent="0.25">
      <c r="B268" s="163" t="s">
        <v>448</v>
      </c>
      <c r="O268" s="164"/>
      <c r="P268" s="165"/>
      <c r="R268" s="164"/>
      <c r="S268" s="165"/>
    </row>
    <row r="269" spans="1:19" s="170" customFormat="1" hidden="1" outlineLevel="2" x14ac:dyDescent="0.25">
      <c r="A269" s="166"/>
      <c r="B269" s="167"/>
      <c r="C269" s="166"/>
      <c r="D269" s="166"/>
      <c r="E269" s="166"/>
      <c r="F269" s="166"/>
      <c r="G269" s="166"/>
      <c r="H269" s="166"/>
      <c r="J269" s="166"/>
      <c r="K269" s="166"/>
      <c r="L269" s="166"/>
      <c r="M269" s="166"/>
      <c r="N269" s="166"/>
      <c r="O269" s="168" t="s">
        <v>319</v>
      </c>
      <c r="P269" s="169" t="s">
        <v>332</v>
      </c>
      <c r="R269" s="171"/>
      <c r="S269" s="172"/>
    </row>
    <row r="270" spans="1:19" hidden="1" outlineLevel="2" x14ac:dyDescent="0.25">
      <c r="B270" s="173" t="s">
        <v>21</v>
      </c>
      <c r="C270" s="185" t="s">
        <v>368</v>
      </c>
      <c r="O270" s="198">
        <f>MAX($O$100,Daten_ALLG!$D$111)</f>
        <v>25.973069282408936</v>
      </c>
      <c r="P270" s="199">
        <f>MAX($P$100,Daten_ALLG!$D$111)</f>
        <v>25.973069282408936</v>
      </c>
    </row>
    <row r="271" spans="1:19" hidden="1" outlineLevel="2" x14ac:dyDescent="0.25">
      <c r="B271" s="173" t="s">
        <v>402</v>
      </c>
      <c r="C271" s="185" t="s">
        <v>368</v>
      </c>
      <c r="O271" s="198">
        <f>MAX($O$100,Daten_ALLG!$D$112)</f>
        <v>25.973069282408936</v>
      </c>
      <c r="P271" s="199">
        <f>MAX($P$100,Daten_ALLG!$D$112)</f>
        <v>25.973069282408936</v>
      </c>
    </row>
    <row r="272" spans="1:19" hidden="1" outlineLevel="2" x14ac:dyDescent="0.25">
      <c r="B272" s="173" t="s">
        <v>403</v>
      </c>
      <c r="C272" s="185" t="s">
        <v>368</v>
      </c>
      <c r="O272" s="198">
        <f>MAX($O$100,Daten_ALLG!$D$113)</f>
        <v>25.973069282408936</v>
      </c>
      <c r="P272" s="199">
        <f>MAX($P$100,Daten_ALLG!$D$113)</f>
        <v>25.973069282408936</v>
      </c>
    </row>
    <row r="273" spans="1:19" hidden="1" outlineLevel="2" x14ac:dyDescent="0.25">
      <c r="B273" s="173" t="s">
        <v>8</v>
      </c>
      <c r="C273" s="185" t="s">
        <v>368</v>
      </c>
      <c r="O273" s="198">
        <f>$O$100</f>
        <v>25.973069282408936</v>
      </c>
      <c r="P273" s="199">
        <f>$P$100</f>
        <v>25.973069282408936</v>
      </c>
    </row>
    <row r="274" spans="1:19" hidden="1" outlineLevel="2" x14ac:dyDescent="0.25">
      <c r="B274" s="173" t="s">
        <v>7</v>
      </c>
      <c r="C274" s="185" t="s">
        <v>368</v>
      </c>
      <c r="O274" s="198">
        <f>$O$100</f>
        <v>25.973069282408936</v>
      </c>
      <c r="P274" s="199">
        <f>$P$100</f>
        <v>25.973069282408936</v>
      </c>
    </row>
    <row r="275" spans="1:19" s="159" customFormat="1" ht="14.25" customHeight="1" thickBot="1" x14ac:dyDescent="0.3">
      <c r="A275" s="156" t="s">
        <v>451</v>
      </c>
      <c r="B275" s="157"/>
      <c r="C275" s="157"/>
      <c r="D275" s="158"/>
      <c r="O275" s="160"/>
      <c r="P275" s="161"/>
      <c r="R275" s="160"/>
      <c r="S275" s="161"/>
    </row>
    <row r="276" spans="1:19" s="162" customFormat="1" ht="15.75" outlineLevel="1" thickBot="1" x14ac:dyDescent="0.3">
      <c r="A276" s="335" t="str">
        <f>IF(Bil_MFH_mQS!A276="","",Bil_MFH_mQS!A276)</f>
        <v/>
      </c>
      <c r="B276" s="163" t="s">
        <v>566</v>
      </c>
      <c r="D276" s="335" t="str">
        <f>IF(Bil_MFH_mQS!D276="","",Bil_MFH_mQS!D276)</f>
        <v/>
      </c>
      <c r="E276" s="335" t="str">
        <f>IF(Bil_MFH_mQS!E276="","",Bil_MFH_mQS!E276)</f>
        <v/>
      </c>
      <c r="F276" s="335" t="str">
        <f>IF(Bil_MFH_mQS!F276="","",Bil_MFH_mQS!F276)</f>
        <v/>
      </c>
      <c r="G276" s="335" t="str">
        <f>IF(Bil_MFH_mQS!G276="","",Bil_MFH_mQS!G276)</f>
        <v/>
      </c>
      <c r="H276" s="335" t="str">
        <f>IF(Bil_MFH_mQS!H276="","",Bil_MFH_mQS!H276)</f>
        <v/>
      </c>
      <c r="I276" s="335" t="str">
        <f>IF(Bil_MFH_mQS!I276="","",Bil_MFH_mQS!I276)</f>
        <v/>
      </c>
      <c r="J276" s="335" t="str">
        <f>IF(Bil_MFH_mQS!J276="","",Bil_MFH_mQS!J276)</f>
        <v/>
      </c>
      <c r="K276" s="335" t="str">
        <f>IF(Bil_MFH_mQS!K276="","",Bil_MFH_mQS!K276)</f>
        <v/>
      </c>
      <c r="L276" s="335" t="str">
        <f>IF(Bil_MFH_mQS!L276="","",Bil_MFH_mQS!L276)</f>
        <v/>
      </c>
      <c r="M276" s="335" t="str">
        <f>IF(Bil_MFH_mQS!M276="","",Bil_MFH_mQS!M276)</f>
        <v/>
      </c>
      <c r="O276" s="164"/>
      <c r="P276" s="165"/>
      <c r="R276" s="164" t="s">
        <v>457</v>
      </c>
      <c r="S276" s="165"/>
    </row>
    <row r="277" spans="1:19" s="170" customFormat="1" ht="15.75" outlineLevel="1" collapsed="1" thickBot="1" x14ac:dyDescent="0.3">
      <c r="A277" s="166"/>
      <c r="B277" s="167"/>
      <c r="C277" s="166"/>
      <c r="D277" s="166" t="s">
        <v>389</v>
      </c>
      <c r="E277" s="166" t="s">
        <v>6</v>
      </c>
      <c r="F277" s="166" t="s">
        <v>431</v>
      </c>
      <c r="G277" s="166" t="s">
        <v>432</v>
      </c>
      <c r="H277" s="166" t="s">
        <v>433</v>
      </c>
      <c r="I277" s="166" t="s">
        <v>434</v>
      </c>
      <c r="J277" s="166" t="s">
        <v>435</v>
      </c>
      <c r="K277" s="166" t="s">
        <v>7</v>
      </c>
      <c r="L277" s="166" t="s">
        <v>436</v>
      </c>
      <c r="M277" s="166" t="s">
        <v>437</v>
      </c>
      <c r="N277" s="166"/>
      <c r="O277" s="168" t="s">
        <v>319</v>
      </c>
      <c r="P277" s="169" t="s">
        <v>332</v>
      </c>
      <c r="R277" s="233" t="s">
        <v>455</v>
      </c>
      <c r="S277" s="172" t="s">
        <v>456</v>
      </c>
    </row>
    <row r="278" spans="1:19" ht="15.75" hidden="1" outlineLevel="2" thickBot="1" x14ac:dyDescent="0.3">
      <c r="B278" s="174" t="s">
        <v>178</v>
      </c>
      <c r="C278" s="234" t="s">
        <v>13</v>
      </c>
      <c r="E278" s="191">
        <f>Daten_MFH!$D$82</f>
        <v>2.1000000000000001E-2</v>
      </c>
      <c r="F278" s="191">
        <f>Daten_MFH!$D$83</f>
        <v>0.30059701492537316</v>
      </c>
      <c r="G278" s="191">
        <f>Daten_MFH!$D$84</f>
        <v>0.15074545454545454</v>
      </c>
      <c r="H278" s="191">
        <f>Daten_MFH!$D$85</f>
        <v>0.26140298507462689</v>
      </c>
      <c r="I278" s="191">
        <f>Daten_MFH!$D$86</f>
        <v>2.2654545454545452E-2</v>
      </c>
      <c r="J278" s="191">
        <f>Daten_MFH!$D$87</f>
        <v>0.19200000000000003</v>
      </c>
      <c r="K278" s="191">
        <f>Daten_MFH!$D$88</f>
        <v>3.4000000000000002E-2</v>
      </c>
      <c r="L278" s="191">
        <f>Daten_MFH!$D$89</f>
        <v>1.0912E-2</v>
      </c>
      <c r="M278" s="191">
        <f>Daten_MFH!$D$90</f>
        <v>6.6880000000000004E-3</v>
      </c>
    </row>
    <row r="279" spans="1:19" ht="15.75" hidden="1" outlineLevel="2" thickBot="1" x14ac:dyDescent="0.3">
      <c r="B279" s="174" t="s">
        <v>764</v>
      </c>
      <c r="C279" s="234" t="s">
        <v>13</v>
      </c>
      <c r="D279" s="191">
        <f>1/(E278/E279+F278/F279+G278/G279+H278/H279+I278/I279+J278/J279+K278/K279+L278/L279+M278/M279)</f>
        <v>0.83893394498204188</v>
      </c>
      <c r="E279" s="191">
        <f>O263</f>
        <v>0.7</v>
      </c>
      <c r="F279" s="191">
        <f>O264</f>
        <v>0.75</v>
      </c>
      <c r="G279" s="191">
        <f>O264</f>
        <v>0.75</v>
      </c>
      <c r="H279" s="191">
        <f>O265</f>
        <v>0.88</v>
      </c>
      <c r="I279" s="191">
        <f>O265</f>
        <v>0.88</v>
      </c>
      <c r="J279" s="191">
        <f>O266</f>
        <v>0.98</v>
      </c>
      <c r="K279" s="191">
        <f>O267</f>
        <v>1</v>
      </c>
      <c r="L279" s="191">
        <f>IF(AND(A129="x",G129="V"),1,O207)</f>
        <v>2.1573271429971457</v>
      </c>
      <c r="M279" s="191">
        <f>IF(AND(A129="x",G129="V"),1,O249)</f>
        <v>2.7524067714226685</v>
      </c>
      <c r="N279" s="215" t="s">
        <v>563</v>
      </c>
      <c r="O279" s="235">
        <f>IF($A$276&lt;&gt;"",IF($D276="V",$D279,IF($E276="V",$E279,IF($F276="V",$F279,IF($G276="V",$G279,IF($H276="V",$H279,IF($I276="V",$I279,IF($J276="V",$J279,IF($K276="V",$K279,IF($L276="V",$L279,IF($M276="V",$M279,"")))))))))),$D279)</f>
        <v>0.83893394498204188</v>
      </c>
      <c r="P279" s="236">
        <f>IF($A$276&lt;&gt;"",IF($D276="N",D280,IF($E276="N",$E280,IF($F276="N",$F280,IF($G276="N",$G280,IF($H276="N",$H280,IF($I276="N",$I280,IF($J276="N",$J280,IF($K276="N",$K280,IF($L276="N",$L280,IF($M276="N",$M280,SUMPRODUCT(D281:M281,D280:M280))))))))))),$D280)</f>
        <v>0.83893394498204188</v>
      </c>
    </row>
    <row r="280" spans="1:19" ht="15.75" hidden="1" outlineLevel="2" thickBot="1" x14ac:dyDescent="0.3">
      <c r="C280" s="234" t="s">
        <v>13</v>
      </c>
      <c r="D280" s="191">
        <f>1/(E278/E280+F278/F280+G278/G280+H278/H280+I278/I280+J278/J280+K278/K280+L278/L280+M278/M280)</f>
        <v>0.83893394498204188</v>
      </c>
      <c r="E280" s="191">
        <f>P263</f>
        <v>0.7</v>
      </c>
      <c r="F280" s="191">
        <f>P264</f>
        <v>0.75</v>
      </c>
      <c r="G280" s="191">
        <f>P264</f>
        <v>0.75</v>
      </c>
      <c r="H280" s="191">
        <f>P265</f>
        <v>0.88</v>
      </c>
      <c r="I280" s="191">
        <f>P265</f>
        <v>0.88</v>
      </c>
      <c r="J280" s="191">
        <f>P266</f>
        <v>0.98</v>
      </c>
      <c r="K280" s="191">
        <f>P267</f>
        <v>1</v>
      </c>
      <c r="L280" s="191">
        <f>IF(AND(A129="x",OR(G129="V",G129="N"),D129="",E129="",F129=""),1,P207)</f>
        <v>2.1573271429971457</v>
      </c>
      <c r="M280" s="191">
        <f>IF(AND(A129="x",OR(G129="V",G129="N"),D129="",E129="",F129=""),1,P249)</f>
        <v>2.7524067714226685</v>
      </c>
      <c r="N280" s="174" t="s">
        <v>564</v>
      </c>
    </row>
    <row r="281" spans="1:19" ht="15.75" hidden="1" outlineLevel="2" thickBot="1" x14ac:dyDescent="0.3">
      <c r="C281" s="185"/>
      <c r="D281" s="218">
        <f>IF(D276="V",1,0)</f>
        <v>0</v>
      </c>
      <c r="E281" s="218">
        <f t="shared" ref="E281:M281" si="12">IF(E276="V",1,0)</f>
        <v>0</v>
      </c>
      <c r="F281" s="218">
        <f t="shared" si="12"/>
        <v>0</v>
      </c>
      <c r="G281" s="218">
        <f t="shared" si="12"/>
        <v>0</v>
      </c>
      <c r="H281" s="218">
        <f t="shared" si="12"/>
        <v>0</v>
      </c>
      <c r="I281" s="218">
        <f t="shared" si="12"/>
        <v>0</v>
      </c>
      <c r="J281" s="218">
        <f t="shared" si="12"/>
        <v>0</v>
      </c>
      <c r="K281" s="218">
        <f t="shared" si="12"/>
        <v>0</v>
      </c>
      <c r="L281" s="218">
        <f t="shared" si="12"/>
        <v>0</v>
      </c>
      <c r="M281" s="218">
        <f t="shared" si="12"/>
        <v>0</v>
      </c>
    </row>
    <row r="282" spans="1:19" ht="15.75" hidden="1" outlineLevel="2" thickBot="1" x14ac:dyDescent="0.3">
      <c r="B282" s="174" t="s">
        <v>420</v>
      </c>
      <c r="C282" s="185" t="s">
        <v>368</v>
      </c>
      <c r="D282" s="191">
        <f>SUMPRODUCT(E278:M278,E282:M282)</f>
        <v>25.891995500082107</v>
      </c>
      <c r="E282" s="191">
        <f>O270</f>
        <v>25.973069282408936</v>
      </c>
      <c r="F282" s="191">
        <f>O271</f>
        <v>25.973069282408936</v>
      </c>
      <c r="G282" s="191">
        <f>O271</f>
        <v>25.973069282408936</v>
      </c>
      <c r="H282" s="191">
        <f>O272</f>
        <v>25.973069282408936</v>
      </c>
      <c r="I282" s="191">
        <f>O272</f>
        <v>25.973069282408936</v>
      </c>
      <c r="J282" s="191">
        <f>O273</f>
        <v>25.973069282408936</v>
      </c>
      <c r="K282" s="191">
        <f>O274</f>
        <v>25.973069282408936</v>
      </c>
      <c r="L282" s="191">
        <f>O210</f>
        <v>18.040287440073641</v>
      </c>
      <c r="M282" s="191">
        <f>O252</f>
        <v>26.793753064814169</v>
      </c>
      <c r="N282" s="215" t="s">
        <v>563</v>
      </c>
      <c r="O282" s="226">
        <f>IF($A$276&lt;&gt;"",IF($D276="V",$D282,IF($E276="V",$E282,IF($F276="V",$F282,IF($G276="V",$G282,IF($H276="V",$H282,IF($I276="V",$I282,IF($J276="V",$J282,IF($K276="V",$K282,IF($L276="V",$L282,IF($M276="V",$M282,"")))))))))),$D282)</f>
        <v>25.891995500082107</v>
      </c>
      <c r="P282" s="227">
        <f>IF($A$276&lt;&gt;"",IF($D276="N",D283,IF($E276="N",$E283,IF($F276="N",$F283,IF($G276="N",$G283,IF($H276="N",$H283,IF($I276="N",$I283,IF($J276="N",$J283,IF($K276="N",$K283,IF($L276="N",$L283,IF($M276="N",$M283,SUMPRODUCT(D284:M284,D283:M283))))))))))),$D283)</f>
        <v>25.891995500082107</v>
      </c>
      <c r="Q282" s="185" t="s">
        <v>368</v>
      </c>
      <c r="R282" s="228">
        <f>P282</f>
        <v>25.891995500082107</v>
      </c>
      <c r="S282" s="229">
        <f>H283</f>
        <v>25.973069282408936</v>
      </c>
    </row>
    <row r="283" spans="1:19" ht="15.75" hidden="1" outlineLevel="2" thickBot="1" x14ac:dyDescent="0.3">
      <c r="C283" s="185" t="s">
        <v>368</v>
      </c>
      <c r="D283" s="191">
        <f>SUMPRODUCT(E278:M278,E283:M283)</f>
        <v>25.891995500082107</v>
      </c>
      <c r="E283" s="191">
        <f>P270</f>
        <v>25.973069282408936</v>
      </c>
      <c r="F283" s="191">
        <f>P271</f>
        <v>25.973069282408936</v>
      </c>
      <c r="G283" s="191">
        <f>P271</f>
        <v>25.973069282408936</v>
      </c>
      <c r="H283" s="191">
        <f>P272</f>
        <v>25.973069282408936</v>
      </c>
      <c r="I283" s="191">
        <f>P272</f>
        <v>25.973069282408936</v>
      </c>
      <c r="J283" s="191">
        <f>P273</f>
        <v>25.973069282408936</v>
      </c>
      <c r="K283" s="191">
        <f>P274</f>
        <v>25.973069282408936</v>
      </c>
      <c r="L283" s="191">
        <f>P210</f>
        <v>18.040287440073641</v>
      </c>
      <c r="M283" s="191">
        <f>P252</f>
        <v>26.793753064814169</v>
      </c>
      <c r="N283" s="174" t="s">
        <v>564</v>
      </c>
    </row>
    <row r="284" spans="1:19" ht="15.75" hidden="1" outlineLevel="2" thickBot="1" x14ac:dyDescent="0.3">
      <c r="C284" s="185"/>
      <c r="D284" s="218">
        <f>IF(D276="V",1,0)</f>
        <v>0</v>
      </c>
      <c r="E284" s="218">
        <f t="shared" ref="E284:M284" si="13">IF(E276="V",1,0)</f>
        <v>0</v>
      </c>
      <c r="F284" s="218">
        <f t="shared" si="13"/>
        <v>0</v>
      </c>
      <c r="G284" s="218">
        <f t="shared" si="13"/>
        <v>0</v>
      </c>
      <c r="H284" s="218">
        <f t="shared" si="13"/>
        <v>0</v>
      </c>
      <c r="I284" s="218">
        <f t="shared" si="13"/>
        <v>0</v>
      </c>
      <c r="J284" s="218">
        <f t="shared" si="13"/>
        <v>0</v>
      </c>
      <c r="K284" s="218">
        <f t="shared" si="13"/>
        <v>0</v>
      </c>
      <c r="L284" s="218">
        <f t="shared" si="13"/>
        <v>0</v>
      </c>
      <c r="M284" s="218">
        <f t="shared" si="13"/>
        <v>0</v>
      </c>
    </row>
    <row r="285" spans="1:19" s="162" customFormat="1" ht="15.75" hidden="1" outlineLevel="2" thickBot="1" x14ac:dyDescent="0.3">
      <c r="B285" s="163" t="s">
        <v>673</v>
      </c>
      <c r="O285" s="164"/>
      <c r="P285" s="165"/>
      <c r="R285" s="164"/>
      <c r="S285" s="165"/>
    </row>
    <row r="286" spans="1:19" s="170" customFormat="1" ht="15.75" hidden="1" outlineLevel="2" thickBot="1" x14ac:dyDescent="0.3">
      <c r="A286" s="166"/>
      <c r="B286" s="167"/>
      <c r="C286" s="166"/>
      <c r="D286" s="166" t="s">
        <v>389</v>
      </c>
      <c r="E286" s="166" t="s">
        <v>6</v>
      </c>
      <c r="F286" s="166" t="s">
        <v>431</v>
      </c>
      <c r="G286" s="166" t="s">
        <v>432</v>
      </c>
      <c r="H286" s="166" t="s">
        <v>433</v>
      </c>
      <c r="I286" s="170" t="s">
        <v>434</v>
      </c>
      <c r="J286" s="166" t="s">
        <v>435</v>
      </c>
      <c r="K286" s="166" t="s">
        <v>7</v>
      </c>
      <c r="L286" s="166" t="s">
        <v>436</v>
      </c>
      <c r="M286" s="166" t="s">
        <v>437</v>
      </c>
      <c r="N286" s="166"/>
      <c r="O286" s="168" t="s">
        <v>319</v>
      </c>
      <c r="P286" s="169" t="s">
        <v>332</v>
      </c>
      <c r="R286" s="171"/>
      <c r="S286" s="172"/>
    </row>
    <row r="287" spans="1:19" ht="15.75" hidden="1" outlineLevel="2" thickBot="1" x14ac:dyDescent="0.3">
      <c r="B287" s="174" t="s">
        <v>570</v>
      </c>
      <c r="C287" s="234" t="s">
        <v>13</v>
      </c>
      <c r="D287" s="192"/>
      <c r="E287" s="191">
        <f>Daten_ALLG!$D$186</f>
        <v>0.2</v>
      </c>
      <c r="F287" s="191">
        <f>Daten_ALLG!$D$182</f>
        <v>1.1000000000000001</v>
      </c>
      <c r="G287" s="191">
        <f>Daten_ALLG!$D$183</f>
        <v>1.1000000000000001</v>
      </c>
      <c r="H287" s="191">
        <f>Daten_ALLG!$D$182</f>
        <v>1.1000000000000001</v>
      </c>
      <c r="I287" s="191">
        <f>Daten_ALLG!$D$183</f>
        <v>1.1000000000000001</v>
      </c>
      <c r="J287" s="191">
        <f>Daten_ALLG!$D$188</f>
        <v>0.8</v>
      </c>
      <c r="K287" s="191">
        <f>Daten_ALLG!$D$187</f>
        <v>1.8</v>
      </c>
      <c r="L287" s="191">
        <f>Daten_ALLG!$D$187</f>
        <v>1.8</v>
      </c>
      <c r="M287" s="191">
        <f>Daten_ALLG!$D$187</f>
        <v>1.8</v>
      </c>
    </row>
    <row r="288" spans="1:19" ht="15.75" hidden="1" outlineLevel="2" thickBot="1" x14ac:dyDescent="0.3">
      <c r="B288" s="174" t="s">
        <v>573</v>
      </c>
      <c r="C288" s="234" t="s">
        <v>13</v>
      </c>
      <c r="D288" s="191">
        <f>SUMPRODUCT(E278:M278,E288:M288)</f>
        <v>1.2544539340556711</v>
      </c>
      <c r="E288" s="191">
        <f>E$287/E279</f>
        <v>0.28571428571428575</v>
      </c>
      <c r="F288" s="191">
        <f>F$287/F279</f>
        <v>1.4666666666666668</v>
      </c>
      <c r="G288" s="191">
        <f>G$287/G279</f>
        <v>1.4666666666666668</v>
      </c>
      <c r="H288" s="191">
        <f>H$287/H279</f>
        <v>1.25</v>
      </c>
      <c r="I288" s="191">
        <f t="shared" ref="F288:M289" si="14">I$287/I279</f>
        <v>1.25</v>
      </c>
      <c r="J288" s="191">
        <f t="shared" si="14"/>
        <v>0.81632653061224492</v>
      </c>
      <c r="K288" s="191">
        <f t="shared" si="14"/>
        <v>1.8</v>
      </c>
      <c r="L288" s="191">
        <f t="shared" si="14"/>
        <v>0.83436580578098329</v>
      </c>
      <c r="M288" s="191">
        <f t="shared" si="14"/>
        <v>0.65397310408069265</v>
      </c>
      <c r="N288" s="215" t="s">
        <v>563</v>
      </c>
      <c r="O288" s="235">
        <f>IF($A$276&lt;&gt;"",IF($D276="V",$D288,IF($E276="V",$E288,IF($F276="V",$F288,IF($G276="V",$G288,IF($H276="V",$H288,IF($I276="V",$I288,IF($J276="V",$J288,IF($K276="V",$K288,IF($L276="V",$L288,IF($M276="V",$M288,"")))))))))),$D288)</f>
        <v>1.2544539340556711</v>
      </c>
      <c r="P288" s="236">
        <f>IF($A$276&lt;&gt;"",IF($D276="N",D289,IF($E276="N",$E289,IF($F276="N",$F289,IF($G276="N",$G289,IF($H276="N",$H289,IF($I276="N",$I289,IF($J276="N",$J289,IF($K276="N",$K289,IF($L276="N",$L289,IF($M276="N",$M289,SUMPRODUCT(D290:M290,D289:M289))))))))))),$D289)</f>
        <v>1.2544539340556711</v>
      </c>
    </row>
    <row r="289" spans="1:19" ht="15.75" hidden="1" outlineLevel="2" thickBot="1" x14ac:dyDescent="0.3">
      <c r="C289" s="234" t="s">
        <v>13</v>
      </c>
      <c r="D289" s="191">
        <f>SUMPRODUCT(E278:M278,E289:M289)</f>
        <v>1.2544539340556711</v>
      </c>
      <c r="E289" s="191">
        <f>E$287/E280</f>
        <v>0.28571428571428575</v>
      </c>
      <c r="F289" s="191">
        <f t="shared" si="14"/>
        <v>1.4666666666666668</v>
      </c>
      <c r="G289" s="191">
        <f t="shared" si="14"/>
        <v>1.4666666666666668</v>
      </c>
      <c r="H289" s="191">
        <f t="shared" si="14"/>
        <v>1.25</v>
      </c>
      <c r="I289" s="191">
        <f t="shared" si="14"/>
        <v>1.25</v>
      </c>
      <c r="J289" s="191">
        <f t="shared" si="14"/>
        <v>0.81632653061224492</v>
      </c>
      <c r="K289" s="191">
        <f t="shared" si="14"/>
        <v>1.8</v>
      </c>
      <c r="L289" s="191">
        <f t="shared" si="14"/>
        <v>0.83436580578098329</v>
      </c>
      <c r="M289" s="191">
        <f t="shared" si="14"/>
        <v>0.65397310408069265</v>
      </c>
      <c r="N289" s="174" t="s">
        <v>564</v>
      </c>
    </row>
    <row r="290" spans="1:19" ht="15.75" hidden="1" outlineLevel="2" thickBot="1" x14ac:dyDescent="0.3">
      <c r="C290" s="185"/>
      <c r="D290" s="218">
        <f>IF(D276="V",1,0)</f>
        <v>0</v>
      </c>
      <c r="E290" s="218">
        <f t="shared" ref="E290:M290" si="15">IF(E276="V",1,0)</f>
        <v>0</v>
      </c>
      <c r="F290" s="218">
        <f t="shared" si="15"/>
        <v>0</v>
      </c>
      <c r="G290" s="218">
        <f t="shared" si="15"/>
        <v>0</v>
      </c>
      <c r="H290" s="218">
        <f t="shared" si="15"/>
        <v>0</v>
      </c>
      <c r="I290" s="218">
        <f t="shared" si="15"/>
        <v>0</v>
      </c>
      <c r="J290" s="218">
        <f t="shared" si="15"/>
        <v>0</v>
      </c>
      <c r="K290" s="218">
        <f t="shared" si="15"/>
        <v>0</v>
      </c>
      <c r="L290" s="218">
        <f t="shared" si="15"/>
        <v>0</v>
      </c>
      <c r="M290" s="218">
        <f t="shared" si="15"/>
        <v>0</v>
      </c>
    </row>
    <row r="291" spans="1:19" s="162" customFormat="1" ht="15.75" hidden="1" outlineLevel="2" thickBot="1" x14ac:dyDescent="0.3">
      <c r="B291" s="163" t="s">
        <v>674</v>
      </c>
      <c r="O291" s="164"/>
      <c r="P291" s="165"/>
      <c r="R291" s="164"/>
      <c r="S291" s="165"/>
    </row>
    <row r="292" spans="1:19" s="170" customFormat="1" ht="15.75" hidden="1" outlineLevel="2" thickBot="1" x14ac:dyDescent="0.3">
      <c r="A292" s="166"/>
      <c r="B292" s="167"/>
      <c r="C292" s="166"/>
      <c r="D292" s="166" t="s">
        <v>389</v>
      </c>
      <c r="E292" s="166" t="s">
        <v>6</v>
      </c>
      <c r="F292" s="166" t="s">
        <v>431</v>
      </c>
      <c r="G292" s="166" t="s">
        <v>432</v>
      </c>
      <c r="H292" s="166" t="s">
        <v>433</v>
      </c>
      <c r="I292" s="166" t="s">
        <v>434</v>
      </c>
      <c r="J292" s="166" t="s">
        <v>435</v>
      </c>
      <c r="K292" s="166" t="s">
        <v>7</v>
      </c>
      <c r="L292" s="166" t="s">
        <v>436</v>
      </c>
      <c r="M292" s="166" t="s">
        <v>437</v>
      </c>
      <c r="N292" s="166"/>
      <c r="O292" s="168" t="s">
        <v>319</v>
      </c>
      <c r="P292" s="169" t="s">
        <v>332</v>
      </c>
      <c r="R292" s="171"/>
      <c r="S292" s="172"/>
    </row>
    <row r="293" spans="1:19" ht="15.75" hidden="1" outlineLevel="2" thickBot="1" x14ac:dyDescent="0.3">
      <c r="B293" s="174" t="s">
        <v>571</v>
      </c>
      <c r="C293" s="234" t="s">
        <v>227</v>
      </c>
      <c r="D293" s="192"/>
      <c r="E293" s="214">
        <f>Daten_ALLG!$D$208</f>
        <v>15</v>
      </c>
      <c r="F293" s="214">
        <f>Daten_ALLG!$D$204</f>
        <v>208</v>
      </c>
      <c r="G293" s="214">
        <f>Daten_ALLG!$D$205</f>
        <v>292</v>
      </c>
      <c r="H293" s="214">
        <f>Daten_ALLG!$D$204</f>
        <v>208</v>
      </c>
      <c r="I293" s="214">
        <f>Daten_ALLG!$D$205</f>
        <v>292</v>
      </c>
      <c r="J293" s="214">
        <f>Daten_ALLG!$D$210</f>
        <v>240</v>
      </c>
      <c r="K293" s="214">
        <f>Daten_ALLG!$D$209</f>
        <v>444</v>
      </c>
      <c r="L293" s="214">
        <f>Daten_ALLG!$D$209</f>
        <v>444</v>
      </c>
      <c r="M293" s="214">
        <f>Daten_ALLG!$D$209</f>
        <v>444</v>
      </c>
    </row>
    <row r="294" spans="1:19" ht="15.75" hidden="1" outlineLevel="2" thickBot="1" x14ac:dyDescent="0.3">
      <c r="B294" s="174" t="s">
        <v>572</v>
      </c>
      <c r="C294" s="234" t="s">
        <v>13</v>
      </c>
      <c r="D294" s="214">
        <f>SUMPRODUCT(E278:M278,E294:M294)</f>
        <v>277.25022583900943</v>
      </c>
      <c r="E294" s="214">
        <f t="shared" ref="E294:M295" si="16">E$293/E279</f>
        <v>21.428571428571431</v>
      </c>
      <c r="F294" s="214">
        <f t="shared" si="16"/>
        <v>277.33333333333331</v>
      </c>
      <c r="G294" s="214">
        <f t="shared" si="16"/>
        <v>389.33333333333331</v>
      </c>
      <c r="H294" s="214">
        <f t="shared" si="16"/>
        <v>236.36363636363637</v>
      </c>
      <c r="I294" s="214">
        <f t="shared" si="16"/>
        <v>331.81818181818181</v>
      </c>
      <c r="J294" s="214">
        <f t="shared" si="16"/>
        <v>244.89795918367346</v>
      </c>
      <c r="K294" s="214">
        <f t="shared" si="16"/>
        <v>444</v>
      </c>
      <c r="L294" s="214">
        <f t="shared" si="16"/>
        <v>205.81023209264254</v>
      </c>
      <c r="M294" s="214">
        <f t="shared" si="16"/>
        <v>161.31336567323751</v>
      </c>
      <c r="N294" s="215" t="s">
        <v>563</v>
      </c>
      <c r="O294" s="216">
        <f>IF($A$276&lt;&gt;"",IF($D276="V",$D294,IF($E276="V",$E294,IF($F276="V",$F294,IF($G276="V",$G294,IF($H276="V",$H294,IF($I276="V",$I294,IF($J276="V",$J294,IF($K276="V",$K294,IF($L276="V",$L294,IF($M276="V",$M294,"")))))))))),$D294)</f>
        <v>277.25022583900943</v>
      </c>
      <c r="P294" s="217">
        <f>IF($A$276&lt;&gt;"",IF($D276="N",D295,IF($E276="N",$E295,IF($F276="N",$F295,IF($G276="N",$G295,IF($H276="N",$H295,IF($I276="N",$I295,IF($J276="N",$J295,IF($K276="N",$K295,IF($L276="N",$L295,IF($M276="N",$M295,SUMPRODUCT(D296:M296,D295:M295))))))))))),$D295)</f>
        <v>277.25022583900943</v>
      </c>
    </row>
    <row r="295" spans="1:19" ht="15.75" hidden="1" outlineLevel="2" thickBot="1" x14ac:dyDescent="0.3">
      <c r="C295" s="234" t="s">
        <v>13</v>
      </c>
      <c r="D295" s="214">
        <f>SUMPRODUCT(E278:M278,E295:M295)</f>
        <v>277.25022583900943</v>
      </c>
      <c r="E295" s="214">
        <f t="shared" si="16"/>
        <v>21.428571428571431</v>
      </c>
      <c r="F295" s="214">
        <f t="shared" si="16"/>
        <v>277.33333333333331</v>
      </c>
      <c r="G295" s="214">
        <f t="shared" si="16"/>
        <v>389.33333333333331</v>
      </c>
      <c r="H295" s="214">
        <f t="shared" si="16"/>
        <v>236.36363636363637</v>
      </c>
      <c r="I295" s="214">
        <f t="shared" si="16"/>
        <v>331.81818181818181</v>
      </c>
      <c r="J295" s="214">
        <f t="shared" si="16"/>
        <v>244.89795918367346</v>
      </c>
      <c r="K295" s="214">
        <f t="shared" si="16"/>
        <v>444</v>
      </c>
      <c r="L295" s="214">
        <f t="shared" si="16"/>
        <v>205.81023209264254</v>
      </c>
      <c r="M295" s="214">
        <f t="shared" si="16"/>
        <v>161.31336567323751</v>
      </c>
      <c r="N295" s="174" t="s">
        <v>564</v>
      </c>
    </row>
    <row r="296" spans="1:19" ht="15.75" hidden="1" outlineLevel="2" thickBot="1" x14ac:dyDescent="0.3">
      <c r="C296" s="185"/>
      <c r="D296" s="218">
        <f>IF(D276="V",1,0)</f>
        <v>0</v>
      </c>
      <c r="E296" s="218">
        <f t="shared" ref="E296:M296" si="17">IF(E276="V",1,0)</f>
        <v>0</v>
      </c>
      <c r="F296" s="218">
        <f t="shared" si="17"/>
        <v>0</v>
      </c>
      <c r="G296" s="218">
        <f t="shared" si="17"/>
        <v>0</v>
      </c>
      <c r="H296" s="218">
        <f t="shared" si="17"/>
        <v>0</v>
      </c>
      <c r="I296" s="218">
        <f t="shared" si="17"/>
        <v>0</v>
      </c>
      <c r="J296" s="218">
        <f t="shared" si="17"/>
        <v>0</v>
      </c>
      <c r="K296" s="218">
        <f t="shared" si="17"/>
        <v>0</v>
      </c>
      <c r="L296" s="218">
        <f t="shared" si="17"/>
        <v>0</v>
      </c>
      <c r="M296" s="218">
        <f t="shared" si="17"/>
        <v>0</v>
      </c>
    </row>
    <row r="297" spans="1:19" s="162" customFormat="1" ht="15.75" hidden="1" outlineLevel="2" thickBot="1" x14ac:dyDescent="0.3">
      <c r="B297" s="163" t="s">
        <v>675</v>
      </c>
      <c r="O297" s="164"/>
      <c r="P297" s="165"/>
      <c r="R297" s="164"/>
      <c r="S297" s="165"/>
    </row>
    <row r="298" spans="1:19" s="170" customFormat="1" ht="15.75" hidden="1" outlineLevel="2" thickBot="1" x14ac:dyDescent="0.3">
      <c r="A298" s="166"/>
      <c r="B298" s="167"/>
      <c r="C298" s="166"/>
      <c r="D298" s="166" t="s">
        <v>389</v>
      </c>
      <c r="E298" s="166" t="s">
        <v>6</v>
      </c>
      <c r="F298" s="166" t="s">
        <v>431</v>
      </c>
      <c r="G298" s="166" t="s">
        <v>432</v>
      </c>
      <c r="H298" s="166" t="s">
        <v>433</v>
      </c>
      <c r="I298" s="166" t="s">
        <v>434</v>
      </c>
      <c r="J298" s="166" t="s">
        <v>435</v>
      </c>
      <c r="K298" s="166" t="s">
        <v>7</v>
      </c>
      <c r="L298" s="166" t="s">
        <v>436</v>
      </c>
      <c r="M298" s="166" t="s">
        <v>437</v>
      </c>
      <c r="N298" s="166"/>
      <c r="O298" s="168" t="s">
        <v>319</v>
      </c>
      <c r="P298" s="169" t="s">
        <v>332</v>
      </c>
      <c r="R298" s="171"/>
      <c r="S298" s="172"/>
    </row>
    <row r="299" spans="1:19" ht="15.75" hidden="1" outlineLevel="2" thickBot="1" x14ac:dyDescent="0.3">
      <c r="B299" s="174" t="s">
        <v>671</v>
      </c>
      <c r="C299" s="234" t="s">
        <v>31</v>
      </c>
      <c r="D299" s="192"/>
      <c r="E299" s="237">
        <f>Daten_ALLG!$D$281</f>
        <v>0.05</v>
      </c>
      <c r="F299" s="237">
        <f>Daten_ALLG!$D$276</f>
        <v>8.6999999999999994E-2</v>
      </c>
      <c r="G299" s="237">
        <f>Daten_ALLG!$D$277</f>
        <v>0.122</v>
      </c>
      <c r="H299" s="237">
        <f>Daten_ALLG!$D$276</f>
        <v>8.6999999999999994E-2</v>
      </c>
      <c r="I299" s="237">
        <f>Daten_ALLG!$D$277</f>
        <v>0.122</v>
      </c>
      <c r="J299" s="237">
        <f>Daten_ALLG!$D$280</f>
        <v>0.10199999999999999</v>
      </c>
      <c r="K299" s="237">
        <f>Daten_ALLG!$D$278</f>
        <v>0.186</v>
      </c>
      <c r="L299" s="237">
        <f>Daten_ALLG!$D$279</f>
        <v>0.186</v>
      </c>
      <c r="M299" s="237">
        <f>Daten_ALLG!$D$279</f>
        <v>0.186</v>
      </c>
    </row>
    <row r="300" spans="1:19" ht="15.75" hidden="1" outlineLevel="2" thickBot="1" x14ac:dyDescent="0.3">
      <c r="B300" s="174" t="s">
        <v>677</v>
      </c>
      <c r="C300" s="234" t="s">
        <v>13</v>
      </c>
      <c r="D300" s="237">
        <f>SUMPRODUCT(E278:M278,E300:M300)</f>
        <v>0.11757494635448482</v>
      </c>
      <c r="E300" s="237">
        <f>E$299/E279</f>
        <v>7.1428571428571438E-2</v>
      </c>
      <c r="F300" s="237">
        <f t="shared" ref="F300:M301" si="18">F$299/F279</f>
        <v>0.11599999999999999</v>
      </c>
      <c r="G300" s="237">
        <f t="shared" si="18"/>
        <v>0.16266666666666665</v>
      </c>
      <c r="H300" s="237">
        <f t="shared" si="18"/>
        <v>9.8863636363636362E-2</v>
      </c>
      <c r="I300" s="237">
        <f t="shared" si="18"/>
        <v>0.13863636363636364</v>
      </c>
      <c r="J300" s="237">
        <f t="shared" si="18"/>
        <v>0.10408163265306122</v>
      </c>
      <c r="K300" s="237">
        <f t="shared" si="18"/>
        <v>0.186</v>
      </c>
      <c r="L300" s="237">
        <f t="shared" si="18"/>
        <v>8.6217799930701611E-2</v>
      </c>
      <c r="M300" s="237">
        <f t="shared" si="18"/>
        <v>6.7577220755004899E-2</v>
      </c>
      <c r="N300" s="215" t="s">
        <v>563</v>
      </c>
      <c r="O300" s="235">
        <f>IF($A$276&lt;&gt;"",IF($D276="V",$D300,IF($E276="V",$E300,IF($F276="V",$F300,IF($G276="V",$G300,IF($H276="V",$H300,IF($I276="V",$I300,IF($J276="V",$J300,IF($K276="V",$K300,IF($L276="V",$L300,IF($M276="V",$M300,"")))))))))),$D300)</f>
        <v>0.11757494635448482</v>
      </c>
      <c r="P300" s="236">
        <f>IF($A$276&lt;&gt;"",IF($D276="N",D301,IF($E276="N",$E301,IF($F276="N",$F301,IF($G276="N",$G301,IF($H276="N",$H301,IF($I276="N",$I301,IF($J276="N",$J301,IF($K276="N",$K301,IF($L276="N",$L301,IF($M276="N",$M301,SUMPRODUCT(D302:M302,D301:M301))))))))))),$D301)</f>
        <v>0.11757494635448482</v>
      </c>
    </row>
    <row r="301" spans="1:19" ht="15.75" hidden="1" outlineLevel="2" thickBot="1" x14ac:dyDescent="0.3">
      <c r="C301" s="234" t="s">
        <v>13</v>
      </c>
      <c r="D301" s="237">
        <f>SUMPRODUCT(E278:M278,E301:M301)</f>
        <v>0.11757494635448482</v>
      </c>
      <c r="E301" s="237">
        <f>E$299/E280</f>
        <v>7.1428571428571438E-2</v>
      </c>
      <c r="F301" s="237">
        <f t="shared" si="18"/>
        <v>0.11599999999999999</v>
      </c>
      <c r="G301" s="237">
        <f t="shared" si="18"/>
        <v>0.16266666666666665</v>
      </c>
      <c r="H301" s="237">
        <f t="shared" si="18"/>
        <v>9.8863636363636362E-2</v>
      </c>
      <c r="I301" s="237">
        <f t="shared" si="18"/>
        <v>0.13863636363636364</v>
      </c>
      <c r="J301" s="237">
        <f t="shared" si="18"/>
        <v>0.10408163265306122</v>
      </c>
      <c r="K301" s="237">
        <f t="shared" si="18"/>
        <v>0.186</v>
      </c>
      <c r="L301" s="237">
        <f t="shared" si="18"/>
        <v>8.6217799930701611E-2</v>
      </c>
      <c r="M301" s="237">
        <f t="shared" si="18"/>
        <v>6.7577220755004899E-2</v>
      </c>
      <c r="N301" s="174" t="s">
        <v>564</v>
      </c>
    </row>
    <row r="302" spans="1:19" ht="15.75" hidden="1" outlineLevel="2" thickBot="1" x14ac:dyDescent="0.3">
      <c r="C302" s="185"/>
      <c r="D302" s="218">
        <f>IF(D276="V",1,0)</f>
        <v>0</v>
      </c>
      <c r="E302" s="218">
        <f t="shared" ref="E302:M302" si="19">IF(E276="V",1,0)</f>
        <v>0</v>
      </c>
      <c r="F302" s="218">
        <f t="shared" si="19"/>
        <v>0</v>
      </c>
      <c r="G302" s="218">
        <f t="shared" si="19"/>
        <v>0</v>
      </c>
      <c r="H302" s="218">
        <f t="shared" si="19"/>
        <v>0</v>
      </c>
      <c r="I302" s="218">
        <f t="shared" si="19"/>
        <v>0</v>
      </c>
      <c r="J302" s="218">
        <f t="shared" si="19"/>
        <v>0</v>
      </c>
      <c r="K302" s="218">
        <f t="shared" si="19"/>
        <v>0</v>
      </c>
      <c r="L302" s="218">
        <f t="shared" si="19"/>
        <v>0</v>
      </c>
      <c r="M302" s="218">
        <f t="shared" si="19"/>
        <v>0</v>
      </c>
    </row>
    <row r="303" spans="1:19" s="162" customFormat="1" ht="15.75" outlineLevel="1" thickBot="1" x14ac:dyDescent="0.3">
      <c r="A303" s="335" t="str">
        <f>IF(Bil_MFH_mQS!A303="","",Bil_MFH_mQS!A303)</f>
        <v/>
      </c>
      <c r="B303" s="163" t="s">
        <v>567</v>
      </c>
      <c r="D303" s="335" t="str">
        <f>IF(Bil_MFH_mQS!D303="","",Bil_MFH_mQS!D303)</f>
        <v/>
      </c>
      <c r="E303" s="335" t="str">
        <f>IF(Bil_MFH_mQS!E303="","",Bil_MFH_mQS!E303)</f>
        <v/>
      </c>
      <c r="F303" s="335" t="str">
        <f>IF(Bil_MFH_mQS!F303="","",Bil_MFH_mQS!F303)</f>
        <v/>
      </c>
      <c r="G303" s="335" t="str">
        <f>IF(Bil_MFH_mQS!G303="","",Bil_MFH_mQS!G303)</f>
        <v/>
      </c>
      <c r="H303" s="335" t="str">
        <f>IF(Bil_MFH_mQS!H303="","",Bil_MFH_mQS!H303)</f>
        <v/>
      </c>
      <c r="I303" s="335" t="str">
        <f>IF(Bil_MFH_mQS!I303="","",Bil_MFH_mQS!I303)</f>
        <v/>
      </c>
      <c r="J303" s="335" t="str">
        <f>IF(Bil_MFH_mQS!J303="","",Bil_MFH_mQS!J303)</f>
        <v/>
      </c>
      <c r="K303" s="335" t="str">
        <f>IF(Bil_MFH_mQS!K303="","",Bil_MFH_mQS!K303)</f>
        <v/>
      </c>
      <c r="L303" s="335" t="str">
        <f>IF(Bil_MFH_mQS!L303="","",Bil_MFH_mQS!L303)</f>
        <v/>
      </c>
      <c r="M303" s="335" t="str">
        <f>IF(Bil_MFH_mQS!M303="","",Bil_MFH_mQS!M303)</f>
        <v/>
      </c>
      <c r="O303" s="164"/>
      <c r="P303" s="165"/>
      <c r="R303" s="164" t="s">
        <v>457</v>
      </c>
      <c r="S303" s="165"/>
    </row>
    <row r="304" spans="1:19" s="170" customFormat="1" outlineLevel="1" collapsed="1" x14ac:dyDescent="0.25">
      <c r="A304" s="166"/>
      <c r="B304" s="167"/>
      <c r="C304" s="166"/>
      <c r="D304" s="166" t="s">
        <v>389</v>
      </c>
      <c r="E304" s="166" t="s">
        <v>6</v>
      </c>
      <c r="F304" s="166" t="s">
        <v>431</v>
      </c>
      <c r="G304" s="166" t="s">
        <v>432</v>
      </c>
      <c r="H304" s="166" t="s">
        <v>433</v>
      </c>
      <c r="I304" s="166" t="s">
        <v>434</v>
      </c>
      <c r="J304" s="166" t="s">
        <v>435</v>
      </c>
      <c r="K304" s="166" t="s">
        <v>7</v>
      </c>
      <c r="L304" s="166" t="s">
        <v>436</v>
      </c>
      <c r="M304" s="166" t="s">
        <v>437</v>
      </c>
      <c r="N304" s="166"/>
      <c r="O304" s="168" t="s">
        <v>319</v>
      </c>
      <c r="P304" s="169" t="s">
        <v>332</v>
      </c>
      <c r="R304" s="233" t="s">
        <v>455</v>
      </c>
      <c r="S304" s="172" t="s">
        <v>456</v>
      </c>
    </row>
    <row r="305" spans="1:19" hidden="1" outlineLevel="2" x14ac:dyDescent="0.25">
      <c r="B305" s="174" t="s">
        <v>178</v>
      </c>
      <c r="C305" s="234" t="s">
        <v>13</v>
      </c>
      <c r="E305" s="191">
        <f>Daten_MFH!$D$93</f>
        <v>2.1000000000000001E-2</v>
      </c>
      <c r="F305" s="191">
        <f>Daten_MFH!$D$94</f>
        <v>0.24179163034210971</v>
      </c>
      <c r="G305" s="191">
        <f>Daten_MFH!$D$95</f>
        <v>0.12125532660481259</v>
      </c>
      <c r="H305" s="191">
        <f>Daten_MFH!$D$96</f>
        <v>0.21026507516443443</v>
      </c>
      <c r="I305" s="191">
        <f>Daten_MFH!$D$97</f>
        <v>1.8222667585284822E-2</v>
      </c>
      <c r="J305" s="191">
        <f>Daten_MFH!$D$98</f>
        <v>0.19200000000000003</v>
      </c>
      <c r="K305" s="191">
        <f>Daten_MFH!$D$99</f>
        <v>0.18</v>
      </c>
      <c r="L305" s="191">
        <f>Daten_MFH!$D$100</f>
        <v>8.7773003033583784E-3</v>
      </c>
      <c r="M305" s="191">
        <f>Daten_MFH!$D$101</f>
        <v>6.6880000000000004E-3</v>
      </c>
    </row>
    <row r="306" spans="1:19" hidden="1" outlineLevel="2" x14ac:dyDescent="0.25">
      <c r="B306" s="174" t="s">
        <v>485</v>
      </c>
      <c r="C306" s="234" t="s">
        <v>13</v>
      </c>
      <c r="D306" s="191">
        <f>1/(E305/E306+F305/F306+G305/G306+H305/H306+I305/I306+J305/J306+K305/K306+L305/L306+M305/M306)</f>
        <v>0.86375130712210335</v>
      </c>
      <c r="E306" s="191">
        <f>O263</f>
        <v>0.7</v>
      </c>
      <c r="F306" s="191">
        <f>O264</f>
        <v>0.75</v>
      </c>
      <c r="G306" s="191">
        <f>O264</f>
        <v>0.75</v>
      </c>
      <c r="H306" s="191">
        <f>O265</f>
        <v>0.88</v>
      </c>
      <c r="I306" s="191">
        <f>O265</f>
        <v>0.88</v>
      </c>
      <c r="J306" s="191">
        <f>O266</f>
        <v>0.98</v>
      </c>
      <c r="K306" s="191">
        <f>O267</f>
        <v>1</v>
      </c>
      <c r="L306" s="191">
        <f>O218</f>
        <v>1.7584778061168285</v>
      </c>
      <c r="M306" s="191">
        <f>O259</f>
        <v>2.1414674733100632</v>
      </c>
      <c r="N306" s="215" t="s">
        <v>563</v>
      </c>
      <c r="O306" s="235">
        <f>IF($A$303&lt;&gt;"",IF($D303="V",$D306,IF($E303="V",$E306,IF($F303="V",$F306,IF($G303="V",$G306,IF($H303="V",$H306,IF($I303="V",$I306,IF($J303="V",$J306,IF($K303="V",$K306,IF($L303="V",$L306,IF($M303="V",$M306,"")))))))))),$D306)</f>
        <v>0.86375130712210335</v>
      </c>
      <c r="P306" s="236">
        <f>IF($A$303&lt;&gt;"",IF($D303="N",D307,IF($E303="N",$E307,IF($F303="N",$F307,IF($G303="N",$G307,IF($H303="N",$H307,IF($I303="N",$I307,IF($J303="N",$J307,IF($K303="N",$K307,IF($L303="N",$L307,IF($M303="N",$M307,SUMPRODUCT(D308:M308,D307:M307))))))))))),$D307)</f>
        <v>0.86375130712210335</v>
      </c>
      <c r="Q306" s="185" t="s">
        <v>48</v>
      </c>
      <c r="R306" s="228">
        <f>IF(K303="N",Daten_MFH!$D$17,0)</f>
        <v>0</v>
      </c>
    </row>
    <row r="307" spans="1:19" hidden="1" outlineLevel="2" x14ac:dyDescent="0.25">
      <c r="C307" s="234" t="s">
        <v>13</v>
      </c>
      <c r="D307" s="191">
        <f>1/(E305/E307+F305/F307+G305/G307+H305/H307+I305/I307+J305/J307+K305/K307+L305/L307+M305/M307)</f>
        <v>0.86375130712210335</v>
      </c>
      <c r="E307" s="191">
        <f>P263</f>
        <v>0.7</v>
      </c>
      <c r="F307" s="191">
        <f>P264</f>
        <v>0.75</v>
      </c>
      <c r="G307" s="191">
        <f>P264</f>
        <v>0.75</v>
      </c>
      <c r="H307" s="191">
        <f>P265</f>
        <v>0.88</v>
      </c>
      <c r="I307" s="191">
        <f>P265</f>
        <v>0.88</v>
      </c>
      <c r="J307" s="191">
        <f>P266</f>
        <v>0.98</v>
      </c>
      <c r="K307" s="191">
        <f>P267</f>
        <v>1</v>
      </c>
      <c r="L307" s="191">
        <f>P218</f>
        <v>1.7584778061168285</v>
      </c>
      <c r="M307" s="191">
        <f>P259</f>
        <v>2.1414674733100632</v>
      </c>
      <c r="N307" s="174" t="s">
        <v>564</v>
      </c>
    </row>
    <row r="308" spans="1:19" hidden="1" outlineLevel="2" x14ac:dyDescent="0.25">
      <c r="C308" s="185"/>
      <c r="D308" s="218">
        <f>IF(D303="V",1,0)</f>
        <v>0</v>
      </c>
      <c r="E308" s="218">
        <f t="shared" ref="E308:M308" si="20">IF(E303="V",1,0)</f>
        <v>0</v>
      </c>
      <c r="F308" s="218">
        <f t="shared" si="20"/>
        <v>0</v>
      </c>
      <c r="G308" s="218">
        <f t="shared" si="20"/>
        <v>0</v>
      </c>
      <c r="H308" s="218">
        <f t="shared" si="20"/>
        <v>0</v>
      </c>
      <c r="I308" s="218">
        <f t="shared" si="20"/>
        <v>0</v>
      </c>
      <c r="J308" s="218">
        <f t="shared" si="20"/>
        <v>0</v>
      </c>
      <c r="K308" s="218">
        <f t="shared" si="20"/>
        <v>0</v>
      </c>
      <c r="L308" s="218">
        <f t="shared" si="20"/>
        <v>0</v>
      </c>
      <c r="M308" s="218">
        <f t="shared" si="20"/>
        <v>0</v>
      </c>
      <c r="N308" s="218"/>
    </row>
    <row r="309" spans="1:19" s="162" customFormat="1" hidden="1" outlineLevel="2" x14ac:dyDescent="0.25">
      <c r="B309" s="163" t="s">
        <v>672</v>
      </c>
      <c r="O309" s="164"/>
      <c r="P309" s="165"/>
      <c r="R309" s="164"/>
      <c r="S309" s="165"/>
    </row>
    <row r="310" spans="1:19" s="170" customFormat="1" hidden="1" outlineLevel="2" x14ac:dyDescent="0.25">
      <c r="A310" s="166"/>
      <c r="B310" s="167"/>
      <c r="C310" s="166"/>
      <c r="D310" s="166" t="s">
        <v>389</v>
      </c>
      <c r="E310" s="166" t="s">
        <v>6</v>
      </c>
      <c r="F310" s="166" t="s">
        <v>431</v>
      </c>
      <c r="G310" s="166" t="s">
        <v>432</v>
      </c>
      <c r="H310" s="166" t="s">
        <v>433</v>
      </c>
      <c r="I310" s="166" t="s">
        <v>434</v>
      </c>
      <c r="J310" s="166" t="s">
        <v>435</v>
      </c>
      <c r="K310" s="166" t="s">
        <v>7</v>
      </c>
      <c r="L310" s="166" t="s">
        <v>436</v>
      </c>
      <c r="M310" s="166" t="s">
        <v>437</v>
      </c>
      <c r="N310" s="166"/>
      <c r="O310" s="168" t="s">
        <v>319</v>
      </c>
      <c r="P310" s="169" t="s">
        <v>332</v>
      </c>
      <c r="R310" s="171"/>
      <c r="S310" s="172"/>
    </row>
    <row r="311" spans="1:19" hidden="1" outlineLevel="2" x14ac:dyDescent="0.25">
      <c r="B311" s="174" t="s">
        <v>570</v>
      </c>
      <c r="C311" s="234" t="s">
        <v>13</v>
      </c>
      <c r="D311" s="192"/>
      <c r="E311" s="191">
        <f>Daten_ALLG!$D$186</f>
        <v>0.2</v>
      </c>
      <c r="F311" s="191">
        <f>Daten_ALLG!$D$182</f>
        <v>1.1000000000000001</v>
      </c>
      <c r="G311" s="191">
        <f>Daten_ALLG!$D$183</f>
        <v>1.1000000000000001</v>
      </c>
      <c r="H311" s="191">
        <f>Daten_ALLG!$D$182</f>
        <v>1.1000000000000001</v>
      </c>
      <c r="I311" s="191">
        <f>Daten_ALLG!$D$183</f>
        <v>1.1000000000000001</v>
      </c>
      <c r="J311" s="191">
        <f>Daten_ALLG!$D$188</f>
        <v>0.8</v>
      </c>
      <c r="K311" s="191">
        <f>Daten_ALLG!$D$187</f>
        <v>1.8</v>
      </c>
      <c r="L311" s="191">
        <f>Daten_ALLG!$D$187</f>
        <v>1.8</v>
      </c>
      <c r="M311" s="191">
        <f>Daten_ALLG!$D$187</f>
        <v>1.8</v>
      </c>
    </row>
    <row r="312" spans="1:19" hidden="1" outlineLevel="2" x14ac:dyDescent="0.25">
      <c r="B312" s="174" t="s">
        <v>576</v>
      </c>
      <c r="C312" s="234" t="s">
        <v>13</v>
      </c>
      <c r="D312" s="191">
        <f>SUMPRODUCT(E305:M305,E312:M312)</f>
        <v>1.319419363147895</v>
      </c>
      <c r="E312" s="191">
        <f t="shared" ref="E312:M313" si="21">E$311/E306</f>
        <v>0.28571428571428575</v>
      </c>
      <c r="F312" s="191">
        <f t="shared" si="21"/>
        <v>1.4666666666666668</v>
      </c>
      <c r="G312" s="191">
        <f t="shared" si="21"/>
        <v>1.4666666666666668</v>
      </c>
      <c r="H312" s="191">
        <f t="shared" si="21"/>
        <v>1.25</v>
      </c>
      <c r="I312" s="191">
        <f t="shared" si="21"/>
        <v>1.25</v>
      </c>
      <c r="J312" s="191">
        <f t="shared" si="21"/>
        <v>0.81632653061224492</v>
      </c>
      <c r="K312" s="191">
        <f t="shared" si="21"/>
        <v>1.8</v>
      </c>
      <c r="L312" s="191">
        <f t="shared" si="21"/>
        <v>1.0236125777298624</v>
      </c>
      <c r="M312" s="191">
        <f t="shared" si="21"/>
        <v>0.84054510396916871</v>
      </c>
      <c r="N312" s="215" t="s">
        <v>563</v>
      </c>
      <c r="O312" s="235">
        <f>IF($A$303&lt;&gt;"",IF($D303="V",$D312,IF($E303="V",$E312,IF($F303="V",$F312,IF($G303="V",$G312,IF($H303="V",$H312,IF($I303="V",$I312,IF($J303="V",$J312,IF($K303="V",$K312,IF($L303="V",$L312,IF($M303="V",$M312,"")))))))))),$D312)</f>
        <v>1.319419363147895</v>
      </c>
      <c r="P312" s="236">
        <f>IF($A$303&lt;&gt;"",IF($D303="N",D313,IF($E303="N",$E313,IF($F303="N",$F313,IF($G303="N",$G313,IF($H303="N",$H313,IF($I303="N",$I313,IF($J303="N",$J313,IF($K303="N",$K313,IF($L303="N",$L313,IF($M303="N",$M313,SUMPRODUCT(D314:M314,D313:M313))))))))))),$D313)</f>
        <v>1.319419363147895</v>
      </c>
    </row>
    <row r="313" spans="1:19" hidden="1" outlineLevel="2" x14ac:dyDescent="0.25">
      <c r="C313" s="234" t="s">
        <v>13</v>
      </c>
      <c r="D313" s="191">
        <f>SUMPRODUCT(E305:M305,E313:M313)</f>
        <v>1.319419363147895</v>
      </c>
      <c r="E313" s="191">
        <f t="shared" si="21"/>
        <v>0.28571428571428575</v>
      </c>
      <c r="F313" s="191">
        <f t="shared" si="21"/>
        <v>1.4666666666666668</v>
      </c>
      <c r="G313" s="191">
        <f t="shared" si="21"/>
        <v>1.4666666666666668</v>
      </c>
      <c r="H313" s="191">
        <f t="shared" si="21"/>
        <v>1.25</v>
      </c>
      <c r="I313" s="191">
        <f t="shared" si="21"/>
        <v>1.25</v>
      </c>
      <c r="J313" s="191">
        <f t="shared" si="21"/>
        <v>0.81632653061224492</v>
      </c>
      <c r="K313" s="191">
        <f t="shared" si="21"/>
        <v>1.8</v>
      </c>
      <c r="L313" s="191">
        <f t="shared" si="21"/>
        <v>1.0236125777298624</v>
      </c>
      <c r="M313" s="191">
        <f t="shared" si="21"/>
        <v>0.84054510396916871</v>
      </c>
      <c r="N313" s="174" t="s">
        <v>564</v>
      </c>
    </row>
    <row r="314" spans="1:19" hidden="1" outlineLevel="2" x14ac:dyDescent="0.25">
      <c r="C314" s="185"/>
      <c r="D314" s="218">
        <f t="shared" ref="D314:M314" si="22">IF(D303="V",1,0)</f>
        <v>0</v>
      </c>
      <c r="E314" s="218">
        <f t="shared" si="22"/>
        <v>0</v>
      </c>
      <c r="F314" s="218">
        <f t="shared" si="22"/>
        <v>0</v>
      </c>
      <c r="G314" s="218">
        <f t="shared" si="22"/>
        <v>0</v>
      </c>
      <c r="H314" s="218">
        <f t="shared" si="22"/>
        <v>0</v>
      </c>
      <c r="I314" s="218">
        <f t="shared" si="22"/>
        <v>0</v>
      </c>
      <c r="J314" s="218">
        <f t="shared" si="22"/>
        <v>0</v>
      </c>
      <c r="K314" s="218">
        <f t="shared" si="22"/>
        <v>0</v>
      </c>
      <c r="L314" s="218">
        <f t="shared" si="22"/>
        <v>0</v>
      </c>
      <c r="M314" s="218">
        <f t="shared" si="22"/>
        <v>0</v>
      </c>
      <c r="N314" s="218"/>
    </row>
    <row r="315" spans="1:19" s="162" customFormat="1" hidden="1" outlineLevel="2" x14ac:dyDescent="0.25">
      <c r="B315" s="163" t="s">
        <v>676</v>
      </c>
      <c r="O315" s="164"/>
      <c r="P315" s="165"/>
      <c r="R315" s="164"/>
      <c r="S315" s="165"/>
    </row>
    <row r="316" spans="1:19" s="170" customFormat="1" hidden="1" outlineLevel="2" x14ac:dyDescent="0.25">
      <c r="A316" s="166"/>
      <c r="B316" s="167"/>
      <c r="C316" s="166"/>
      <c r="D316" s="166" t="s">
        <v>389</v>
      </c>
      <c r="E316" s="166" t="s">
        <v>6</v>
      </c>
      <c r="F316" s="166" t="s">
        <v>431</v>
      </c>
      <c r="G316" s="166" t="s">
        <v>432</v>
      </c>
      <c r="H316" s="166" t="s">
        <v>433</v>
      </c>
      <c r="I316" s="166" t="s">
        <v>434</v>
      </c>
      <c r="J316" s="166" t="s">
        <v>435</v>
      </c>
      <c r="K316" s="166" t="s">
        <v>7</v>
      </c>
      <c r="L316" s="166" t="s">
        <v>436</v>
      </c>
      <c r="M316" s="166" t="s">
        <v>437</v>
      </c>
      <c r="N316" s="166"/>
      <c r="O316" s="168" t="s">
        <v>319</v>
      </c>
      <c r="P316" s="169" t="s">
        <v>332</v>
      </c>
      <c r="R316" s="171"/>
      <c r="S316" s="172"/>
    </row>
    <row r="317" spans="1:19" hidden="1" outlineLevel="2" x14ac:dyDescent="0.25">
      <c r="B317" s="174" t="s">
        <v>571</v>
      </c>
      <c r="C317" s="234" t="s">
        <v>227</v>
      </c>
      <c r="D317" s="192"/>
      <c r="E317" s="214">
        <f>Daten_ALLG!$D$208</f>
        <v>15</v>
      </c>
      <c r="F317" s="214">
        <f>Daten_ALLG!$D$204</f>
        <v>208</v>
      </c>
      <c r="G317" s="214">
        <f>Daten_ALLG!$D$205</f>
        <v>292</v>
      </c>
      <c r="H317" s="214">
        <f>Daten_ALLG!$D$204</f>
        <v>208</v>
      </c>
      <c r="I317" s="214">
        <f>Daten_ALLG!$D$205</f>
        <v>292</v>
      </c>
      <c r="J317" s="214">
        <f>Daten_ALLG!$D$210</f>
        <v>240</v>
      </c>
      <c r="K317" s="214">
        <f>Daten_ALLG!$D$209</f>
        <v>444</v>
      </c>
      <c r="L317" s="214">
        <f>Daten_ALLG!$D$209</f>
        <v>444</v>
      </c>
      <c r="M317" s="214">
        <f>Daten_ALLG!$D$209</f>
        <v>444</v>
      </c>
    </row>
    <row r="318" spans="1:19" hidden="1" outlineLevel="2" x14ac:dyDescent="0.25">
      <c r="B318" s="174" t="s">
        <v>577</v>
      </c>
      <c r="C318" s="234" t="s">
        <v>13</v>
      </c>
      <c r="D318" s="214">
        <f>SUMPRODUCT(E305:M305,E318:M318)</f>
        <v>301.00450075406212</v>
      </c>
      <c r="E318" s="214">
        <f t="shared" ref="E318:M319" si="23">E$317/E306</f>
        <v>21.428571428571431</v>
      </c>
      <c r="F318" s="214">
        <f t="shared" si="23"/>
        <v>277.33333333333331</v>
      </c>
      <c r="G318" s="214">
        <f t="shared" si="23"/>
        <v>389.33333333333331</v>
      </c>
      <c r="H318" s="214">
        <f t="shared" si="23"/>
        <v>236.36363636363637</v>
      </c>
      <c r="I318" s="214">
        <f t="shared" si="23"/>
        <v>331.81818181818181</v>
      </c>
      <c r="J318" s="214">
        <f t="shared" si="23"/>
        <v>244.89795918367346</v>
      </c>
      <c r="K318" s="214">
        <f t="shared" si="23"/>
        <v>444</v>
      </c>
      <c r="L318" s="214">
        <f t="shared" si="23"/>
        <v>252.49110250669941</v>
      </c>
      <c r="M318" s="214">
        <f t="shared" si="23"/>
        <v>207.33445897906162</v>
      </c>
      <c r="N318" s="215" t="s">
        <v>563</v>
      </c>
      <c r="O318" s="216">
        <f>IF($A$303&lt;&gt;"",IF($D303="V",$D318,IF($E303="V",$E318,IF($F303="V",$F318,IF($G303="V",$G318,IF($H303="V",$H318,IF($I303="V",$I318,IF($J303="V",$J318,IF($K303="V",$K318,IF($L303="V",$L318,IF($M303="V",$M318,"")))))))))),$D318)</f>
        <v>301.00450075406212</v>
      </c>
      <c r="P318" s="217">
        <f>IF($A$303&lt;&gt;"",IF($D303="N",D319,IF($E303="N",$E319,IF($F303="N",$F319,IF($G303="N",$G319,IF($H303="N",$H319,IF($I303="N",$I319,IF($J303="N",$J319,IF($K303="N",$K319,IF($L303="N",$L319,IF($M303="N",$M319,SUMPRODUCT(D320:M320,D319:M319))))))))))),$D319)</f>
        <v>301.00450075406212</v>
      </c>
    </row>
    <row r="319" spans="1:19" hidden="1" outlineLevel="2" x14ac:dyDescent="0.25">
      <c r="C319" s="234" t="s">
        <v>13</v>
      </c>
      <c r="D319" s="214">
        <f>SUMPRODUCT(E305:M305,E319:M319)</f>
        <v>301.00450075406212</v>
      </c>
      <c r="E319" s="214">
        <f t="shared" si="23"/>
        <v>21.428571428571431</v>
      </c>
      <c r="F319" s="214">
        <f t="shared" si="23"/>
        <v>277.33333333333331</v>
      </c>
      <c r="G319" s="214">
        <f t="shared" si="23"/>
        <v>389.33333333333331</v>
      </c>
      <c r="H319" s="214">
        <f t="shared" si="23"/>
        <v>236.36363636363637</v>
      </c>
      <c r="I319" s="214">
        <f t="shared" si="23"/>
        <v>331.81818181818181</v>
      </c>
      <c r="J319" s="214">
        <f t="shared" si="23"/>
        <v>244.89795918367346</v>
      </c>
      <c r="K319" s="214">
        <f t="shared" si="23"/>
        <v>444</v>
      </c>
      <c r="L319" s="214">
        <f t="shared" si="23"/>
        <v>252.49110250669941</v>
      </c>
      <c r="M319" s="214">
        <f t="shared" si="23"/>
        <v>207.33445897906162</v>
      </c>
      <c r="N319" s="174" t="s">
        <v>564</v>
      </c>
    </row>
    <row r="320" spans="1:19" hidden="1" outlineLevel="2" x14ac:dyDescent="0.25">
      <c r="C320" s="185"/>
      <c r="D320" s="218">
        <f t="shared" ref="D320:M320" si="24">IF(D303="V",1,0)</f>
        <v>0</v>
      </c>
      <c r="E320" s="218">
        <f t="shared" si="24"/>
        <v>0</v>
      </c>
      <c r="F320" s="218">
        <f t="shared" si="24"/>
        <v>0</v>
      </c>
      <c r="G320" s="218">
        <f t="shared" si="24"/>
        <v>0</v>
      </c>
      <c r="H320" s="218">
        <f t="shared" si="24"/>
        <v>0</v>
      </c>
      <c r="I320" s="218">
        <f t="shared" si="24"/>
        <v>0</v>
      </c>
      <c r="J320" s="218">
        <f t="shared" si="24"/>
        <v>0</v>
      </c>
      <c r="K320" s="218">
        <f t="shared" si="24"/>
        <v>0</v>
      </c>
      <c r="L320" s="218">
        <f t="shared" si="24"/>
        <v>0</v>
      </c>
      <c r="M320" s="218">
        <f t="shared" si="24"/>
        <v>0</v>
      </c>
    </row>
    <row r="321" spans="1:19" s="162" customFormat="1" hidden="1" outlineLevel="2" x14ac:dyDescent="0.25">
      <c r="B321" s="163" t="s">
        <v>679</v>
      </c>
      <c r="O321" s="164"/>
      <c r="P321" s="165"/>
      <c r="R321" s="164"/>
      <c r="S321" s="165"/>
    </row>
    <row r="322" spans="1:19" s="170" customFormat="1" hidden="1" outlineLevel="2" x14ac:dyDescent="0.25">
      <c r="A322" s="166"/>
      <c r="B322" s="167"/>
      <c r="C322" s="166"/>
      <c r="D322" s="166" t="s">
        <v>389</v>
      </c>
      <c r="E322" s="166" t="s">
        <v>6</v>
      </c>
      <c r="F322" s="166" t="s">
        <v>431</v>
      </c>
      <c r="G322" s="166" t="s">
        <v>432</v>
      </c>
      <c r="H322" s="166" t="s">
        <v>433</v>
      </c>
      <c r="I322" s="166" t="s">
        <v>434</v>
      </c>
      <c r="J322" s="166" t="s">
        <v>435</v>
      </c>
      <c r="K322" s="166" t="s">
        <v>7</v>
      </c>
      <c r="L322" s="166" t="s">
        <v>436</v>
      </c>
      <c r="M322" s="166" t="s">
        <v>437</v>
      </c>
      <c r="N322" s="166"/>
      <c r="O322" s="168" t="s">
        <v>319</v>
      </c>
      <c r="P322" s="169" t="s">
        <v>332</v>
      </c>
      <c r="R322" s="171"/>
      <c r="S322" s="172"/>
    </row>
    <row r="323" spans="1:19" hidden="1" outlineLevel="2" x14ac:dyDescent="0.25">
      <c r="B323" s="174" t="s">
        <v>671</v>
      </c>
      <c r="C323" s="234" t="s">
        <v>227</v>
      </c>
      <c r="E323" s="237">
        <f>Daten_ALLG!$D$281</f>
        <v>0.05</v>
      </c>
      <c r="F323" s="237">
        <f>Daten_ALLG!$D$276</f>
        <v>8.6999999999999994E-2</v>
      </c>
      <c r="G323" s="237">
        <f>Daten_ALLG!$D$277</f>
        <v>0.122</v>
      </c>
      <c r="H323" s="237">
        <f>Daten_ALLG!$D$276</f>
        <v>8.6999999999999994E-2</v>
      </c>
      <c r="I323" s="237">
        <f>Daten_ALLG!$D$277</f>
        <v>0.122</v>
      </c>
      <c r="J323" s="237">
        <f>Daten_ALLG!$D$280</f>
        <v>0.10199999999999999</v>
      </c>
      <c r="K323" s="237">
        <f>Daten_ALLG!$D$278</f>
        <v>0.186</v>
      </c>
      <c r="L323" s="237">
        <f>Daten_ALLG!$D$279</f>
        <v>0.186</v>
      </c>
      <c r="M323" s="237">
        <f>Daten_ALLG!$D$279</f>
        <v>0.186</v>
      </c>
    </row>
    <row r="324" spans="1:19" hidden="1" outlineLevel="2" x14ac:dyDescent="0.25">
      <c r="B324" s="174" t="s">
        <v>678</v>
      </c>
      <c r="C324" s="234" t="s">
        <v>13</v>
      </c>
      <c r="D324" s="237">
        <f>SUMPRODUCT(E305:M305,E324:M324)</f>
        <v>0.12755889581751487</v>
      </c>
      <c r="E324" s="237">
        <f t="shared" ref="E324:M325" si="25">E$323/E306</f>
        <v>7.1428571428571438E-2</v>
      </c>
      <c r="F324" s="237">
        <f t="shared" si="25"/>
        <v>0.11599999999999999</v>
      </c>
      <c r="G324" s="237">
        <f t="shared" si="25"/>
        <v>0.16266666666666665</v>
      </c>
      <c r="H324" s="237">
        <f t="shared" si="25"/>
        <v>9.8863636363636362E-2</v>
      </c>
      <c r="I324" s="237">
        <f t="shared" si="25"/>
        <v>0.13863636363636364</v>
      </c>
      <c r="J324" s="237">
        <f t="shared" si="25"/>
        <v>0.10408163265306122</v>
      </c>
      <c r="K324" s="237">
        <f t="shared" si="25"/>
        <v>0.186</v>
      </c>
      <c r="L324" s="237">
        <f t="shared" si="25"/>
        <v>0.10577329969875245</v>
      </c>
      <c r="M324" s="237">
        <f t="shared" si="25"/>
        <v>8.6856327410147427E-2</v>
      </c>
      <c r="N324" s="215" t="s">
        <v>563</v>
      </c>
      <c r="O324" s="235">
        <f>IF($A$303&lt;&gt;"",IF($D303="V",$D324,IF($E303="V",$E324,IF($F303="V",$F324,IF($G303="V",$G324,IF($H303="V",$H324,IF($I303="V",$I324,IF($J303="V",$J324,IF($K303="V",$K324,IF($L303="V",$L324,IF($M303="V",$M324,"")))))))))),$D324)</f>
        <v>0.12755889581751487</v>
      </c>
      <c r="P324" s="236">
        <f>IF($A$303&lt;&gt;"",IF($D303="N",D325,IF($E303="N",$E325,IF($F303="N",$F325,IF($G303="N",$G325,IF($H303="N",$H325,IF($I303="N",$I325,IF($J303="N",$J325,IF($K303="N",$K325,IF($L303="N",$L325,IF($M303="N",$M325,SUMPRODUCT(D326:M326,D325:M325))))))))))),$D325)</f>
        <v>0.12755889581751487</v>
      </c>
    </row>
    <row r="325" spans="1:19" hidden="1" outlineLevel="2" x14ac:dyDescent="0.25">
      <c r="C325" s="234" t="s">
        <v>13</v>
      </c>
      <c r="D325" s="237">
        <f>SUMPRODUCT(E305:M305,E325:M325)</f>
        <v>0.12755889581751487</v>
      </c>
      <c r="E325" s="237">
        <f t="shared" si="25"/>
        <v>7.1428571428571438E-2</v>
      </c>
      <c r="F325" s="237">
        <f t="shared" si="25"/>
        <v>0.11599999999999999</v>
      </c>
      <c r="G325" s="237">
        <f t="shared" si="25"/>
        <v>0.16266666666666665</v>
      </c>
      <c r="H325" s="237">
        <f t="shared" si="25"/>
        <v>9.8863636363636362E-2</v>
      </c>
      <c r="I325" s="237">
        <f t="shared" si="25"/>
        <v>0.13863636363636364</v>
      </c>
      <c r="J325" s="237">
        <f t="shared" si="25"/>
        <v>0.10408163265306122</v>
      </c>
      <c r="K325" s="237">
        <f t="shared" si="25"/>
        <v>0.186</v>
      </c>
      <c r="L325" s="237">
        <f t="shared" si="25"/>
        <v>0.10577329969875245</v>
      </c>
      <c r="M325" s="237">
        <f t="shared" si="25"/>
        <v>8.6856327410147427E-2</v>
      </c>
      <c r="N325" s="174" t="s">
        <v>564</v>
      </c>
    </row>
    <row r="326" spans="1:19" hidden="1" outlineLevel="2" x14ac:dyDescent="0.25">
      <c r="C326" s="185"/>
      <c r="D326" s="218">
        <f t="shared" ref="D326:M326" si="26">IF(D303="V",1,0)</f>
        <v>0</v>
      </c>
      <c r="E326" s="218">
        <f t="shared" si="26"/>
        <v>0</v>
      </c>
      <c r="F326" s="218">
        <f t="shared" si="26"/>
        <v>0</v>
      </c>
      <c r="G326" s="218">
        <f t="shared" si="26"/>
        <v>0</v>
      </c>
      <c r="H326" s="218">
        <f t="shared" si="26"/>
        <v>0</v>
      </c>
      <c r="I326" s="218">
        <f t="shared" si="26"/>
        <v>0</v>
      </c>
      <c r="J326" s="218">
        <f t="shared" si="26"/>
        <v>0</v>
      </c>
      <c r="K326" s="218">
        <f t="shared" si="26"/>
        <v>0</v>
      </c>
      <c r="L326" s="218">
        <f t="shared" si="26"/>
        <v>0</v>
      </c>
      <c r="M326" s="218">
        <f t="shared" si="26"/>
        <v>0</v>
      </c>
    </row>
    <row r="327" spans="1:19" s="159" customFormat="1" ht="14.25" customHeight="1" collapsed="1" x14ac:dyDescent="0.25">
      <c r="A327" s="156" t="s">
        <v>465</v>
      </c>
      <c r="B327" s="157"/>
      <c r="C327" s="157"/>
      <c r="D327" s="158"/>
      <c r="O327" s="160"/>
      <c r="P327" s="161"/>
      <c r="R327" s="160"/>
      <c r="S327" s="161"/>
    </row>
    <row r="328" spans="1:19" s="162" customFormat="1" hidden="1" outlineLevel="2" x14ac:dyDescent="0.25">
      <c r="A328" s="212" t="str">
        <f>IF(A276="","",A276)</f>
        <v/>
      </c>
      <c r="B328" s="163" t="s">
        <v>461</v>
      </c>
      <c r="D328" s="212" t="str">
        <f t="shared" ref="D328:M328" si="27">IF(D276="","",D276)</f>
        <v/>
      </c>
      <c r="E328" s="212" t="str">
        <f t="shared" si="27"/>
        <v/>
      </c>
      <c r="F328" s="212" t="str">
        <f t="shared" si="27"/>
        <v/>
      </c>
      <c r="G328" s="212" t="str">
        <f t="shared" si="27"/>
        <v/>
      </c>
      <c r="H328" s="212" t="str">
        <f t="shared" si="27"/>
        <v/>
      </c>
      <c r="I328" s="212" t="str">
        <f t="shared" si="27"/>
        <v/>
      </c>
      <c r="J328" s="212" t="str">
        <f t="shared" si="27"/>
        <v/>
      </c>
      <c r="K328" s="212" t="str">
        <f t="shared" si="27"/>
        <v/>
      </c>
      <c r="L328" s="212" t="str">
        <f t="shared" si="27"/>
        <v/>
      </c>
      <c r="M328" s="212" t="str">
        <f t="shared" si="27"/>
        <v/>
      </c>
      <c r="O328" s="164"/>
      <c r="P328" s="165"/>
      <c r="R328" s="164" t="s">
        <v>457</v>
      </c>
      <c r="S328" s="165"/>
    </row>
    <row r="329" spans="1:19" s="170" customFormat="1" hidden="1" outlineLevel="2" x14ac:dyDescent="0.25">
      <c r="A329" s="166"/>
      <c r="B329" s="167"/>
      <c r="C329" s="166"/>
      <c r="D329" s="166" t="s">
        <v>389</v>
      </c>
      <c r="E329" s="166" t="s">
        <v>6</v>
      </c>
      <c r="F329" s="166" t="s">
        <v>431</v>
      </c>
      <c r="G329" s="166" t="s">
        <v>432</v>
      </c>
      <c r="H329" s="166" t="s">
        <v>433</v>
      </c>
      <c r="I329" s="170" t="s">
        <v>434</v>
      </c>
      <c r="J329" s="166" t="s">
        <v>435</v>
      </c>
      <c r="K329" s="166" t="s">
        <v>7</v>
      </c>
      <c r="L329" s="166" t="s">
        <v>436</v>
      </c>
      <c r="M329" s="166" t="s">
        <v>437</v>
      </c>
      <c r="N329" s="166"/>
      <c r="O329" s="168" t="s">
        <v>319</v>
      </c>
      <c r="P329" s="169" t="s">
        <v>332</v>
      </c>
      <c r="R329" s="171" t="s">
        <v>446</v>
      </c>
      <c r="S329" s="172" t="s">
        <v>456</v>
      </c>
    </row>
    <row r="330" spans="1:19" hidden="1" outlineLevel="2" x14ac:dyDescent="0.25">
      <c r="B330" s="174" t="s">
        <v>444</v>
      </c>
      <c r="C330" s="234" t="s">
        <v>427</v>
      </c>
      <c r="D330" s="214">
        <f>SUMPRODUCT(E278:M278,E330:M330)</f>
        <v>46.074334598707416</v>
      </c>
      <c r="E330" s="214">
        <f>E282*Daten_ALLG!$D$98</f>
        <v>1298.6534641204469</v>
      </c>
      <c r="L330" s="214">
        <f>L282*Daten_ALLG!$D$98</f>
        <v>902.01437200368207</v>
      </c>
      <c r="M330" s="214">
        <f>M282*Daten_ALLG!$D$98</f>
        <v>1339.6876532407084</v>
      </c>
      <c r="N330" s="215" t="s">
        <v>563</v>
      </c>
    </row>
    <row r="331" spans="1:19" hidden="1" outlineLevel="2" x14ac:dyDescent="0.25">
      <c r="C331" s="234" t="s">
        <v>427</v>
      </c>
      <c r="D331" s="214">
        <f>SUMPRODUCT(E278:M278,E331:M331)</f>
        <v>46.074334598707416</v>
      </c>
      <c r="E331" s="214">
        <f>E283*Daten_ALLG!$D$98</f>
        <v>1298.6534641204469</v>
      </c>
      <c r="L331" s="214">
        <f>L283*Daten_ALLG!$D$98</f>
        <v>902.01437200368207</v>
      </c>
      <c r="M331" s="214">
        <f>M283*Daten_ALLG!$D$98</f>
        <v>1339.6876532407084</v>
      </c>
      <c r="N331" s="174" t="s">
        <v>564</v>
      </c>
      <c r="O331" s="193">
        <f>IF($A$328&lt;&gt;"",IF($D328="V",$D330,IF($E328="V",$E330,IF($F328="V",$F330,IF($G328="V",$G330,IF($H328="V",$H330,IF($I328="V",$I330,IF($J328="V",$J330,IF($K328="V",$K330,IF($L328="V",$L330,IF($M328="V",$M330,"")))))))))),$D330)</f>
        <v>46.074334598707416</v>
      </c>
      <c r="P331" s="194">
        <f>IF($A$328&lt;&gt;"",IF($D328="N",D331,IF($E328="N",$E331,IF($F328="N",$F331,IF($G328="N",$G331,IF($H328="N",$H331,IF($I328="N",$I331,IF($J328="N",$J331,IF($K328="N",$K331,IF($L328="N",$L331,IF($M328="N",$M331,SUMPRODUCT(D332:M332,D331:M331))))))))))),$D331)</f>
        <v>46.074334598707416</v>
      </c>
      <c r="Q331" s="185" t="s">
        <v>427</v>
      </c>
      <c r="R331" s="180">
        <f>IF(A328&lt;&gt;"",IF(OR(L328="n",M328="n",E328="n"),P331,0),0)</f>
        <v>0</v>
      </c>
    </row>
    <row r="332" spans="1:19" hidden="1" outlineLevel="2" x14ac:dyDescent="0.25">
      <c r="C332" s="185"/>
      <c r="D332" s="218">
        <f>IF(D328="V",1,0)</f>
        <v>0</v>
      </c>
      <c r="E332" s="218">
        <f t="shared" ref="E332:M332" si="28">IF(E328="V",1,0)</f>
        <v>0</v>
      </c>
      <c r="F332" s="218">
        <f t="shared" si="28"/>
        <v>0</v>
      </c>
      <c r="G332" s="218">
        <f t="shared" si="28"/>
        <v>0</v>
      </c>
      <c r="H332" s="218">
        <f t="shared" si="28"/>
        <v>0</v>
      </c>
      <c r="I332" s="218">
        <f t="shared" si="28"/>
        <v>0</v>
      </c>
      <c r="J332" s="218">
        <f t="shared" si="28"/>
        <v>0</v>
      </c>
      <c r="K332" s="218">
        <f t="shared" si="28"/>
        <v>0</v>
      </c>
      <c r="L332" s="218">
        <f t="shared" si="28"/>
        <v>0</v>
      </c>
      <c r="M332" s="218">
        <f t="shared" si="28"/>
        <v>0</v>
      </c>
    </row>
    <row r="333" spans="1:19" s="162" customFormat="1" hidden="1" outlineLevel="2" x14ac:dyDescent="0.25">
      <c r="B333" s="163" t="s">
        <v>443</v>
      </c>
      <c r="O333" s="164"/>
      <c r="P333" s="165"/>
      <c r="R333" s="164"/>
      <c r="S333" s="165"/>
    </row>
    <row r="334" spans="1:19" s="170" customFormat="1" hidden="1" outlineLevel="2" x14ac:dyDescent="0.25">
      <c r="A334" s="166"/>
      <c r="B334" s="167"/>
      <c r="C334" s="166"/>
      <c r="D334" s="166"/>
      <c r="E334" s="166"/>
      <c r="F334" s="166"/>
      <c r="G334" s="166"/>
      <c r="H334" s="166"/>
      <c r="J334" s="166"/>
      <c r="K334" s="166"/>
      <c r="L334" s="166"/>
      <c r="M334" s="166"/>
      <c r="N334" s="166"/>
      <c r="O334" s="168" t="s">
        <v>319</v>
      </c>
      <c r="P334" s="169" t="s">
        <v>332</v>
      </c>
      <c r="R334" s="171"/>
      <c r="S334" s="172"/>
    </row>
    <row r="335" spans="1:19" hidden="1" outlineLevel="2" x14ac:dyDescent="0.25">
      <c r="B335" s="174" t="s">
        <v>447</v>
      </c>
      <c r="C335" s="234" t="s">
        <v>355</v>
      </c>
      <c r="D335" s="214">
        <f>Daten_ALLG!$M$105*O331^Daten_ALLG!$M$107*(O134-O26)</f>
        <v>16.052011988062709</v>
      </c>
      <c r="E335" s="214">
        <f>Daten_ALLG!$M$105*P331^Daten_ALLG!$M$107*(P134-P26)</f>
        <v>16.052011988062709</v>
      </c>
      <c r="O335" s="238"/>
      <c r="P335" s="239"/>
    </row>
    <row r="336" spans="1:19" hidden="1" outlineLevel="2" x14ac:dyDescent="0.25">
      <c r="B336" s="174" t="s">
        <v>478</v>
      </c>
      <c r="C336" s="234" t="s">
        <v>348</v>
      </c>
      <c r="O336" s="216">
        <f>D335*O18*24/1000</f>
        <v>104.73739999714698</v>
      </c>
      <c r="P336" s="217">
        <f>E335*P18*24/1000</f>
        <v>104.73739999714698</v>
      </c>
    </row>
    <row r="337" spans="1:19" s="162" customFormat="1" hidden="1" outlineLevel="2" x14ac:dyDescent="0.25">
      <c r="A337" s="212" t="str">
        <f>IF(A349="","",A349)</f>
        <v/>
      </c>
      <c r="B337" s="163" t="s">
        <v>462</v>
      </c>
      <c r="D337" s="212" t="str">
        <f>IF(D349="","",D349)</f>
        <v/>
      </c>
      <c r="E337" s="212" t="str">
        <f>IF(E349="","",E349)</f>
        <v/>
      </c>
      <c r="F337" s="212" t="str">
        <f>IF(F349="","",F349)</f>
        <v/>
      </c>
      <c r="G337" s="212"/>
      <c r="H337" s="212"/>
      <c r="I337" s="212"/>
      <c r="J337" s="212"/>
      <c r="K337" s="212"/>
      <c r="L337" s="212"/>
      <c r="M337" s="212"/>
      <c r="O337" s="164"/>
      <c r="P337" s="165"/>
      <c r="R337" s="164" t="s">
        <v>457</v>
      </c>
      <c r="S337" s="165"/>
    </row>
    <row r="338" spans="1:19" s="170" customFormat="1" hidden="1" outlineLevel="2" x14ac:dyDescent="0.25">
      <c r="A338" s="166"/>
      <c r="B338" s="167"/>
      <c r="C338" s="166"/>
      <c r="D338" s="166" t="s">
        <v>389</v>
      </c>
      <c r="E338" s="166" t="s">
        <v>180</v>
      </c>
      <c r="F338" s="166" t="s">
        <v>23</v>
      </c>
      <c r="H338" s="166"/>
      <c r="J338" s="166"/>
      <c r="K338" s="166"/>
      <c r="L338" s="166"/>
      <c r="M338" s="166"/>
      <c r="N338" s="166"/>
      <c r="O338" s="168" t="s">
        <v>319</v>
      </c>
      <c r="P338" s="169" t="s">
        <v>332</v>
      </c>
      <c r="R338" s="171" t="s">
        <v>446</v>
      </c>
      <c r="S338" s="172" t="s">
        <v>456</v>
      </c>
    </row>
    <row r="339" spans="1:19" hidden="1" outlineLevel="2" x14ac:dyDescent="0.25">
      <c r="B339" s="174" t="s">
        <v>444</v>
      </c>
      <c r="C339" s="234" t="s">
        <v>427</v>
      </c>
      <c r="D339" s="214">
        <f>E351*E339+F351*F339</f>
        <v>374.8093579994611</v>
      </c>
      <c r="E339" s="214">
        <f>Daten_ALLG!$D$101*Daten_MFH!$D$18+Daten_ALLG!$F$101</f>
        <v>303.50521520871564</v>
      </c>
      <c r="F339" s="214">
        <f>Daten_ALLG!$D$102*F353</f>
        <v>1095.7734684392206</v>
      </c>
      <c r="L339" s="220"/>
      <c r="M339" s="220"/>
      <c r="O339" s="193">
        <f>IF($A337&lt;&gt;"",IF($D337="V",$D339,IF($E337="V",$E339,IF($F337="V",F339,""))),$D339)</f>
        <v>374.8093579994611</v>
      </c>
      <c r="P339" s="194">
        <f>IF($A337&lt;&gt;"",IF($D337="N",$D339,IF($E337="N",$E339,IF($F337="N",F339,O339))),$D339)</f>
        <v>374.8093579994611</v>
      </c>
      <c r="Q339" s="185" t="s">
        <v>427</v>
      </c>
      <c r="R339" s="180">
        <f>IF(A303="",0,IF(F349="N",F339,IF(E349="N",E339,0)))</f>
        <v>0</v>
      </c>
      <c r="S339" s="181">
        <f>IF(A303="",0,IF(R339=0,0,E339))</f>
        <v>0</v>
      </c>
    </row>
    <row r="340" spans="1:19" s="162" customFormat="1" hidden="1" outlineLevel="2" x14ac:dyDescent="0.25">
      <c r="B340" s="163" t="s">
        <v>464</v>
      </c>
      <c r="O340" s="164"/>
      <c r="P340" s="165"/>
      <c r="R340" s="164"/>
      <c r="S340" s="165"/>
    </row>
    <row r="341" spans="1:19" s="170" customFormat="1" hidden="1" outlineLevel="2" x14ac:dyDescent="0.25">
      <c r="A341" s="166"/>
      <c r="B341" s="167"/>
      <c r="C341" s="166"/>
      <c r="D341" s="166"/>
      <c r="E341" s="166"/>
      <c r="F341" s="166"/>
      <c r="G341" s="166"/>
      <c r="H341" s="166"/>
      <c r="J341" s="166"/>
      <c r="K341" s="166"/>
      <c r="L341" s="166"/>
      <c r="M341" s="166"/>
      <c r="N341" s="166"/>
      <c r="O341" s="168" t="s">
        <v>319</v>
      </c>
      <c r="P341" s="169" t="s">
        <v>332</v>
      </c>
      <c r="R341" s="171"/>
      <c r="S341" s="172"/>
    </row>
    <row r="342" spans="1:19" hidden="1" outlineLevel="2" x14ac:dyDescent="0.25">
      <c r="B342" s="174" t="s">
        <v>447</v>
      </c>
      <c r="C342" s="234" t="s">
        <v>355</v>
      </c>
      <c r="D342" s="214">
        <f>Daten_ALLG!$M$105*O339^Daten_ALLG!$M$107*(Daten_ALLG!$D$37-O26)</f>
        <v>111.0767585482976</v>
      </c>
      <c r="E342" s="214">
        <f>Daten_ALLG!$M$105*P339^Daten_ALLG!$M$107*(Daten_ALLG!$D$37-P26)</f>
        <v>111.0767585482976</v>
      </c>
      <c r="O342" s="238"/>
      <c r="P342" s="239"/>
    </row>
    <row r="343" spans="1:19" hidden="1" outlineLevel="2" x14ac:dyDescent="0.25">
      <c r="B343" s="174" t="s">
        <v>479</v>
      </c>
      <c r="C343" s="234" t="s">
        <v>348</v>
      </c>
      <c r="O343" s="216">
        <f>D342*8760/1000</f>
        <v>973.032404883087</v>
      </c>
      <c r="P343" s="217">
        <f>E342*8760/1000</f>
        <v>973.032404883087</v>
      </c>
    </row>
    <row r="344" spans="1:19" s="159" customFormat="1" ht="14.25" customHeight="1" collapsed="1" x14ac:dyDescent="0.25">
      <c r="A344" s="156" t="s">
        <v>190</v>
      </c>
      <c r="B344" s="157"/>
      <c r="C344" s="157"/>
      <c r="D344" s="158"/>
      <c r="O344" s="160"/>
      <c r="P344" s="161"/>
      <c r="R344" s="160"/>
      <c r="S344" s="161"/>
    </row>
    <row r="345" spans="1:19" s="162" customFormat="1" hidden="1" outlineLevel="2" x14ac:dyDescent="0.25">
      <c r="B345" s="163" t="s">
        <v>365</v>
      </c>
      <c r="O345" s="164"/>
      <c r="P345" s="165"/>
      <c r="R345" s="164"/>
      <c r="S345" s="165"/>
    </row>
    <row r="346" spans="1:19" s="170" customFormat="1" hidden="1" outlineLevel="2" x14ac:dyDescent="0.25">
      <c r="A346" s="166"/>
      <c r="B346" s="167"/>
      <c r="C346" s="166"/>
      <c r="D346" s="166"/>
      <c r="E346" s="166"/>
      <c r="F346" s="166"/>
      <c r="G346" s="166"/>
      <c r="H346" s="166"/>
      <c r="J346" s="166"/>
      <c r="K346" s="166"/>
      <c r="L346" s="166"/>
      <c r="M346" s="166"/>
      <c r="N346" s="166"/>
      <c r="O346" s="168" t="s">
        <v>319</v>
      </c>
      <c r="P346" s="169" t="s">
        <v>332</v>
      </c>
      <c r="R346" s="171"/>
      <c r="S346" s="172"/>
    </row>
    <row r="347" spans="1:19" hidden="1" outlineLevel="2" x14ac:dyDescent="0.25">
      <c r="B347" s="174" t="s">
        <v>467</v>
      </c>
      <c r="C347" s="185" t="s">
        <v>348</v>
      </c>
      <c r="O347" s="216">
        <f>(Daten_ALLG!$M$166*O94^Daten_ALLG!$M$168)*Daten_MFH!$D$16</f>
        <v>1616.9608619500293</v>
      </c>
      <c r="P347" s="217">
        <f>(Daten_ALLG!$M$166*P94^Daten_ALLG!$M$168)*Daten_MFH!$D$16</f>
        <v>1616.9608619500293</v>
      </c>
    </row>
    <row r="348" spans="1:19" s="159" customFormat="1" ht="14.25" customHeight="1" thickBot="1" x14ac:dyDescent="0.3">
      <c r="A348" s="156" t="s">
        <v>458</v>
      </c>
      <c r="B348" s="157"/>
      <c r="C348" s="157"/>
      <c r="D348" s="158"/>
      <c r="O348" s="160"/>
      <c r="P348" s="161"/>
      <c r="R348" s="160"/>
      <c r="S348" s="161"/>
    </row>
    <row r="349" spans="1:19" s="162" customFormat="1" ht="15.75" outlineLevel="1" thickBot="1" x14ac:dyDescent="0.3">
      <c r="A349" s="335" t="str">
        <f>IF(Bil_MFH_mQS!A349="","",Bil_MFH_mQS!A349)</f>
        <v/>
      </c>
      <c r="B349" s="163" t="s">
        <v>453</v>
      </c>
      <c r="D349" s="335" t="str">
        <f>IF(Bil_MFH_mQS!D349="","",Bil_MFH_mQS!D349)</f>
        <v/>
      </c>
      <c r="E349" s="335" t="str">
        <f>IF(Bil_MFH_mQS!E349="","",Bil_MFH_mQS!E349)</f>
        <v/>
      </c>
      <c r="F349" s="335" t="str">
        <f>IF(Bil_MFH_mQS!F349="","",Bil_MFH_mQS!F349)</f>
        <v/>
      </c>
      <c r="O349" s="164"/>
      <c r="P349" s="165"/>
      <c r="R349" s="164" t="s">
        <v>457</v>
      </c>
      <c r="S349" s="165"/>
    </row>
    <row r="350" spans="1:19" s="170" customFormat="1" ht="15.75" outlineLevel="1" collapsed="1" thickBot="1" x14ac:dyDescent="0.3">
      <c r="A350" s="166"/>
      <c r="B350" s="167"/>
      <c r="C350" s="166"/>
      <c r="D350" s="166" t="s">
        <v>389</v>
      </c>
      <c r="E350" s="166" t="s">
        <v>191</v>
      </c>
      <c r="F350" s="166" t="s">
        <v>45</v>
      </c>
      <c r="G350" s="166"/>
      <c r="H350" s="166"/>
      <c r="J350" s="166"/>
      <c r="K350" s="166"/>
      <c r="L350" s="166"/>
      <c r="M350" s="166"/>
      <c r="N350" s="166"/>
      <c r="O350" s="168" t="s">
        <v>319</v>
      </c>
      <c r="P350" s="169" t="s">
        <v>332</v>
      </c>
      <c r="R350" s="171" t="s">
        <v>454</v>
      </c>
      <c r="S350" s="172" t="s">
        <v>456</v>
      </c>
    </row>
    <row r="351" spans="1:19" ht="15.75" hidden="1" outlineLevel="2" thickBot="1" x14ac:dyDescent="0.3">
      <c r="B351" s="174" t="s">
        <v>157</v>
      </c>
      <c r="C351" s="185" t="s">
        <v>13</v>
      </c>
      <c r="E351" s="191">
        <f>1-F351</f>
        <v>0.91</v>
      </c>
      <c r="F351" s="191">
        <f>Daten_MFH!$D$105</f>
        <v>0.09</v>
      </c>
      <c r="J351" s="197"/>
      <c r="K351" s="197"/>
      <c r="L351" s="197"/>
      <c r="M351" s="197"/>
      <c r="N351" s="197"/>
    </row>
    <row r="352" spans="1:19" ht="15.75" hidden="1" outlineLevel="2" thickBot="1" x14ac:dyDescent="0.3">
      <c r="B352" s="174" t="s">
        <v>480</v>
      </c>
      <c r="C352" s="234" t="s">
        <v>348</v>
      </c>
      <c r="D352" s="187">
        <f>F351*F352</f>
        <v>525.97126485082583</v>
      </c>
      <c r="E352" s="187">
        <v>0</v>
      </c>
      <c r="F352" s="184">
        <f>F353*Daten_ALLG!$M$147</f>
        <v>5844.1251650091763</v>
      </c>
      <c r="G352" s="197"/>
      <c r="H352" s="197"/>
      <c r="O352" s="216">
        <f>IF($A349&lt;&gt;"",IF($D349="V",$D352,IF($E349="V",$E352,IF($F349="V",F352,""))),$D352)</f>
        <v>525.97126485082583</v>
      </c>
      <c r="P352" s="217">
        <f>IF($A349&lt;&gt;"",IF($D349="N",$D352,IF($E349="N",$E352,IF($F349="N",F352,O352))),$D352)</f>
        <v>525.97126485082583</v>
      </c>
      <c r="Q352" s="185" t="s">
        <v>50</v>
      </c>
      <c r="R352" s="200">
        <f>IF(F349="n",F353,0)</f>
        <v>0</v>
      </c>
    </row>
    <row r="353" spans="1:19" ht="15.75" hidden="1" outlineLevel="2" thickBot="1" x14ac:dyDescent="0.3">
      <c r="B353" s="174" t="s">
        <v>452</v>
      </c>
      <c r="C353" s="175" t="s">
        <v>50</v>
      </c>
      <c r="D353" s="207">
        <f>F351*F353</f>
        <v>1.6436602026588307</v>
      </c>
      <c r="E353" s="223">
        <v>0</v>
      </c>
      <c r="F353" s="213">
        <f>Daten_MFH!$D$18*Daten_ALLG!$D$144</f>
        <v>18.262891140653675</v>
      </c>
    </row>
    <row r="354" spans="1:19" s="162" customFormat="1" ht="15.75" outlineLevel="1" thickBot="1" x14ac:dyDescent="0.3">
      <c r="A354" s="335" t="str">
        <f>IF(Bil_MFH_mQS!A354="","",Bil_MFH_mQS!A354)</f>
        <v/>
      </c>
      <c r="B354" s="163" t="s">
        <v>459</v>
      </c>
      <c r="D354" s="335" t="str">
        <f>IF(Bil_MFH_mQS!D354="","",Bil_MFH_mQS!D354)</f>
        <v/>
      </c>
      <c r="E354" s="335" t="str">
        <f>IF(Bil_MFH_mQS!E354="","",Bil_MFH_mQS!E354)</f>
        <v/>
      </c>
      <c r="F354" s="335" t="str">
        <f>IF(Bil_MFH_mQS!F354="","",Bil_MFH_mQS!F354)</f>
        <v/>
      </c>
      <c r="O354" s="164"/>
      <c r="P354" s="165"/>
      <c r="R354" s="164" t="s">
        <v>457</v>
      </c>
      <c r="S354" s="165"/>
    </row>
    <row r="355" spans="1:19" s="170" customFormat="1" outlineLevel="1" collapsed="1" x14ac:dyDescent="0.25">
      <c r="A355" s="166"/>
      <c r="B355" s="167"/>
      <c r="C355" s="166"/>
      <c r="D355" s="166" t="s">
        <v>65</v>
      </c>
      <c r="E355" s="166" t="s">
        <v>191</v>
      </c>
      <c r="F355" s="166" t="s">
        <v>45</v>
      </c>
      <c r="G355" s="166"/>
      <c r="H355" s="166"/>
      <c r="J355" s="166"/>
      <c r="K355" s="166"/>
      <c r="L355" s="166"/>
      <c r="M355" s="166"/>
      <c r="N355" s="166"/>
      <c r="O355" s="168" t="s">
        <v>319</v>
      </c>
      <c r="P355" s="169" t="s">
        <v>332</v>
      </c>
      <c r="R355" s="171" t="s">
        <v>460</v>
      </c>
      <c r="S355" s="172" t="s">
        <v>456</v>
      </c>
    </row>
    <row r="356" spans="1:19" hidden="1" outlineLevel="2" x14ac:dyDescent="0.25">
      <c r="B356" s="174" t="s">
        <v>157</v>
      </c>
      <c r="C356" s="185" t="s">
        <v>13</v>
      </c>
      <c r="D356" s="230"/>
      <c r="E356" s="191">
        <f>1-F356</f>
        <v>0.94</v>
      </c>
      <c r="F356" s="191">
        <f>Daten_MFH!$D$108</f>
        <v>0.06</v>
      </c>
      <c r="G356" s="192"/>
      <c r="H356" s="192"/>
      <c r="J356" s="192"/>
      <c r="K356" s="192"/>
      <c r="L356" s="192"/>
      <c r="M356" s="192"/>
      <c r="N356" s="192"/>
    </row>
    <row r="357" spans="1:19" hidden="1" outlineLevel="2" x14ac:dyDescent="0.25">
      <c r="B357" s="174" t="s">
        <v>372</v>
      </c>
      <c r="C357" s="185" t="s">
        <v>348</v>
      </c>
      <c r="D357" s="214">
        <f>E356*E357+F356*F357</f>
        <v>901.58799879809214</v>
      </c>
      <c r="E357" s="223">
        <v>0</v>
      </c>
      <c r="F357" s="214">
        <f>F358*Daten_ALLG!$D$154</f>
        <v>15026.46664663487</v>
      </c>
      <c r="G357" s="185"/>
      <c r="H357" s="185"/>
      <c r="J357" s="220"/>
      <c r="K357" s="220"/>
      <c r="L357" s="220"/>
      <c r="M357" s="220"/>
      <c r="N357" s="220"/>
      <c r="O357" s="216">
        <f>IF($A354&lt;&gt;"",IF($D354="V",$D357,IF($E354="V",$E357,IF($F354="V",F357,""))),$D357)</f>
        <v>901.58799879809214</v>
      </c>
      <c r="P357" s="217">
        <f>IF($A354&lt;&gt;"",IF($D354="N",$D357,IF($E354="N",$E357,IF($F354="N",F357,O357))),$D357)</f>
        <v>901.58799879809214</v>
      </c>
      <c r="Q357" s="185" t="s">
        <v>368</v>
      </c>
      <c r="R357" s="200">
        <f>IF(F354="N",F358,0)</f>
        <v>0</v>
      </c>
    </row>
    <row r="358" spans="1:19" hidden="1" outlineLevel="2" x14ac:dyDescent="0.25">
      <c r="B358" s="174" t="s">
        <v>370</v>
      </c>
      <c r="C358" s="185" t="s">
        <v>368</v>
      </c>
      <c r="D358" s="207">
        <f>F356*F358</f>
        <v>0.90158799879809215</v>
      </c>
      <c r="E358" s="223">
        <v>0</v>
      </c>
      <c r="F358" s="202">
        <f>F359/Daten_ALLG!$D$151</f>
        <v>15.026466646634869</v>
      </c>
    </row>
    <row r="359" spans="1:19" hidden="1" outlineLevel="2" x14ac:dyDescent="0.25">
      <c r="B359" s="174" t="s">
        <v>371</v>
      </c>
      <c r="C359" s="185" t="s">
        <v>50</v>
      </c>
      <c r="F359" s="214">
        <f>Daten_MFH!$D$25*Daten_ALLG!$D$150</f>
        <v>75.13233323317435</v>
      </c>
    </row>
    <row r="360" spans="1:19" s="159" customFormat="1" ht="14.25" customHeight="1" collapsed="1" x14ac:dyDescent="0.25">
      <c r="A360" s="156" t="s">
        <v>706</v>
      </c>
      <c r="B360" s="157"/>
      <c r="C360" s="157"/>
      <c r="D360" s="158"/>
      <c r="O360" s="160"/>
      <c r="P360" s="161"/>
      <c r="R360" s="160"/>
      <c r="S360" s="161"/>
    </row>
    <row r="361" spans="1:19" s="162" customFormat="1" hidden="1" outlineLevel="2" x14ac:dyDescent="0.25">
      <c r="B361" s="163" t="s">
        <v>770</v>
      </c>
      <c r="O361" s="164"/>
      <c r="P361" s="165"/>
      <c r="R361" s="164"/>
      <c r="S361" s="165"/>
    </row>
    <row r="362" spans="1:19" s="170" customFormat="1" hidden="1" outlineLevel="2" x14ac:dyDescent="0.25">
      <c r="A362" s="166"/>
      <c r="B362" s="167"/>
      <c r="C362" s="166"/>
      <c r="D362" s="166"/>
      <c r="E362" s="166"/>
      <c r="F362" s="166"/>
      <c r="G362" s="166"/>
      <c r="H362" s="166"/>
      <c r="J362" s="166"/>
      <c r="K362" s="166"/>
      <c r="L362" s="166"/>
      <c r="M362" s="166"/>
      <c r="N362" s="166"/>
      <c r="O362" s="168" t="s">
        <v>319</v>
      </c>
      <c r="P362" s="169" t="s">
        <v>332</v>
      </c>
      <c r="R362" s="171"/>
      <c r="S362" s="172"/>
    </row>
    <row r="363" spans="1:19" hidden="1" outlineLevel="2" x14ac:dyDescent="0.25">
      <c r="B363" s="174" t="s">
        <v>691</v>
      </c>
      <c r="C363" s="174" t="s">
        <v>694</v>
      </c>
      <c r="D363" s="185"/>
      <c r="F363" s="192" t="s">
        <v>348</v>
      </c>
      <c r="J363" s="197"/>
      <c r="K363" s="197"/>
      <c r="L363" s="197"/>
      <c r="M363" s="197"/>
      <c r="N363" s="197"/>
      <c r="O363" s="221">
        <f>IF($A354&lt;&gt;"",IF($D354="V",0,IF($E354="V",0,IF($F354="V",F357,0))),0)</f>
        <v>0</v>
      </c>
      <c r="P363" s="222">
        <f>IF($A354&lt;&gt;"",IF($D354="n",0,IF($E354="n",0,IF($F354="n",F357,O363))),0)</f>
        <v>0</v>
      </c>
    </row>
    <row r="364" spans="1:19" hidden="1" outlineLevel="2" x14ac:dyDescent="0.25">
      <c r="B364" s="174" t="s">
        <v>692</v>
      </c>
      <c r="C364" s="174" t="s">
        <v>694</v>
      </c>
      <c r="D364" s="185"/>
      <c r="F364" s="192" t="s">
        <v>348</v>
      </c>
      <c r="J364" s="197"/>
      <c r="K364" s="197"/>
      <c r="L364" s="197"/>
      <c r="M364" s="197"/>
      <c r="N364" s="197"/>
      <c r="O364" s="180">
        <f>IF($A354&lt;&gt;"",IF($D354="V",$D357,IF($E354="V",0,IF($F354="V",0,0))),D357)</f>
        <v>901.58799879809214</v>
      </c>
      <c r="P364" s="181">
        <f>IF($A354&lt;&gt;"",IF($D354="n",$D357,IF($E354="n",0,IF($F354="n",0,O364))),D357)</f>
        <v>901.58799879809214</v>
      </c>
    </row>
    <row r="365" spans="1:19" s="162" customFormat="1" hidden="1" outlineLevel="2" x14ac:dyDescent="0.25">
      <c r="B365" s="163" t="s">
        <v>774</v>
      </c>
      <c r="O365" s="164"/>
      <c r="P365" s="165"/>
      <c r="R365" s="164"/>
      <c r="S365" s="165"/>
    </row>
    <row r="366" spans="1:19" s="170" customFormat="1" hidden="1" outlineLevel="2" x14ac:dyDescent="0.25">
      <c r="A366" s="166"/>
      <c r="B366" s="167"/>
      <c r="C366" s="166"/>
      <c r="D366" s="166"/>
      <c r="E366" s="166"/>
      <c r="F366" s="166"/>
      <c r="G366" s="166"/>
      <c r="H366" s="166"/>
      <c r="J366" s="166"/>
      <c r="K366" s="166"/>
      <c r="L366" s="166"/>
      <c r="M366" s="166"/>
      <c r="N366" s="166"/>
      <c r="O366" s="168" t="s">
        <v>319</v>
      </c>
      <c r="P366" s="169" t="s">
        <v>332</v>
      </c>
      <c r="R366" s="171"/>
      <c r="S366" s="172"/>
    </row>
    <row r="367" spans="1:19" hidden="1" outlineLevel="2" x14ac:dyDescent="0.25">
      <c r="B367" s="174" t="s">
        <v>691</v>
      </c>
      <c r="D367" s="174" t="s">
        <v>686</v>
      </c>
      <c r="E367" s="185" t="s">
        <v>654</v>
      </c>
      <c r="F367" s="192"/>
      <c r="J367" s="197"/>
      <c r="K367" s="197"/>
      <c r="L367" s="197"/>
      <c r="M367" s="197"/>
      <c r="N367" s="197"/>
      <c r="O367" s="221">
        <v>1</v>
      </c>
      <c r="P367" s="222">
        <v>1</v>
      </c>
    </row>
    <row r="368" spans="1:19" hidden="1" outlineLevel="2" x14ac:dyDescent="0.25">
      <c r="D368" s="174" t="s">
        <v>688</v>
      </c>
      <c r="E368" s="185" t="s">
        <v>654</v>
      </c>
      <c r="F368" s="192"/>
      <c r="J368" s="197"/>
      <c r="K368" s="197"/>
      <c r="L368" s="197"/>
      <c r="M368" s="197"/>
      <c r="N368" s="197"/>
      <c r="O368" s="221">
        <f>IF($A$276="",0,IF($D276="V",0,IF($E276="V",0,IF($F276="V",0,IF($G276="V",0,IF($H276="V",0,IF($I276="V",0,IF($J276="V",0,IF($K276="V",1,IF($L276="V",1,IF($M276="V",1,0)))))))))))</f>
        <v>0</v>
      </c>
      <c r="P368" s="222">
        <f>IF($A$276="",0,IF($D276="N",0,IF($E276="N",0,IF($F276="N",0,IF($G276="N",0,IF($H276="N",0,IF($I276="N",0,IF($J276="N",0,IF($K276="N",1,IF($L276="N",1,IF($M276="N",1,O368)))))))))))</f>
        <v>0</v>
      </c>
    </row>
    <row r="369" spans="1:19" hidden="1" outlineLevel="2" x14ac:dyDescent="0.25">
      <c r="D369" s="174" t="s">
        <v>687</v>
      </c>
      <c r="E369" s="185" t="s">
        <v>654</v>
      </c>
      <c r="F369" s="192"/>
      <c r="J369" s="197"/>
      <c r="K369" s="197"/>
      <c r="L369" s="197"/>
      <c r="M369" s="197"/>
      <c r="N369" s="197"/>
      <c r="O369" s="221">
        <f>IF($A$303="",0,IF($D303="V",0,IF($E303="V",0,IF($F303="V",0,IF($G303="V",0,IF($H303="V",0,IF($I303="V",0,IF($J303="V",0,IF($K303="V",1,IF($L303="V",1,IF($M303="V",1,0)))))))))))</f>
        <v>0</v>
      </c>
      <c r="P369" s="222">
        <f>IF($A$303="",0,IF($D303="N",0,IF($E303="N",0,IF($F303="N",0,IF($G303="N",0,IF($H303="N",0,IF($I303="N",0,IF($J303="N",0,IF($K303="N",1,IF($L303="N",1,IF($M303="N",1,O369)))))))))))</f>
        <v>0</v>
      </c>
    </row>
    <row r="370" spans="1:19" s="162" customFormat="1" hidden="1" outlineLevel="2" x14ac:dyDescent="0.25">
      <c r="B370" s="163" t="s">
        <v>771</v>
      </c>
      <c r="O370" s="164"/>
      <c r="P370" s="165"/>
      <c r="R370" s="164"/>
      <c r="S370" s="165"/>
    </row>
    <row r="371" spans="1:19" s="170" customFormat="1" hidden="1" outlineLevel="2" x14ac:dyDescent="0.25">
      <c r="A371" s="166"/>
      <c r="B371" s="167"/>
      <c r="C371" s="166"/>
      <c r="D371" s="166"/>
      <c r="E371" s="166"/>
      <c r="F371" s="166"/>
      <c r="G371" s="166"/>
      <c r="H371" s="166"/>
      <c r="J371" s="166"/>
      <c r="K371" s="166"/>
      <c r="L371" s="166"/>
      <c r="M371" s="166"/>
      <c r="N371" s="166"/>
      <c r="O371" s="168" t="s">
        <v>319</v>
      </c>
      <c r="P371" s="169" t="s">
        <v>332</v>
      </c>
      <c r="R371" s="171"/>
      <c r="S371" s="172"/>
    </row>
    <row r="372" spans="1:19" hidden="1" outlineLevel="2" x14ac:dyDescent="0.25">
      <c r="B372" s="174" t="s">
        <v>691</v>
      </c>
      <c r="C372" s="174" t="s">
        <v>689</v>
      </c>
      <c r="D372" s="185"/>
      <c r="F372" s="192" t="s">
        <v>348</v>
      </c>
      <c r="J372" s="197"/>
      <c r="K372" s="197"/>
      <c r="L372" s="197"/>
      <c r="M372" s="197"/>
      <c r="N372" s="197"/>
      <c r="O372" s="221">
        <f>O37*O367</f>
        <v>15230.086622278561</v>
      </c>
      <c r="P372" s="222">
        <f>P37*P367</f>
        <v>15230.086622278561</v>
      </c>
    </row>
    <row r="373" spans="1:19" hidden="1" outlineLevel="2" x14ac:dyDescent="0.25">
      <c r="C373" s="174" t="s">
        <v>690</v>
      </c>
      <c r="D373" s="185"/>
      <c r="F373" s="192" t="s">
        <v>348</v>
      </c>
      <c r="J373" s="197"/>
      <c r="K373" s="197"/>
      <c r="L373" s="197"/>
      <c r="M373" s="197"/>
      <c r="N373" s="197"/>
      <c r="O373" s="221">
        <f>IF(O368=0,0,O368*O409)</f>
        <v>0</v>
      </c>
      <c r="P373" s="222">
        <f>IF(P368=0,0,P368*P409)</f>
        <v>0</v>
      </c>
    </row>
    <row r="374" spans="1:19" hidden="1" outlineLevel="2" x14ac:dyDescent="0.25">
      <c r="C374" s="174" t="s">
        <v>685</v>
      </c>
      <c r="D374" s="185"/>
      <c r="F374" s="192" t="s">
        <v>348</v>
      </c>
      <c r="J374" s="197"/>
      <c r="K374" s="197"/>
      <c r="L374" s="197"/>
      <c r="M374" s="197"/>
      <c r="N374" s="197"/>
      <c r="O374" s="221">
        <f>IF(O369=0,0,O369*O417)</f>
        <v>0</v>
      </c>
      <c r="P374" s="222">
        <f>IF(P369=0,0,P369*P417)</f>
        <v>0</v>
      </c>
    </row>
    <row r="375" spans="1:19" s="162" customFormat="1" hidden="1" outlineLevel="2" x14ac:dyDescent="0.25">
      <c r="B375" s="163" t="s">
        <v>772</v>
      </c>
      <c r="O375" s="164"/>
      <c r="P375" s="165"/>
      <c r="R375" s="164"/>
      <c r="S375" s="165"/>
    </row>
    <row r="376" spans="1:19" s="170" customFormat="1" hidden="1" outlineLevel="2" x14ac:dyDescent="0.25">
      <c r="A376" s="166"/>
      <c r="B376" s="167"/>
      <c r="C376" s="166"/>
      <c r="D376" s="166"/>
      <c r="E376" s="166"/>
      <c r="F376" s="166"/>
      <c r="G376" s="166"/>
      <c r="H376" s="166"/>
      <c r="J376" s="166"/>
      <c r="K376" s="166"/>
      <c r="L376" s="166"/>
      <c r="M376" s="166"/>
      <c r="N376" s="166"/>
      <c r="O376" s="168" t="s">
        <v>319</v>
      </c>
      <c r="P376" s="169" t="s">
        <v>332</v>
      </c>
      <c r="R376" s="171"/>
      <c r="S376" s="172"/>
    </row>
    <row r="377" spans="1:19" hidden="1" outlineLevel="2" x14ac:dyDescent="0.25">
      <c r="B377" s="174" t="s">
        <v>698</v>
      </c>
      <c r="C377" s="185"/>
      <c r="E377" s="192" t="s">
        <v>13</v>
      </c>
      <c r="F377" s="192"/>
      <c r="J377" s="197"/>
      <c r="K377" s="197"/>
      <c r="L377" s="197"/>
      <c r="M377" s="197"/>
      <c r="N377" s="197"/>
      <c r="O377" s="205">
        <f>IF(O363=0,0,Daten_ALLG!$D$157*LN(F358/(O372+O374))+Daten_ALLG!$F$157)</f>
        <v>0</v>
      </c>
      <c r="P377" s="206">
        <f>IF(P363=0,0,Daten_ALLG!$D$157*LN(F358/(P372+P374))+Daten_ALLG!$F$157)</f>
        <v>0</v>
      </c>
    </row>
    <row r="378" spans="1:19" hidden="1" outlineLevel="2" x14ac:dyDescent="0.25">
      <c r="B378" s="174" t="s">
        <v>818</v>
      </c>
      <c r="E378" s="173" t="s">
        <v>348</v>
      </c>
      <c r="O378" s="193">
        <f>O377*O363</f>
        <v>0</v>
      </c>
      <c r="P378" s="194">
        <f>P377*P363</f>
        <v>0</v>
      </c>
    </row>
    <row r="379" spans="1:19" hidden="1" outlineLevel="2" x14ac:dyDescent="0.25">
      <c r="B379" s="174" t="s">
        <v>819</v>
      </c>
      <c r="O379" s="180">
        <f>IF(O363=0,0,O378*O374/(O374+O372))</f>
        <v>0</v>
      </c>
      <c r="P379" s="181">
        <f>P378*P374/(P374+P372)</f>
        <v>0</v>
      </c>
    </row>
    <row r="380" spans="1:19" hidden="1" outlineLevel="2" x14ac:dyDescent="0.25">
      <c r="B380" s="174" t="s">
        <v>820</v>
      </c>
      <c r="O380" s="180">
        <f>IF(O363=0,0,O378-O379)</f>
        <v>0</v>
      </c>
      <c r="P380" s="181">
        <f>P378-P379</f>
        <v>0</v>
      </c>
    </row>
    <row r="381" spans="1:19" hidden="1" outlineLevel="2" x14ac:dyDescent="0.25">
      <c r="B381" s="174" t="s">
        <v>741</v>
      </c>
      <c r="E381" s="173" t="s">
        <v>348</v>
      </c>
      <c r="O381" s="221">
        <f>O363-O378</f>
        <v>0</v>
      </c>
      <c r="P381" s="222">
        <f>P363-P378</f>
        <v>0</v>
      </c>
    </row>
    <row r="382" spans="1:19" s="162" customFormat="1" hidden="1" outlineLevel="2" x14ac:dyDescent="0.25">
      <c r="B382" s="163" t="s">
        <v>773</v>
      </c>
      <c r="O382" s="164"/>
      <c r="P382" s="165"/>
      <c r="R382" s="164"/>
      <c r="S382" s="165"/>
    </row>
    <row r="383" spans="1:19" s="170" customFormat="1" hidden="1" outlineLevel="2" x14ac:dyDescent="0.25">
      <c r="A383" s="166"/>
      <c r="B383" s="167"/>
      <c r="C383" s="166"/>
      <c r="D383" s="166"/>
      <c r="E383" s="166"/>
      <c r="F383" s="166"/>
      <c r="G383" s="166"/>
      <c r="H383" s="166"/>
      <c r="J383" s="166"/>
      <c r="K383" s="166"/>
      <c r="L383" s="166"/>
      <c r="M383" s="166"/>
      <c r="N383" s="166"/>
      <c r="O383" s="168" t="s">
        <v>319</v>
      </c>
      <c r="P383" s="169" t="s">
        <v>332</v>
      </c>
      <c r="R383" s="171"/>
      <c r="S383" s="172"/>
    </row>
    <row r="384" spans="1:19" hidden="1" outlineLevel="2" x14ac:dyDescent="0.25">
      <c r="B384" s="146" t="s">
        <v>700</v>
      </c>
      <c r="C384" s="185"/>
      <c r="E384" s="240" t="s">
        <v>699</v>
      </c>
      <c r="F384" s="146"/>
      <c r="G384" s="146"/>
      <c r="H384" s="241"/>
      <c r="I384" s="146"/>
      <c r="J384" s="146"/>
      <c r="K384" s="241"/>
      <c r="L384" s="197"/>
      <c r="M384" s="197"/>
      <c r="N384" s="197"/>
      <c r="O384" s="242">
        <f>-2*O373/(O18*24)^2</f>
        <v>0</v>
      </c>
      <c r="P384" s="243">
        <f>-2*P373/(P18*24)^2</f>
        <v>0</v>
      </c>
    </row>
    <row r="385" spans="1:19" hidden="1" outlineLevel="2" x14ac:dyDescent="0.25">
      <c r="B385" s="125" t="s">
        <v>701</v>
      </c>
      <c r="C385" s="185"/>
      <c r="E385" s="240" t="s">
        <v>368</v>
      </c>
      <c r="I385" s="146"/>
      <c r="L385" s="197"/>
      <c r="M385" s="197"/>
      <c r="N385" s="197"/>
      <c r="O385" s="205">
        <f>2*O373/(O18*24)</f>
        <v>0</v>
      </c>
      <c r="P385" s="206">
        <f>2*P373/(P18*24)</f>
        <v>0</v>
      </c>
    </row>
    <row r="386" spans="1:19" hidden="1" outlineLevel="2" x14ac:dyDescent="0.25">
      <c r="B386" s="125" t="s">
        <v>703</v>
      </c>
      <c r="C386" s="185"/>
      <c r="E386" s="241" t="s">
        <v>702</v>
      </c>
      <c r="F386" s="146"/>
      <c r="G386" s="146"/>
      <c r="I386" s="146"/>
      <c r="L386" s="197"/>
      <c r="M386" s="197"/>
      <c r="N386" s="197"/>
      <c r="O386" s="244">
        <f>IF(O381=0,0,O385/(O381/8760^2-O384))</f>
        <v>0</v>
      </c>
      <c r="P386" s="245">
        <f>IF(P381=0,0,P385/(P381/8760^2-P384))</f>
        <v>0</v>
      </c>
    </row>
    <row r="387" spans="1:19" hidden="1" outlineLevel="2" x14ac:dyDescent="0.25">
      <c r="B387" s="125" t="s">
        <v>704</v>
      </c>
      <c r="C387" s="185"/>
      <c r="E387" s="240" t="s">
        <v>368</v>
      </c>
      <c r="F387" s="146"/>
      <c r="G387" s="146"/>
      <c r="I387" s="146"/>
      <c r="L387" s="197"/>
      <c r="M387" s="197"/>
      <c r="N387" s="197"/>
      <c r="O387" s="246">
        <f>2*O363/8760^2*O386</f>
        <v>0</v>
      </c>
      <c r="P387" s="247">
        <f>2*P363/8760^2*P386</f>
        <v>0</v>
      </c>
    </row>
    <row r="388" spans="1:19" hidden="1" outlineLevel="2" x14ac:dyDescent="0.25">
      <c r="B388" s="125" t="s">
        <v>821</v>
      </c>
      <c r="C388" s="185"/>
      <c r="E388" s="241" t="s">
        <v>348</v>
      </c>
      <c r="F388" s="146"/>
      <c r="G388" s="146"/>
      <c r="I388" s="146"/>
      <c r="L388" s="197"/>
      <c r="M388" s="197"/>
      <c r="N388" s="197"/>
      <c r="O388" s="180">
        <f>IF(O367=0,0,MIN(0.5*O387*(O18*24),O373))</f>
        <v>0</v>
      </c>
      <c r="P388" s="181">
        <f>IF(P367=0,0,MIN(0.5*P387*(P18*24),P373))</f>
        <v>0</v>
      </c>
    </row>
    <row r="389" spans="1:19" hidden="1" outlineLevel="2" x14ac:dyDescent="0.25">
      <c r="B389" s="125" t="s">
        <v>822</v>
      </c>
      <c r="C389" s="185"/>
      <c r="E389" s="241" t="s">
        <v>348</v>
      </c>
      <c r="F389" s="146"/>
      <c r="G389" s="146"/>
      <c r="I389" s="146"/>
      <c r="L389" s="197"/>
      <c r="M389" s="197"/>
      <c r="N389" s="197"/>
      <c r="O389" s="180">
        <f>IF(O367=0,0,O363-O379-O380-O388)</f>
        <v>0</v>
      </c>
      <c r="P389" s="181">
        <f>IF(P367=0,0,P363-P379-P380-P388)</f>
        <v>0</v>
      </c>
    </row>
    <row r="390" spans="1:19" s="162" customFormat="1" hidden="1" outlineLevel="2" x14ac:dyDescent="0.25">
      <c r="B390" s="163" t="s">
        <v>775</v>
      </c>
      <c r="O390" s="164"/>
      <c r="P390" s="165"/>
      <c r="R390" s="164"/>
      <c r="S390" s="165"/>
    </row>
    <row r="391" spans="1:19" s="170" customFormat="1" hidden="1" outlineLevel="2" x14ac:dyDescent="0.25">
      <c r="A391" s="166"/>
      <c r="B391" s="167"/>
      <c r="C391" s="166"/>
      <c r="D391" s="166"/>
      <c r="E391" s="166"/>
      <c r="F391" s="166"/>
      <c r="G391" s="166"/>
      <c r="H391" s="166"/>
      <c r="J391" s="166"/>
      <c r="K391" s="166"/>
      <c r="L391" s="166"/>
      <c r="M391" s="166"/>
      <c r="N391" s="166"/>
      <c r="O391" s="168" t="s">
        <v>319</v>
      </c>
      <c r="P391" s="169" t="s">
        <v>332</v>
      </c>
      <c r="R391" s="171"/>
      <c r="S391" s="172"/>
    </row>
    <row r="392" spans="1:19" hidden="1" outlineLevel="2" x14ac:dyDescent="0.25">
      <c r="B392" s="125" t="s">
        <v>705</v>
      </c>
      <c r="C392" s="185"/>
      <c r="E392" s="241" t="s">
        <v>348</v>
      </c>
      <c r="F392" s="192"/>
      <c r="G392" s="192"/>
      <c r="H392" s="192"/>
      <c r="I392" s="146"/>
      <c r="J392" s="146"/>
      <c r="K392" s="146"/>
      <c r="L392" s="197"/>
      <c r="M392" s="197"/>
      <c r="N392" s="197"/>
      <c r="O392" s="180">
        <f>O364*Daten_MFH!$D$109</f>
        <v>90.158799879809223</v>
      </c>
      <c r="P392" s="181">
        <f>P364*Daten_MFH!$D$109</f>
        <v>90.158799879809223</v>
      </c>
    </row>
    <row r="393" spans="1:19" hidden="1" outlineLevel="2" x14ac:dyDescent="0.25">
      <c r="B393" s="125" t="s">
        <v>822</v>
      </c>
      <c r="C393" s="185"/>
      <c r="E393" s="241" t="s">
        <v>348</v>
      </c>
      <c r="F393" s="146"/>
      <c r="G393" s="146"/>
      <c r="I393" s="146"/>
      <c r="L393" s="197"/>
      <c r="M393" s="197"/>
      <c r="N393" s="197"/>
      <c r="O393" s="180">
        <f>O364*(1-Daten_MFH!$D$109)</f>
        <v>811.42919891828296</v>
      </c>
      <c r="P393" s="181">
        <f>P364*(1-Daten_MFH!$D$109)</f>
        <v>811.42919891828296</v>
      </c>
    </row>
    <row r="394" spans="1:19" s="159" customFormat="1" ht="14.25" customHeight="1" collapsed="1" x14ac:dyDescent="0.25">
      <c r="A394" s="156" t="s">
        <v>466</v>
      </c>
      <c r="B394" s="157"/>
      <c r="C394" s="157"/>
      <c r="D394" s="158"/>
      <c r="O394" s="160"/>
      <c r="P394" s="161"/>
      <c r="R394" s="160"/>
      <c r="S394" s="161"/>
    </row>
    <row r="395" spans="1:19" s="162" customFormat="1" hidden="1" outlineLevel="2" x14ac:dyDescent="0.25">
      <c r="B395" s="163" t="s">
        <v>510</v>
      </c>
      <c r="O395" s="164"/>
      <c r="P395" s="165"/>
      <c r="R395" s="164"/>
      <c r="S395" s="165"/>
    </row>
    <row r="396" spans="1:19" s="170" customFormat="1" hidden="1" outlineLevel="2" x14ac:dyDescent="0.25">
      <c r="A396" s="166"/>
      <c r="B396" s="167"/>
      <c r="C396" s="166"/>
      <c r="D396" s="166"/>
      <c r="E396" s="166"/>
      <c r="F396" s="166"/>
      <c r="G396" s="166"/>
      <c r="H396" s="166"/>
      <c r="J396" s="166"/>
      <c r="K396" s="166"/>
      <c r="L396" s="166"/>
      <c r="M396" s="166"/>
      <c r="N396" s="166"/>
      <c r="O396" s="168" t="s">
        <v>319</v>
      </c>
      <c r="P396" s="169" t="s">
        <v>332</v>
      </c>
      <c r="R396" s="171"/>
      <c r="S396" s="172"/>
    </row>
    <row r="397" spans="1:19" hidden="1" outlineLevel="2" x14ac:dyDescent="0.25">
      <c r="I397" s="173" t="s">
        <v>337</v>
      </c>
      <c r="L397" s="174" t="s">
        <v>309</v>
      </c>
      <c r="M397" s="234" t="s">
        <v>348</v>
      </c>
      <c r="O397" s="248">
        <f>O95</f>
        <v>54377.430492940694</v>
      </c>
      <c r="P397" s="249">
        <f>P95</f>
        <v>54377.430492940694</v>
      </c>
    </row>
    <row r="398" spans="1:19" hidden="1" outlineLevel="2" x14ac:dyDescent="0.25">
      <c r="I398" s="173" t="s">
        <v>53</v>
      </c>
      <c r="L398" s="174" t="s">
        <v>349</v>
      </c>
      <c r="M398" s="234" t="s">
        <v>348</v>
      </c>
      <c r="O398" s="248">
        <f>O96</f>
        <v>15780.403505892355</v>
      </c>
      <c r="P398" s="249">
        <f>P96</f>
        <v>15780.403505892355</v>
      </c>
    </row>
    <row r="399" spans="1:19" hidden="1" outlineLevel="2" x14ac:dyDescent="0.25">
      <c r="I399" s="173" t="s">
        <v>501</v>
      </c>
      <c r="L399" s="174" t="s">
        <v>364</v>
      </c>
      <c r="M399" s="234" t="s">
        <v>348</v>
      </c>
      <c r="O399" s="248">
        <f>O108</f>
        <v>11907.242670112713</v>
      </c>
      <c r="P399" s="249">
        <f>P108</f>
        <v>11907.242670112713</v>
      </c>
    </row>
    <row r="400" spans="1:19" hidden="1" outlineLevel="2" x14ac:dyDescent="0.25">
      <c r="I400" s="173" t="s">
        <v>502</v>
      </c>
      <c r="L400" s="174" t="s">
        <v>475</v>
      </c>
      <c r="M400" s="234" t="s">
        <v>348</v>
      </c>
      <c r="O400" s="248">
        <f>O166</f>
        <v>2522.402438041096</v>
      </c>
      <c r="P400" s="249">
        <f>P166</f>
        <v>2522.402438041096</v>
      </c>
    </row>
    <row r="401" spans="6:16" hidden="1" outlineLevel="2" x14ac:dyDescent="0.25">
      <c r="I401" s="173" t="s">
        <v>360</v>
      </c>
      <c r="L401" s="174" t="s">
        <v>361</v>
      </c>
      <c r="M401" s="234" t="s">
        <v>348</v>
      </c>
      <c r="O401" s="248">
        <f>O105</f>
        <v>11877.920704766417</v>
      </c>
      <c r="P401" s="249">
        <f>P105</f>
        <v>11877.920704766417</v>
      </c>
    </row>
    <row r="402" spans="6:16" hidden="1" outlineLevel="2" x14ac:dyDescent="0.25">
      <c r="H402" s="174" t="s">
        <v>469</v>
      </c>
      <c r="L402" s="174" t="s">
        <v>396</v>
      </c>
      <c r="M402" s="234" t="s">
        <v>348</v>
      </c>
      <c r="O402" s="250">
        <f>O397+O398-O399-O400-O401</f>
        <v>43850.268185912828</v>
      </c>
      <c r="P402" s="251">
        <f>P397+P398-P399-P400-P401</f>
        <v>43850.268185912828</v>
      </c>
    </row>
    <row r="403" spans="6:16" hidden="1" outlineLevel="2" x14ac:dyDescent="0.25">
      <c r="H403" s="173" t="s">
        <v>365</v>
      </c>
      <c r="L403" s="174" t="s">
        <v>467</v>
      </c>
      <c r="M403" s="234" t="s">
        <v>348</v>
      </c>
      <c r="O403" s="250">
        <f>O347</f>
        <v>1616.9608619500293</v>
      </c>
      <c r="P403" s="251">
        <f>P347</f>
        <v>1616.9608619500293</v>
      </c>
    </row>
    <row r="404" spans="6:16" hidden="1" outlineLevel="2" x14ac:dyDescent="0.25">
      <c r="H404" s="174" t="s">
        <v>503</v>
      </c>
      <c r="L404" s="174" t="s">
        <v>397</v>
      </c>
      <c r="M404" s="234" t="s">
        <v>348</v>
      </c>
      <c r="O404" s="250">
        <f>O131</f>
        <v>2454.9580958876654</v>
      </c>
      <c r="P404" s="251">
        <f>P131</f>
        <v>2454.9580958876654</v>
      </c>
    </row>
    <row r="405" spans="6:16" hidden="1" outlineLevel="2" x14ac:dyDescent="0.25">
      <c r="H405" s="174" t="s">
        <v>504</v>
      </c>
      <c r="L405" s="174" t="s">
        <v>478</v>
      </c>
      <c r="M405" s="234" t="s">
        <v>348</v>
      </c>
      <c r="O405" s="250">
        <f>O336</f>
        <v>104.73739999714698</v>
      </c>
      <c r="P405" s="251">
        <f>P336</f>
        <v>104.73739999714698</v>
      </c>
    </row>
    <row r="406" spans="6:16" hidden="1" outlineLevel="2" x14ac:dyDescent="0.25">
      <c r="G406" s="174" t="s">
        <v>508</v>
      </c>
      <c r="L406" s="174" t="s">
        <v>481</v>
      </c>
      <c r="M406" s="234" t="s">
        <v>348</v>
      </c>
      <c r="O406" s="252">
        <f>O402+O403+O404+O405</f>
        <v>48026.924543747671</v>
      </c>
      <c r="P406" s="253">
        <f>P402+P403+P404+P405</f>
        <v>48026.924543747671</v>
      </c>
    </row>
    <row r="407" spans="6:16" hidden="1" outlineLevel="2" x14ac:dyDescent="0.25">
      <c r="G407" s="174" t="s">
        <v>536</v>
      </c>
      <c r="L407" s="174" t="s">
        <v>537</v>
      </c>
      <c r="M407" s="234" t="s">
        <v>348</v>
      </c>
      <c r="O407" s="252">
        <f>O409-O406</f>
        <v>9220.6392615001096</v>
      </c>
      <c r="P407" s="253">
        <f>P409-P406</f>
        <v>9220.6392615001096</v>
      </c>
    </row>
    <row r="408" spans="6:16" hidden="1" outlineLevel="2" x14ac:dyDescent="0.25">
      <c r="G408" s="174" t="s">
        <v>499</v>
      </c>
      <c r="L408" s="174" t="s">
        <v>578</v>
      </c>
      <c r="M408" s="234" t="s">
        <v>13</v>
      </c>
      <c r="O408" s="254">
        <f>O279</f>
        <v>0.83893394498204188</v>
      </c>
      <c r="P408" s="255">
        <f>P279</f>
        <v>0.83893394498204188</v>
      </c>
    </row>
    <row r="409" spans="6:16" hidden="1" outlineLevel="2" x14ac:dyDescent="0.25">
      <c r="F409" s="174" t="s">
        <v>498</v>
      </c>
      <c r="L409" s="173" t="s">
        <v>471</v>
      </c>
      <c r="M409" s="234" t="s">
        <v>348</v>
      </c>
      <c r="O409" s="256">
        <f>O406/O408</f>
        <v>57247.563805247781</v>
      </c>
      <c r="P409" s="257">
        <f>P406/P408</f>
        <v>57247.563805247781</v>
      </c>
    </row>
    <row r="410" spans="6:16" hidden="1" outlineLevel="2" x14ac:dyDescent="0.25">
      <c r="H410" s="174" t="s">
        <v>74</v>
      </c>
      <c r="L410" s="174" t="s">
        <v>468</v>
      </c>
      <c r="M410" s="234" t="s">
        <v>348</v>
      </c>
      <c r="O410" s="258">
        <f>O30</f>
        <v>6865.5359202706286</v>
      </c>
      <c r="P410" s="259">
        <f>P30</f>
        <v>6865.5359202706286</v>
      </c>
    </row>
    <row r="411" spans="6:16" hidden="1" outlineLevel="2" x14ac:dyDescent="0.25">
      <c r="H411" s="174" t="s">
        <v>505</v>
      </c>
      <c r="L411" s="174" t="s">
        <v>477</v>
      </c>
      <c r="M411" s="234" t="s">
        <v>348</v>
      </c>
      <c r="O411" s="258">
        <f>O163</f>
        <v>6659.7920507762883</v>
      </c>
      <c r="P411" s="259">
        <f>P163</f>
        <v>6659.7920507762883</v>
      </c>
    </row>
    <row r="412" spans="6:16" hidden="1" outlineLevel="2" x14ac:dyDescent="0.25">
      <c r="H412" s="174" t="s">
        <v>506</v>
      </c>
      <c r="L412" s="174" t="s">
        <v>479</v>
      </c>
      <c r="M412" s="234" t="s">
        <v>348</v>
      </c>
      <c r="O412" s="258">
        <f>O343</f>
        <v>973.032404883087</v>
      </c>
      <c r="P412" s="259">
        <f>P343</f>
        <v>973.032404883087</v>
      </c>
    </row>
    <row r="413" spans="6:16" hidden="1" outlineLevel="2" x14ac:dyDescent="0.25">
      <c r="H413" s="174" t="s">
        <v>472</v>
      </c>
      <c r="L413" s="174" t="s">
        <v>480</v>
      </c>
      <c r="M413" s="234" t="s">
        <v>348</v>
      </c>
      <c r="O413" s="258">
        <f>O352</f>
        <v>525.97126485082583</v>
      </c>
      <c r="P413" s="259">
        <f>P352</f>
        <v>525.97126485082583</v>
      </c>
    </row>
    <row r="414" spans="6:16" hidden="1" outlineLevel="2" x14ac:dyDescent="0.25">
      <c r="G414" s="174" t="s">
        <v>509</v>
      </c>
      <c r="I414" s="174"/>
      <c r="L414" s="174" t="s">
        <v>482</v>
      </c>
      <c r="M414" s="234" t="s">
        <v>348</v>
      </c>
      <c r="O414" s="260">
        <f>O410+O411+O412-O413</f>
        <v>13972.389111079177</v>
      </c>
      <c r="P414" s="261">
        <f>P410+P411+P412-P413</f>
        <v>13972.389111079177</v>
      </c>
    </row>
    <row r="415" spans="6:16" hidden="1" outlineLevel="2" x14ac:dyDescent="0.25">
      <c r="G415" s="174" t="s">
        <v>538</v>
      </c>
      <c r="L415" s="174" t="s">
        <v>539</v>
      </c>
      <c r="M415" s="234" t="s">
        <v>348</v>
      </c>
      <c r="O415" s="260">
        <f>O417-O414</f>
        <v>2204.01374454508</v>
      </c>
      <c r="P415" s="261">
        <f>P417-P414</f>
        <v>2204.01374454508</v>
      </c>
    </row>
    <row r="416" spans="6:16" hidden="1" outlineLevel="2" x14ac:dyDescent="0.25">
      <c r="G416" s="174" t="s">
        <v>500</v>
      </c>
      <c r="L416" s="174" t="s">
        <v>579</v>
      </c>
      <c r="M416" s="234" t="s">
        <v>13</v>
      </c>
      <c r="O416" s="262">
        <f>O306</f>
        <v>0.86375130712210335</v>
      </c>
      <c r="P416" s="263">
        <f>P306</f>
        <v>0.86375130712210335</v>
      </c>
    </row>
    <row r="417" spans="1:19" hidden="1" outlineLevel="2" x14ac:dyDescent="0.25">
      <c r="F417" s="174" t="s">
        <v>294</v>
      </c>
      <c r="I417" s="174"/>
      <c r="L417" s="173" t="s">
        <v>470</v>
      </c>
      <c r="M417" s="234" t="s">
        <v>348</v>
      </c>
      <c r="N417" s="264"/>
      <c r="O417" s="265">
        <f>O414/O416</f>
        <v>16176.402855624257</v>
      </c>
      <c r="P417" s="266">
        <f>P414/P416</f>
        <v>16176.402855624257</v>
      </c>
    </row>
    <row r="418" spans="1:19" hidden="1" outlineLevel="2" x14ac:dyDescent="0.25">
      <c r="H418" s="174" t="s">
        <v>279</v>
      </c>
      <c r="L418" s="174" t="s">
        <v>484</v>
      </c>
      <c r="M418" s="234" t="s">
        <v>348</v>
      </c>
      <c r="O418" s="267">
        <f>O402+O403+O410</f>
        <v>52332.764968133488</v>
      </c>
      <c r="P418" s="268">
        <f>P402+P403+P410</f>
        <v>52332.764968133488</v>
      </c>
    </row>
    <row r="419" spans="1:19" hidden="1" outlineLevel="2" x14ac:dyDescent="0.25">
      <c r="G419" s="174" t="s">
        <v>507</v>
      </c>
      <c r="L419" s="174" t="s">
        <v>483</v>
      </c>
      <c r="M419" s="234" t="s">
        <v>348</v>
      </c>
      <c r="O419" s="269">
        <f>O406+O414</f>
        <v>61999.313654826852</v>
      </c>
      <c r="P419" s="270">
        <f>P406+P414</f>
        <v>61999.313654826852</v>
      </c>
    </row>
    <row r="420" spans="1:19" hidden="1" outlineLevel="2" x14ac:dyDescent="0.25">
      <c r="G420" s="174" t="s">
        <v>569</v>
      </c>
      <c r="L420" s="174" t="s">
        <v>580</v>
      </c>
      <c r="M420" s="234" t="s">
        <v>13</v>
      </c>
      <c r="O420" s="271">
        <f>(O414+O406)/O421</f>
        <v>0.84440158267649901</v>
      </c>
      <c r="P420" s="272">
        <f>(P414+P406)/P421</f>
        <v>0.84440158267649901</v>
      </c>
    </row>
    <row r="421" spans="1:19" hidden="1" outlineLevel="2" x14ac:dyDescent="0.25">
      <c r="F421" s="174" t="s">
        <v>473</v>
      </c>
      <c r="I421" s="174"/>
      <c r="L421" s="173" t="s">
        <v>497</v>
      </c>
      <c r="M421" s="234" t="s">
        <v>348</v>
      </c>
      <c r="N421" s="264" t="s">
        <v>736</v>
      </c>
      <c r="O421" s="273">
        <f>O409+O417</f>
        <v>73423.966660872044</v>
      </c>
      <c r="P421" s="274">
        <f>P409+P417</f>
        <v>73423.966660872044</v>
      </c>
    </row>
    <row r="422" spans="1:19" s="275" customFormat="1" hidden="1" outlineLevel="2" x14ac:dyDescent="0.25">
      <c r="B422" s="276"/>
      <c r="F422" s="276"/>
      <c r="G422" s="174" t="s">
        <v>353</v>
      </c>
      <c r="H422" s="173"/>
      <c r="I422" s="174"/>
      <c r="J422" s="173"/>
      <c r="K422" s="173"/>
      <c r="L422" s="173" t="s">
        <v>476</v>
      </c>
      <c r="M422" s="234" t="s">
        <v>348</v>
      </c>
      <c r="N422" s="173"/>
      <c r="O422" s="269">
        <f>O37</f>
        <v>15230.086622278561</v>
      </c>
      <c r="P422" s="270">
        <f>P37</f>
        <v>15230.086622278561</v>
      </c>
      <c r="R422" s="277"/>
      <c r="S422" s="278"/>
    </row>
    <row r="423" spans="1:19" s="275" customFormat="1" hidden="1" outlineLevel="2" x14ac:dyDescent="0.25">
      <c r="B423" s="276"/>
      <c r="F423" s="174" t="s">
        <v>474</v>
      </c>
      <c r="G423" s="173"/>
      <c r="H423" s="173"/>
      <c r="I423" s="173"/>
      <c r="J423" s="173"/>
      <c r="K423" s="173"/>
      <c r="L423" s="173" t="s">
        <v>358</v>
      </c>
      <c r="M423" s="234" t="s">
        <v>348</v>
      </c>
      <c r="N423" s="264" t="s">
        <v>736</v>
      </c>
      <c r="O423" s="273">
        <f>O422</f>
        <v>15230.086622278561</v>
      </c>
      <c r="P423" s="274">
        <f>P422</f>
        <v>15230.086622278561</v>
      </c>
      <c r="R423" s="277"/>
      <c r="S423" s="278"/>
    </row>
    <row r="424" spans="1:19" hidden="1" outlineLevel="2" x14ac:dyDescent="0.25">
      <c r="F424" s="173" t="s">
        <v>709</v>
      </c>
      <c r="L424" s="173" t="s">
        <v>710</v>
      </c>
      <c r="M424" s="234" t="s">
        <v>348</v>
      </c>
      <c r="O424" s="279">
        <f>O379+O380+O388+O392</f>
        <v>90.158799879809223</v>
      </c>
      <c r="P424" s="280">
        <f>P379+P380+P388+P392</f>
        <v>90.158799879809223</v>
      </c>
    </row>
    <row r="425" spans="1:19" hidden="1" outlineLevel="2" x14ac:dyDescent="0.25">
      <c r="F425" s="174" t="s">
        <v>711</v>
      </c>
      <c r="L425" s="173" t="s">
        <v>712</v>
      </c>
      <c r="M425" s="234" t="s">
        <v>348</v>
      </c>
      <c r="O425" s="279">
        <f>O389+O393</f>
        <v>811.42919891828296</v>
      </c>
      <c r="P425" s="280">
        <f>P389+P393</f>
        <v>811.42919891828296</v>
      </c>
    </row>
    <row r="426" spans="1:19" hidden="1" outlineLevel="2" x14ac:dyDescent="0.25">
      <c r="E426" s="173" t="s">
        <v>713</v>
      </c>
      <c r="L426" s="173" t="s">
        <v>372</v>
      </c>
      <c r="M426" s="234" t="s">
        <v>348</v>
      </c>
      <c r="N426" s="264" t="s">
        <v>40</v>
      </c>
      <c r="O426" s="281">
        <f>O357</f>
        <v>901.58799879809214</v>
      </c>
      <c r="P426" s="282">
        <f>P357</f>
        <v>901.58799879809214</v>
      </c>
    </row>
    <row r="427" spans="1:19" hidden="1" outlineLevel="2" x14ac:dyDescent="0.25">
      <c r="E427" s="174" t="s">
        <v>765</v>
      </c>
      <c r="L427" s="173" t="s">
        <v>496</v>
      </c>
      <c r="M427" s="234" t="s">
        <v>348</v>
      </c>
      <c r="O427" s="273">
        <f>O421+O423-O426</f>
        <v>87752.465284352511</v>
      </c>
      <c r="P427" s="274">
        <f>P421+P423-P426</f>
        <v>87752.465284352511</v>
      </c>
    </row>
    <row r="428" spans="1:19" s="162" customFormat="1" hidden="1" outlineLevel="2" x14ac:dyDescent="0.25">
      <c r="B428" s="163" t="s">
        <v>511</v>
      </c>
      <c r="O428" s="283"/>
      <c r="P428" s="284"/>
      <c r="R428" s="164"/>
      <c r="S428" s="165"/>
    </row>
    <row r="429" spans="1:19" s="170" customFormat="1" hidden="1" outlineLevel="2" x14ac:dyDescent="0.25">
      <c r="A429" s="166"/>
      <c r="B429" s="167"/>
      <c r="C429" s="166"/>
      <c r="D429" s="166"/>
      <c r="E429" s="166"/>
      <c r="F429" s="166"/>
      <c r="G429" s="166"/>
      <c r="H429" s="166"/>
      <c r="J429" s="166"/>
      <c r="K429" s="166"/>
      <c r="L429" s="166"/>
      <c r="M429" s="166"/>
      <c r="N429" s="166"/>
      <c r="O429" s="168" t="s">
        <v>319</v>
      </c>
      <c r="P429" s="169" t="s">
        <v>332</v>
      </c>
      <c r="R429" s="171"/>
      <c r="S429" s="172"/>
    </row>
    <row r="430" spans="1:19" hidden="1" outlineLevel="2" x14ac:dyDescent="0.25">
      <c r="I430" s="173" t="s">
        <v>337</v>
      </c>
      <c r="L430" s="174" t="s">
        <v>512</v>
      </c>
      <c r="M430" s="234" t="s">
        <v>58</v>
      </c>
      <c r="O430" s="248">
        <f>O397/Daten_MFH!$D$16</f>
        <v>115.70526088384338</v>
      </c>
      <c r="P430" s="249">
        <f>P397/Daten_MFH!$D$16</f>
        <v>115.70526088384338</v>
      </c>
    </row>
    <row r="431" spans="1:19" hidden="1" outlineLevel="2" x14ac:dyDescent="0.25">
      <c r="I431" s="173" t="s">
        <v>53</v>
      </c>
      <c r="L431" s="174" t="s">
        <v>513</v>
      </c>
      <c r="M431" s="234" t="s">
        <v>58</v>
      </c>
      <c r="O431" s="248">
        <f>O398/Daten_MFH!$D$16</f>
        <v>33.577822415471211</v>
      </c>
      <c r="P431" s="249">
        <f>P398/Daten_MFH!$D$16</f>
        <v>33.577822415471211</v>
      </c>
    </row>
    <row r="432" spans="1:19" hidden="1" outlineLevel="2" x14ac:dyDescent="0.25">
      <c r="I432" s="173" t="s">
        <v>501</v>
      </c>
      <c r="L432" s="174" t="s">
        <v>514</v>
      </c>
      <c r="M432" s="234" t="s">
        <v>58</v>
      </c>
      <c r="O432" s="248">
        <f>O399/Daten_MFH!$D$16</f>
        <v>25.336442105911591</v>
      </c>
      <c r="P432" s="249">
        <f>P399/Daten_MFH!$D$16</f>
        <v>25.336442105911591</v>
      </c>
    </row>
    <row r="433" spans="6:16" hidden="1" outlineLevel="2" x14ac:dyDescent="0.25">
      <c r="I433" s="173" t="s">
        <v>502</v>
      </c>
      <c r="L433" s="174" t="s">
        <v>515</v>
      </c>
      <c r="M433" s="234" t="s">
        <v>58</v>
      </c>
      <c r="O433" s="248">
        <f>O400/Daten_MFH!$D$16</f>
        <v>5.3672126377041005</v>
      </c>
      <c r="P433" s="249">
        <f>P400/Daten_MFH!$D$16</f>
        <v>5.3672126377041005</v>
      </c>
    </row>
    <row r="434" spans="6:16" hidden="1" outlineLevel="2" x14ac:dyDescent="0.25">
      <c r="I434" s="173" t="s">
        <v>360</v>
      </c>
      <c r="L434" s="174" t="s">
        <v>516</v>
      </c>
      <c r="M434" s="234" t="s">
        <v>58</v>
      </c>
      <c r="O434" s="248">
        <f>O401/Daten_MFH!$D$16</f>
        <v>25.274050308078099</v>
      </c>
      <c r="P434" s="249">
        <f>P401/Daten_MFH!$D$16</f>
        <v>25.274050308078099</v>
      </c>
    </row>
    <row r="435" spans="6:16" hidden="1" outlineLevel="2" x14ac:dyDescent="0.25">
      <c r="H435" s="174" t="s">
        <v>469</v>
      </c>
      <c r="L435" s="174" t="s">
        <v>517</v>
      </c>
      <c r="M435" s="234" t="s">
        <v>58</v>
      </c>
      <c r="O435" s="250">
        <f>O402/Daten_MFH!$D$16</f>
        <v>93.305378247620823</v>
      </c>
      <c r="P435" s="251">
        <f>P402/Daten_MFH!$D$16</f>
        <v>93.305378247620823</v>
      </c>
    </row>
    <row r="436" spans="6:16" hidden="1" outlineLevel="2" x14ac:dyDescent="0.25">
      <c r="H436" s="173" t="s">
        <v>365</v>
      </c>
      <c r="L436" s="174" t="s">
        <v>518</v>
      </c>
      <c r="M436" s="234" t="s">
        <v>58</v>
      </c>
      <c r="O436" s="250">
        <f>O403/Daten_MFH!$D$16</f>
        <v>3.4405979958023329</v>
      </c>
      <c r="P436" s="251">
        <f>P403/Daten_MFH!$D$16</f>
        <v>3.4405979958023329</v>
      </c>
    </row>
    <row r="437" spans="6:16" hidden="1" outlineLevel="2" x14ac:dyDescent="0.25">
      <c r="H437" s="174" t="s">
        <v>503</v>
      </c>
      <c r="L437" s="174" t="s">
        <v>519</v>
      </c>
      <c r="M437" s="234" t="s">
        <v>58</v>
      </c>
      <c r="O437" s="250">
        <f>O404/Daten_MFH!$D$16</f>
        <v>5.2237033704720837</v>
      </c>
      <c r="P437" s="251">
        <f>P404/Daten_MFH!$D$16</f>
        <v>5.2237033704720837</v>
      </c>
    </row>
    <row r="438" spans="6:16" hidden="1" outlineLevel="2" x14ac:dyDescent="0.25">
      <c r="H438" s="174" t="s">
        <v>504</v>
      </c>
      <c r="L438" s="174" t="s">
        <v>520</v>
      </c>
      <c r="M438" s="234" t="s">
        <v>58</v>
      </c>
      <c r="O438" s="250">
        <f>O405/Daten_MFH!$D$16</f>
        <v>0.22286209703377949</v>
      </c>
      <c r="P438" s="251">
        <f>P405/Daten_MFH!$D$16</f>
        <v>0.22286209703377949</v>
      </c>
    </row>
    <row r="439" spans="6:16" hidden="1" outlineLevel="2" x14ac:dyDescent="0.25">
      <c r="G439" s="174" t="s">
        <v>508</v>
      </c>
      <c r="L439" s="174" t="s">
        <v>521</v>
      </c>
      <c r="M439" s="234" t="s">
        <v>58</v>
      </c>
      <c r="O439" s="252">
        <f>O406/Daten_MFH!$D$16</f>
        <v>102.19254171092902</v>
      </c>
      <c r="P439" s="253">
        <f>P406/Daten_MFH!$D$16</f>
        <v>102.19254171092902</v>
      </c>
    </row>
    <row r="440" spans="6:16" hidden="1" outlineLevel="2" x14ac:dyDescent="0.25">
      <c r="G440" s="174" t="s">
        <v>536</v>
      </c>
      <c r="L440" s="174" t="s">
        <v>540</v>
      </c>
      <c r="M440" s="234" t="s">
        <v>58</v>
      </c>
      <c r="O440" s="252">
        <f>O407/Daten_MFH!$D$16</f>
        <v>19.61983973123154</v>
      </c>
      <c r="P440" s="253">
        <f>P407/Daten_MFH!$D$16</f>
        <v>19.61983973123154</v>
      </c>
    </row>
    <row r="441" spans="6:16" hidden="1" outlineLevel="2" x14ac:dyDescent="0.25">
      <c r="G441" s="174" t="s">
        <v>499</v>
      </c>
      <c r="L441" s="174" t="s">
        <v>578</v>
      </c>
      <c r="M441" s="234" t="s">
        <v>13</v>
      </c>
      <c r="O441" s="254">
        <f>O408</f>
        <v>0.83893394498204188</v>
      </c>
      <c r="P441" s="255">
        <f>P408</f>
        <v>0.83893394498204188</v>
      </c>
    </row>
    <row r="442" spans="6:16" hidden="1" outlineLevel="2" x14ac:dyDescent="0.25">
      <c r="F442" s="174" t="s">
        <v>498</v>
      </c>
      <c r="L442" s="173" t="s">
        <v>522</v>
      </c>
      <c r="M442" s="234" t="s">
        <v>58</v>
      </c>
      <c r="O442" s="256">
        <f>O409/Daten_MFH!$D$16</f>
        <v>121.81238144216056</v>
      </c>
      <c r="P442" s="257">
        <f>P409/Daten_MFH!$D$16</f>
        <v>121.81238144216056</v>
      </c>
    </row>
    <row r="443" spans="6:16" hidden="1" outlineLevel="2" x14ac:dyDescent="0.25">
      <c r="H443" s="174" t="s">
        <v>74</v>
      </c>
      <c r="L443" s="174" t="s">
        <v>523</v>
      </c>
      <c r="M443" s="234" t="s">
        <v>58</v>
      </c>
      <c r="O443" s="258">
        <f>O410/Daten_MFH!$D$16</f>
        <v>14.608609078456503</v>
      </c>
      <c r="P443" s="259">
        <f>P410/Daten_MFH!$D$16</f>
        <v>14.608609078456503</v>
      </c>
    </row>
    <row r="444" spans="6:16" hidden="1" outlineLevel="2" x14ac:dyDescent="0.25">
      <c r="H444" s="174" t="s">
        <v>505</v>
      </c>
      <c r="L444" s="174" t="s">
        <v>524</v>
      </c>
      <c r="M444" s="234" t="s">
        <v>58</v>
      </c>
      <c r="O444" s="258">
        <f>O411/Daten_MFH!$D$16</f>
        <v>14.170823624467747</v>
      </c>
      <c r="P444" s="259">
        <f>P411/Daten_MFH!$D$16</f>
        <v>14.170823624467747</v>
      </c>
    </row>
    <row r="445" spans="6:16" hidden="1" outlineLevel="2" x14ac:dyDescent="0.25">
      <c r="H445" s="174" t="s">
        <v>506</v>
      </c>
      <c r="L445" s="174" t="s">
        <v>525</v>
      </c>
      <c r="M445" s="234" t="s">
        <v>58</v>
      </c>
      <c r="O445" s="258">
        <f>O412/Daten_MFH!$D$16</f>
        <v>2.0704356060010403</v>
      </c>
      <c r="P445" s="259">
        <f>P412/Daten_MFH!$D$16</f>
        <v>2.0704356060010403</v>
      </c>
    </row>
    <row r="446" spans="6:16" hidden="1" outlineLevel="2" x14ac:dyDescent="0.25">
      <c r="H446" s="174" t="s">
        <v>472</v>
      </c>
      <c r="L446" s="174" t="s">
        <v>526</v>
      </c>
      <c r="M446" s="234" t="s">
        <v>58</v>
      </c>
      <c r="O446" s="258">
        <f>O413/Daten_MFH!$D$16</f>
        <v>1.1191709844559585</v>
      </c>
      <c r="P446" s="259">
        <f>P413/Daten_MFH!$D$16</f>
        <v>1.1191709844559585</v>
      </c>
    </row>
    <row r="447" spans="6:16" hidden="1" outlineLevel="2" x14ac:dyDescent="0.25">
      <c r="G447" s="174" t="s">
        <v>509</v>
      </c>
      <c r="I447" s="174"/>
      <c r="L447" s="174" t="s">
        <v>527</v>
      </c>
      <c r="M447" s="234" t="s">
        <v>58</v>
      </c>
      <c r="O447" s="260">
        <f>O414/Daten_MFH!$D$16</f>
        <v>29.730697324469329</v>
      </c>
      <c r="P447" s="261">
        <f>P414/Daten_MFH!$D$16</f>
        <v>29.730697324469329</v>
      </c>
    </row>
    <row r="448" spans="6:16" hidden="1" outlineLevel="2" x14ac:dyDescent="0.25">
      <c r="G448" s="174" t="s">
        <v>538</v>
      </c>
      <c r="I448" s="174"/>
      <c r="L448" s="174" t="s">
        <v>541</v>
      </c>
      <c r="M448" s="234" t="s">
        <v>58</v>
      </c>
      <c r="O448" s="260">
        <f>O415/Daten_MFH!$D$16</f>
        <v>4.6897395296615079</v>
      </c>
      <c r="P448" s="261">
        <f>P415/Daten_MFH!$D$16</f>
        <v>4.6897395296615079</v>
      </c>
    </row>
    <row r="449" spans="1:19" hidden="1" outlineLevel="2" x14ac:dyDescent="0.25">
      <c r="G449" s="174" t="s">
        <v>500</v>
      </c>
      <c r="L449" s="174" t="s">
        <v>579</v>
      </c>
      <c r="M449" s="234" t="s">
        <v>13</v>
      </c>
      <c r="O449" s="262">
        <f>O416</f>
        <v>0.86375130712210335</v>
      </c>
      <c r="P449" s="263">
        <f>P416</f>
        <v>0.86375130712210335</v>
      </c>
    </row>
    <row r="450" spans="1:19" hidden="1" outlineLevel="2" x14ac:dyDescent="0.25">
      <c r="F450" s="174" t="s">
        <v>294</v>
      </c>
      <c r="I450" s="174"/>
      <c r="L450" s="173" t="s">
        <v>528</v>
      </c>
      <c r="M450" s="234" t="s">
        <v>58</v>
      </c>
      <c r="O450" s="265">
        <f>O417/Daten_MFH!$D$16</f>
        <v>34.420436854130841</v>
      </c>
      <c r="P450" s="266">
        <f>P417/Daten_MFH!$D$16</f>
        <v>34.420436854130841</v>
      </c>
    </row>
    <row r="451" spans="1:19" hidden="1" outlineLevel="2" x14ac:dyDescent="0.25">
      <c r="H451" s="174" t="s">
        <v>279</v>
      </c>
      <c r="L451" s="174" t="s">
        <v>529</v>
      </c>
      <c r="M451" s="234" t="s">
        <v>58</v>
      </c>
      <c r="O451" s="267">
        <f>O418/Daten_MFH!$D$16</f>
        <v>111.35458532187965</v>
      </c>
      <c r="P451" s="268">
        <f>P418/Daten_MFH!$D$16</f>
        <v>111.35458532187965</v>
      </c>
    </row>
    <row r="452" spans="1:19" hidden="1" outlineLevel="2" x14ac:dyDescent="0.25">
      <c r="G452" s="174" t="s">
        <v>507</v>
      </c>
      <c r="L452" s="174" t="s">
        <v>530</v>
      </c>
      <c r="M452" s="234" t="s">
        <v>58</v>
      </c>
      <c r="O452" s="269">
        <f>O419/Daten_MFH!$D$16</f>
        <v>131.92323903539835</v>
      </c>
      <c r="P452" s="270">
        <f>P419/Daten_MFH!$D$16</f>
        <v>131.92323903539835</v>
      </c>
    </row>
    <row r="453" spans="1:19" hidden="1" outlineLevel="2" x14ac:dyDescent="0.25">
      <c r="G453" s="174" t="s">
        <v>569</v>
      </c>
      <c r="L453" s="174" t="s">
        <v>580</v>
      </c>
      <c r="M453" s="234" t="s">
        <v>13</v>
      </c>
      <c r="O453" s="271">
        <f>(O447+O439)/O454</f>
        <v>0.84440158267649901</v>
      </c>
      <c r="P453" s="272">
        <f>(P447+P439)/P454</f>
        <v>0.84440158267649901</v>
      </c>
    </row>
    <row r="454" spans="1:19" hidden="1" outlineLevel="2" x14ac:dyDescent="0.25">
      <c r="F454" s="174" t="s">
        <v>473</v>
      </c>
      <c r="I454" s="174"/>
      <c r="L454" s="173" t="s">
        <v>531</v>
      </c>
      <c r="M454" s="234" t="s">
        <v>58</v>
      </c>
      <c r="N454" s="264" t="s">
        <v>736</v>
      </c>
      <c r="O454" s="273">
        <f>O421/Daten_MFH!$D$16</f>
        <v>156.23281829629141</v>
      </c>
      <c r="P454" s="274">
        <f>P421/Daten_MFH!$D$16</f>
        <v>156.23281829629141</v>
      </c>
    </row>
    <row r="455" spans="1:19" hidden="1" outlineLevel="2" x14ac:dyDescent="0.25">
      <c r="G455" s="174" t="s">
        <v>353</v>
      </c>
      <c r="I455" s="174"/>
      <c r="L455" s="173" t="s">
        <v>532</v>
      </c>
      <c r="M455" s="234" t="s">
        <v>58</v>
      </c>
      <c r="O455" s="269">
        <f>O422/Daten_MFH!$D$16</f>
        <v>32.406848391687866</v>
      </c>
      <c r="P455" s="270">
        <f>P422/Daten_MFH!$D$16</f>
        <v>32.406848391687866</v>
      </c>
    </row>
    <row r="456" spans="1:19" hidden="1" outlineLevel="2" x14ac:dyDescent="0.25">
      <c r="F456" s="174" t="s">
        <v>474</v>
      </c>
      <c r="L456" s="173" t="s">
        <v>534</v>
      </c>
      <c r="M456" s="234" t="s">
        <v>58</v>
      </c>
      <c r="N456" s="264" t="s">
        <v>736</v>
      </c>
      <c r="O456" s="273">
        <f>O423/Daten_MFH!$D$16</f>
        <v>32.406848391687866</v>
      </c>
      <c r="P456" s="274">
        <f>P423/Daten_MFH!$D$16</f>
        <v>32.406848391687866</v>
      </c>
    </row>
    <row r="457" spans="1:19" hidden="1" outlineLevel="2" x14ac:dyDescent="0.25">
      <c r="F457" s="173" t="s">
        <v>709</v>
      </c>
      <c r="L457" s="173" t="s">
        <v>714</v>
      </c>
      <c r="M457" s="234" t="s">
        <v>58</v>
      </c>
      <c r="O457" s="279">
        <f>O424/Daten_MFH!$D$16</f>
        <v>0.19184149318018662</v>
      </c>
      <c r="P457" s="280">
        <f>P424/Daten_MFH!$D$16</f>
        <v>0.19184149318018662</v>
      </c>
    </row>
    <row r="458" spans="1:19" hidden="1" outlineLevel="2" x14ac:dyDescent="0.25">
      <c r="F458" s="174" t="s">
        <v>711</v>
      </c>
      <c r="L458" s="173" t="s">
        <v>715</v>
      </c>
      <c r="M458" s="234" t="s">
        <v>58</v>
      </c>
      <c r="O458" s="279">
        <f>O425/Daten_MFH!$D$16</f>
        <v>1.7265734386216796</v>
      </c>
      <c r="P458" s="280">
        <f>P425/Daten_MFH!$D$16</f>
        <v>1.7265734386216796</v>
      </c>
    </row>
    <row r="459" spans="1:19" hidden="1" outlineLevel="2" x14ac:dyDescent="0.25">
      <c r="E459" s="173" t="s">
        <v>713</v>
      </c>
      <c r="L459" s="173" t="s">
        <v>533</v>
      </c>
      <c r="M459" s="234" t="s">
        <v>58</v>
      </c>
      <c r="N459" s="264" t="s">
        <v>40</v>
      </c>
      <c r="O459" s="281">
        <f>O426/Daten_MFH!$D$16</f>
        <v>1.918414931801866</v>
      </c>
      <c r="P459" s="282">
        <f>P426/Daten_MFH!$D$16</f>
        <v>1.918414931801866</v>
      </c>
    </row>
    <row r="460" spans="1:19" hidden="1" outlineLevel="2" x14ac:dyDescent="0.25">
      <c r="E460" s="174" t="s">
        <v>765</v>
      </c>
      <c r="L460" s="173" t="s">
        <v>535</v>
      </c>
      <c r="M460" s="234" t="s">
        <v>58</v>
      </c>
      <c r="O460" s="273">
        <f>O427/Daten_MFH!$D$16</f>
        <v>186.7212517561774</v>
      </c>
      <c r="P460" s="274">
        <f>P427/Daten_MFH!$D$16</f>
        <v>186.7212517561774</v>
      </c>
    </row>
    <row r="461" spans="1:19" s="159" customFormat="1" ht="14.25" customHeight="1" collapsed="1" x14ac:dyDescent="0.25">
      <c r="A461" s="156" t="s">
        <v>575</v>
      </c>
      <c r="B461" s="157"/>
      <c r="C461" s="157"/>
      <c r="D461" s="158"/>
      <c r="O461" s="160"/>
      <c r="P461" s="161"/>
      <c r="R461" s="160"/>
      <c r="S461" s="161"/>
    </row>
    <row r="462" spans="1:19" s="162" customFormat="1" hidden="1" outlineLevel="2" x14ac:dyDescent="0.25">
      <c r="B462" s="163" t="s">
        <v>510</v>
      </c>
      <c r="O462" s="164"/>
      <c r="P462" s="165"/>
      <c r="R462" s="164"/>
      <c r="S462" s="165"/>
    </row>
    <row r="463" spans="1:19" s="170" customFormat="1" hidden="1" outlineLevel="2" x14ac:dyDescent="0.25">
      <c r="A463" s="166"/>
      <c r="B463" s="167"/>
      <c r="C463" s="166"/>
      <c r="D463" s="166"/>
      <c r="E463" s="166"/>
      <c r="F463" s="166"/>
      <c r="G463" s="166"/>
      <c r="H463" s="166"/>
      <c r="J463" s="166"/>
      <c r="K463" s="166"/>
      <c r="L463" s="166"/>
      <c r="M463" s="166"/>
      <c r="N463" s="166"/>
      <c r="O463" s="168" t="s">
        <v>319</v>
      </c>
      <c r="P463" s="169" t="s">
        <v>332</v>
      </c>
      <c r="R463" s="171"/>
      <c r="S463" s="172"/>
    </row>
    <row r="464" spans="1:19" hidden="1" outlineLevel="2" x14ac:dyDescent="0.25">
      <c r="G464" s="174" t="s">
        <v>508</v>
      </c>
      <c r="L464" s="174" t="s">
        <v>481</v>
      </c>
      <c r="M464" s="234" t="s">
        <v>348</v>
      </c>
      <c r="O464" s="252">
        <f>O406</f>
        <v>48026.924543747671</v>
      </c>
      <c r="P464" s="253">
        <f>P406</f>
        <v>48026.924543747671</v>
      </c>
    </row>
    <row r="465" spans="1:19" hidden="1" outlineLevel="2" x14ac:dyDescent="0.25">
      <c r="G465" s="174" t="s">
        <v>583</v>
      </c>
      <c r="L465" s="174" t="s">
        <v>581</v>
      </c>
      <c r="M465" s="234" t="s">
        <v>13</v>
      </c>
      <c r="O465" s="285">
        <f>O288</f>
        <v>1.2544539340556711</v>
      </c>
      <c r="P465" s="286">
        <f>P288</f>
        <v>1.2544539340556711</v>
      </c>
    </row>
    <row r="466" spans="1:19" hidden="1" outlineLevel="2" x14ac:dyDescent="0.25">
      <c r="F466" s="174" t="s">
        <v>586</v>
      </c>
      <c r="L466" s="173" t="s">
        <v>585</v>
      </c>
      <c r="M466" s="234" t="s">
        <v>348</v>
      </c>
      <c r="O466" s="256">
        <f>O464*O465</f>
        <v>60247.564434499131</v>
      </c>
      <c r="P466" s="257">
        <f>P464*P465</f>
        <v>60247.564434499131</v>
      </c>
    </row>
    <row r="467" spans="1:19" hidden="1" outlineLevel="2" x14ac:dyDescent="0.25">
      <c r="G467" s="174" t="s">
        <v>509</v>
      </c>
      <c r="I467" s="174"/>
      <c r="L467" s="174" t="s">
        <v>482</v>
      </c>
      <c r="M467" s="234" t="s">
        <v>348</v>
      </c>
      <c r="O467" s="260">
        <f>O414</f>
        <v>13972.389111079177</v>
      </c>
      <c r="P467" s="261">
        <f>P414</f>
        <v>13972.389111079177</v>
      </c>
    </row>
    <row r="468" spans="1:19" hidden="1" outlineLevel="2" x14ac:dyDescent="0.25">
      <c r="G468" s="174" t="s">
        <v>584</v>
      </c>
      <c r="L468" s="174" t="s">
        <v>581</v>
      </c>
      <c r="M468" s="234" t="s">
        <v>13</v>
      </c>
      <c r="O468" s="287">
        <f>O312</f>
        <v>1.319419363147895</v>
      </c>
      <c r="P468" s="288">
        <f>P312</f>
        <v>1.319419363147895</v>
      </c>
    </row>
    <row r="469" spans="1:19" hidden="1" outlineLevel="2" x14ac:dyDescent="0.25">
      <c r="F469" s="174" t="s">
        <v>587</v>
      </c>
      <c r="G469" s="174"/>
      <c r="L469" s="173" t="s">
        <v>585</v>
      </c>
      <c r="M469" s="234" t="s">
        <v>348</v>
      </c>
      <c r="O469" s="265">
        <f>O467*O468</f>
        <v>18435.44074259467</v>
      </c>
      <c r="P469" s="266">
        <f>P467*P468</f>
        <v>18435.44074259467</v>
      </c>
    </row>
    <row r="470" spans="1:19" hidden="1" outlineLevel="2" x14ac:dyDescent="0.25">
      <c r="F470" s="174" t="s">
        <v>588</v>
      </c>
      <c r="I470" s="174"/>
      <c r="L470" s="173" t="s">
        <v>589</v>
      </c>
      <c r="M470" s="234" t="s">
        <v>348</v>
      </c>
      <c r="N470" s="264" t="s">
        <v>736</v>
      </c>
      <c r="O470" s="289">
        <f>O466+O469</f>
        <v>78683.005177093801</v>
      </c>
      <c r="P470" s="290">
        <f>P466+P469</f>
        <v>78683.005177093801</v>
      </c>
    </row>
    <row r="471" spans="1:19" hidden="1" outlineLevel="2" x14ac:dyDescent="0.25">
      <c r="G471" s="174" t="s">
        <v>590</v>
      </c>
      <c r="I471" s="174"/>
      <c r="L471" s="173" t="s">
        <v>412</v>
      </c>
      <c r="M471" s="234" t="s">
        <v>13</v>
      </c>
      <c r="O471" s="291">
        <f>Daten_ALLG!$D$187</f>
        <v>1.8</v>
      </c>
      <c r="P471" s="292">
        <f>Daten_ALLG!$D$187</f>
        <v>1.8</v>
      </c>
    </row>
    <row r="472" spans="1:19" hidden="1" outlineLevel="2" x14ac:dyDescent="0.25">
      <c r="F472" s="174" t="s">
        <v>716</v>
      </c>
      <c r="L472" s="173" t="s">
        <v>592</v>
      </c>
      <c r="M472" s="234" t="s">
        <v>348</v>
      </c>
      <c r="N472" s="264" t="s">
        <v>736</v>
      </c>
      <c r="O472" s="293">
        <f>O$423*O471</f>
        <v>27414.15592010141</v>
      </c>
      <c r="P472" s="294">
        <f>P$423*P471</f>
        <v>27414.15592010141</v>
      </c>
    </row>
    <row r="473" spans="1:19" hidden="1" outlineLevel="2" x14ac:dyDescent="0.25">
      <c r="F473" s="173" t="s">
        <v>717</v>
      </c>
      <c r="L473" s="173" t="s">
        <v>718</v>
      </c>
      <c r="M473" s="234" t="s">
        <v>348</v>
      </c>
      <c r="O473" s="279">
        <f>O424*O471</f>
        <v>162.2858397836566</v>
      </c>
      <c r="P473" s="280">
        <f>P424*P471</f>
        <v>162.2858397836566</v>
      </c>
    </row>
    <row r="474" spans="1:19" hidden="1" outlineLevel="2" x14ac:dyDescent="0.25">
      <c r="F474" s="174" t="s">
        <v>738</v>
      </c>
      <c r="L474" s="173" t="s">
        <v>719</v>
      </c>
      <c r="M474" s="234" t="s">
        <v>348</v>
      </c>
      <c r="O474" s="279">
        <f>O425*Daten_ALLG!$D$189</f>
        <v>0</v>
      </c>
      <c r="P474" s="280">
        <f>P425*Daten_ALLG!$D$189</f>
        <v>0</v>
      </c>
    </row>
    <row r="475" spans="1:19" hidden="1" outlineLevel="2" x14ac:dyDescent="0.25">
      <c r="E475" s="173" t="s">
        <v>737</v>
      </c>
      <c r="L475" s="173" t="s">
        <v>720</v>
      </c>
      <c r="M475" s="234" t="s">
        <v>348</v>
      </c>
      <c r="N475" s="264" t="s">
        <v>40</v>
      </c>
      <c r="O475" s="281">
        <f>O473+O474</f>
        <v>162.2858397836566</v>
      </c>
      <c r="P475" s="282">
        <f>P473+P474</f>
        <v>162.2858397836566</v>
      </c>
    </row>
    <row r="476" spans="1:19" hidden="1" outlineLevel="2" x14ac:dyDescent="0.25">
      <c r="E476" s="174" t="s">
        <v>591</v>
      </c>
      <c r="L476" s="173" t="s">
        <v>593</v>
      </c>
      <c r="M476" s="234" t="s">
        <v>348</v>
      </c>
      <c r="O476" s="273">
        <f>O470+O472-O475</f>
        <v>105934.87525741155</v>
      </c>
      <c r="P476" s="274">
        <f>P470+P472-P475</f>
        <v>105934.87525741155</v>
      </c>
    </row>
    <row r="477" spans="1:19" s="162" customFormat="1" hidden="1" outlineLevel="2" x14ac:dyDescent="0.25">
      <c r="B477" s="163" t="s">
        <v>511</v>
      </c>
      <c r="O477" s="283"/>
      <c r="P477" s="284"/>
      <c r="R477" s="164"/>
      <c r="S477" s="165"/>
    </row>
    <row r="478" spans="1:19" s="170" customFormat="1" hidden="1" outlineLevel="2" x14ac:dyDescent="0.25">
      <c r="A478" s="166"/>
      <c r="B478" s="167"/>
      <c r="C478" s="166"/>
      <c r="D478" s="166"/>
      <c r="E478" s="166"/>
      <c r="F478" s="166"/>
      <c r="G478" s="166"/>
      <c r="H478" s="166"/>
      <c r="J478" s="166"/>
      <c r="K478" s="166"/>
      <c r="L478" s="166"/>
      <c r="M478" s="166"/>
      <c r="N478" s="166"/>
      <c r="O478" s="168" t="s">
        <v>319</v>
      </c>
      <c r="P478" s="169" t="s">
        <v>332</v>
      </c>
      <c r="R478" s="171"/>
      <c r="S478" s="172"/>
    </row>
    <row r="479" spans="1:19" hidden="1" outlineLevel="2" x14ac:dyDescent="0.25">
      <c r="G479" s="174" t="s">
        <v>508</v>
      </c>
      <c r="L479" s="174" t="s">
        <v>521</v>
      </c>
      <c r="M479" s="234" t="s">
        <v>58</v>
      </c>
      <c r="O479" s="252">
        <f>O464/Daten_MFH!$D$16</f>
        <v>102.19254171092902</v>
      </c>
      <c r="P479" s="253">
        <f>P464/Daten_MFH!$D$16</f>
        <v>102.19254171092902</v>
      </c>
    </row>
    <row r="480" spans="1:19" hidden="1" outlineLevel="2" x14ac:dyDescent="0.25">
      <c r="G480" s="174" t="s">
        <v>583</v>
      </c>
      <c r="L480" s="174" t="s">
        <v>581</v>
      </c>
      <c r="M480" s="234" t="s">
        <v>13</v>
      </c>
      <c r="O480" s="254">
        <f>O465</f>
        <v>1.2544539340556711</v>
      </c>
      <c r="P480" s="255">
        <f>P465</f>
        <v>1.2544539340556711</v>
      </c>
    </row>
    <row r="481" spans="1:19" hidden="1" outlineLevel="2" x14ac:dyDescent="0.25">
      <c r="F481" s="174" t="s">
        <v>586</v>
      </c>
      <c r="L481" s="173" t="s">
        <v>582</v>
      </c>
      <c r="M481" s="234" t="s">
        <v>58</v>
      </c>
      <c r="O481" s="256">
        <f>O466/Daten_MFH!$D$16</f>
        <v>128.19583598042317</v>
      </c>
      <c r="P481" s="257">
        <f>P466/Daten_MFH!$D$16</f>
        <v>128.19583598042317</v>
      </c>
    </row>
    <row r="482" spans="1:19" hidden="1" outlineLevel="2" x14ac:dyDescent="0.25">
      <c r="G482" s="174" t="s">
        <v>509</v>
      </c>
      <c r="I482" s="174"/>
      <c r="L482" s="174" t="s">
        <v>527</v>
      </c>
      <c r="M482" s="234" t="s">
        <v>58</v>
      </c>
      <c r="O482" s="260">
        <f>O467/Daten_MFH!$D$16</f>
        <v>29.730697324469329</v>
      </c>
      <c r="P482" s="261">
        <f>P467/Daten_MFH!$D$16</f>
        <v>29.730697324469329</v>
      </c>
    </row>
    <row r="483" spans="1:19" hidden="1" outlineLevel="2" x14ac:dyDescent="0.25">
      <c r="G483" s="174" t="s">
        <v>584</v>
      </c>
      <c r="L483" s="174" t="s">
        <v>581</v>
      </c>
      <c r="M483" s="234" t="s">
        <v>13</v>
      </c>
      <c r="O483" s="262">
        <f>O468</f>
        <v>1.319419363147895</v>
      </c>
      <c r="P483" s="263">
        <f>P468</f>
        <v>1.319419363147895</v>
      </c>
    </row>
    <row r="484" spans="1:19" hidden="1" outlineLevel="2" x14ac:dyDescent="0.25">
      <c r="F484" s="174" t="s">
        <v>587</v>
      </c>
      <c r="G484" s="174"/>
      <c r="L484" s="173" t="s">
        <v>608</v>
      </c>
      <c r="M484" s="234" t="s">
        <v>58</v>
      </c>
      <c r="O484" s="265">
        <f>O469/Daten_MFH!$D$16</f>
        <v>39.227257729794147</v>
      </c>
      <c r="P484" s="266">
        <f>P469/Daten_MFH!$D$16</f>
        <v>39.227257729794147</v>
      </c>
    </row>
    <row r="485" spans="1:19" hidden="1" outlineLevel="2" x14ac:dyDescent="0.25">
      <c r="F485" s="174" t="s">
        <v>588</v>
      </c>
      <c r="I485" s="174"/>
      <c r="L485" s="173" t="s">
        <v>594</v>
      </c>
      <c r="M485" s="234" t="s">
        <v>58</v>
      </c>
      <c r="N485" s="264" t="s">
        <v>736</v>
      </c>
      <c r="O485" s="289">
        <f>O470/Daten_MFH!$D$16</f>
        <v>167.4230937102173</v>
      </c>
      <c r="P485" s="290">
        <f>P470/Daten_MFH!$D$16</f>
        <v>167.4230937102173</v>
      </c>
    </row>
    <row r="486" spans="1:19" hidden="1" outlineLevel="2" x14ac:dyDescent="0.25">
      <c r="G486" s="174" t="s">
        <v>590</v>
      </c>
      <c r="I486" s="174"/>
      <c r="L486" s="173" t="s">
        <v>412</v>
      </c>
      <c r="M486" s="234" t="s">
        <v>13</v>
      </c>
      <c r="O486" s="291">
        <f>O471</f>
        <v>1.8</v>
      </c>
      <c r="P486" s="292">
        <f>P471</f>
        <v>1.8</v>
      </c>
    </row>
    <row r="487" spans="1:19" hidden="1" outlineLevel="2" x14ac:dyDescent="0.25">
      <c r="F487" s="174" t="s">
        <v>716</v>
      </c>
      <c r="L487" s="173" t="s">
        <v>595</v>
      </c>
      <c r="M487" s="234" t="s">
        <v>58</v>
      </c>
      <c r="N487" s="264" t="s">
        <v>736</v>
      </c>
      <c r="O487" s="293">
        <f>O472/Daten_MFH!$D$16</f>
        <v>58.332327105038168</v>
      </c>
      <c r="P487" s="294">
        <f>P472/Daten_MFH!$D$16</f>
        <v>58.332327105038168</v>
      </c>
    </row>
    <row r="488" spans="1:19" hidden="1" outlineLevel="2" x14ac:dyDescent="0.25">
      <c r="F488" s="173" t="s">
        <v>717</v>
      </c>
      <c r="L488" s="173" t="s">
        <v>721</v>
      </c>
      <c r="M488" s="234" t="s">
        <v>58</v>
      </c>
      <c r="O488" s="279">
        <f>O473/Daten_MFH!$D$16</f>
        <v>0.34531468772433593</v>
      </c>
      <c r="P488" s="280">
        <f>P473/Daten_MFH!$D$16</f>
        <v>0.34531468772433593</v>
      </c>
    </row>
    <row r="489" spans="1:19" hidden="1" outlineLevel="2" x14ac:dyDescent="0.25">
      <c r="F489" s="174" t="s">
        <v>738</v>
      </c>
      <c r="L489" s="173" t="s">
        <v>722</v>
      </c>
      <c r="M489" s="234" t="s">
        <v>58</v>
      </c>
      <c r="O489" s="279">
        <f>O474/Daten_MFH!$D$16</f>
        <v>0</v>
      </c>
      <c r="P489" s="280">
        <f>P474/Daten_MFH!$D$16</f>
        <v>0</v>
      </c>
    </row>
    <row r="490" spans="1:19" hidden="1" outlineLevel="2" x14ac:dyDescent="0.25">
      <c r="E490" s="173" t="s">
        <v>737</v>
      </c>
      <c r="L490" s="173" t="s">
        <v>723</v>
      </c>
      <c r="M490" s="234" t="s">
        <v>58</v>
      </c>
      <c r="N490" s="264" t="s">
        <v>40</v>
      </c>
      <c r="O490" s="281">
        <f>O475/Daten_MFH!$D$16</f>
        <v>0.34531468772433593</v>
      </c>
      <c r="P490" s="282">
        <f>P475/Daten_MFH!$D$16</f>
        <v>0.34531468772433593</v>
      </c>
    </row>
    <row r="491" spans="1:19" hidden="1" outlineLevel="2" x14ac:dyDescent="0.25">
      <c r="E491" s="174" t="s">
        <v>591</v>
      </c>
      <c r="L491" s="173" t="s">
        <v>596</v>
      </c>
      <c r="M491" s="234" t="s">
        <v>58</v>
      </c>
      <c r="O491" s="273">
        <f>O476/Daten_MFH!$D$16</f>
        <v>225.41010612753112</v>
      </c>
      <c r="P491" s="274">
        <f>P476/Daten_MFH!$D$16</f>
        <v>225.41010612753112</v>
      </c>
    </row>
    <row r="492" spans="1:19" s="159" customFormat="1" ht="14.25" customHeight="1" collapsed="1" x14ac:dyDescent="0.25">
      <c r="A492" s="156" t="s">
        <v>597</v>
      </c>
      <c r="B492" s="157"/>
      <c r="C492" s="157"/>
      <c r="D492" s="158"/>
      <c r="O492" s="160"/>
      <c r="P492" s="161"/>
      <c r="R492" s="160"/>
      <c r="S492" s="161"/>
    </row>
    <row r="493" spans="1:19" s="162" customFormat="1" hidden="1" outlineLevel="2" x14ac:dyDescent="0.25">
      <c r="B493" s="163" t="s">
        <v>510</v>
      </c>
      <c r="O493" s="164"/>
      <c r="P493" s="165"/>
      <c r="R493" s="164"/>
      <c r="S493" s="165"/>
    </row>
    <row r="494" spans="1:19" s="170" customFormat="1" hidden="1" outlineLevel="2" x14ac:dyDescent="0.25">
      <c r="A494" s="166"/>
      <c r="B494" s="167"/>
      <c r="C494" s="166"/>
      <c r="D494" s="166"/>
      <c r="E494" s="166"/>
      <c r="F494" s="166"/>
      <c r="G494" s="166"/>
      <c r="H494" s="166"/>
      <c r="J494" s="166"/>
      <c r="K494" s="166"/>
      <c r="L494" s="166"/>
      <c r="M494" s="166"/>
      <c r="N494" s="166"/>
      <c r="O494" s="168" t="s">
        <v>319</v>
      </c>
      <c r="P494" s="169" t="s">
        <v>332</v>
      </c>
      <c r="R494" s="171"/>
      <c r="S494" s="172"/>
    </row>
    <row r="495" spans="1:19" hidden="1" outlineLevel="2" x14ac:dyDescent="0.25">
      <c r="G495" s="174" t="s">
        <v>508</v>
      </c>
      <c r="L495" s="174" t="s">
        <v>481</v>
      </c>
      <c r="M495" s="234" t="s">
        <v>348</v>
      </c>
      <c r="O495" s="252">
        <f>O464</f>
        <v>48026.924543747671</v>
      </c>
      <c r="P495" s="253">
        <f>P464</f>
        <v>48026.924543747671</v>
      </c>
    </row>
    <row r="496" spans="1:19" hidden="1" outlineLevel="2" x14ac:dyDescent="0.25">
      <c r="G496" s="174" t="s">
        <v>598</v>
      </c>
      <c r="L496" s="174" t="s">
        <v>611</v>
      </c>
      <c r="M496" s="234" t="s">
        <v>620</v>
      </c>
      <c r="O496" s="254">
        <f>O294/1000</f>
        <v>0.27725022583900943</v>
      </c>
      <c r="P496" s="255">
        <f>P294/1000</f>
        <v>0.27725022583900943</v>
      </c>
    </row>
    <row r="497" spans="1:19" hidden="1" outlineLevel="2" x14ac:dyDescent="0.25">
      <c r="F497" s="174" t="s">
        <v>599</v>
      </c>
      <c r="L497" s="173" t="s">
        <v>606</v>
      </c>
      <c r="M497" s="234" t="s">
        <v>621</v>
      </c>
      <c r="O497" s="256">
        <f>O495*O496</f>
        <v>13315.475676107108</v>
      </c>
      <c r="P497" s="257">
        <f>P495*P496</f>
        <v>13315.475676107108</v>
      </c>
    </row>
    <row r="498" spans="1:19" hidden="1" outlineLevel="2" x14ac:dyDescent="0.25">
      <c r="G498" s="174" t="s">
        <v>509</v>
      </c>
      <c r="I498" s="174"/>
      <c r="L498" s="174" t="s">
        <v>482</v>
      </c>
      <c r="M498" s="234" t="s">
        <v>348</v>
      </c>
      <c r="O498" s="260">
        <f>O467</f>
        <v>13972.389111079177</v>
      </c>
      <c r="P498" s="261">
        <f>P467</f>
        <v>13972.389111079177</v>
      </c>
    </row>
    <row r="499" spans="1:19" hidden="1" outlineLevel="2" x14ac:dyDescent="0.25">
      <c r="G499" s="174" t="s">
        <v>600</v>
      </c>
      <c r="L499" s="174" t="s">
        <v>611</v>
      </c>
      <c r="M499" s="234" t="s">
        <v>620</v>
      </c>
      <c r="O499" s="262">
        <f>O318/1000</f>
        <v>0.3010045007540621</v>
      </c>
      <c r="P499" s="263">
        <f>P318/1000</f>
        <v>0.3010045007540621</v>
      </c>
    </row>
    <row r="500" spans="1:19" hidden="1" outlineLevel="2" x14ac:dyDescent="0.25">
      <c r="F500" s="174" t="s">
        <v>601</v>
      </c>
      <c r="G500" s="174"/>
      <c r="L500" s="173" t="s">
        <v>607</v>
      </c>
      <c r="M500" s="234" t="s">
        <v>621</v>
      </c>
      <c r="O500" s="265">
        <f>O498*O499</f>
        <v>4205.7520087218809</v>
      </c>
      <c r="P500" s="266">
        <f>P498*P499</f>
        <v>4205.7520087218809</v>
      </c>
    </row>
    <row r="501" spans="1:19" hidden="1" outlineLevel="2" x14ac:dyDescent="0.25">
      <c r="F501" s="174" t="s">
        <v>602</v>
      </c>
      <c r="I501" s="174"/>
      <c r="L501" s="173" t="s">
        <v>617</v>
      </c>
      <c r="M501" s="234" t="s">
        <v>621</v>
      </c>
      <c r="N501" s="264" t="s">
        <v>736</v>
      </c>
      <c r="O501" s="289">
        <f>O497+O500</f>
        <v>17521.227684828988</v>
      </c>
      <c r="P501" s="290">
        <f>P497+P500</f>
        <v>17521.227684828988</v>
      </c>
    </row>
    <row r="502" spans="1:19" hidden="1" outlineLevel="2" x14ac:dyDescent="0.25">
      <c r="G502" s="174" t="s">
        <v>603</v>
      </c>
      <c r="I502" s="174"/>
      <c r="L502" s="173" t="s">
        <v>571</v>
      </c>
      <c r="M502" s="234" t="s">
        <v>620</v>
      </c>
      <c r="O502" s="291">
        <f>Daten_ALLG!$D$209/1000</f>
        <v>0.44400000000000001</v>
      </c>
      <c r="P502" s="292">
        <f>Daten_ALLG!$D$209/1000</f>
        <v>0.44400000000000001</v>
      </c>
    </row>
    <row r="503" spans="1:19" hidden="1" outlineLevel="2" x14ac:dyDescent="0.25">
      <c r="F503" s="174" t="s">
        <v>604</v>
      </c>
      <c r="L503" s="173" t="s">
        <v>618</v>
      </c>
      <c r="M503" s="234" t="s">
        <v>621</v>
      </c>
      <c r="N503" s="264" t="s">
        <v>736</v>
      </c>
      <c r="O503" s="293">
        <f>O$423*O502</f>
        <v>6762.158460291681</v>
      </c>
      <c r="P503" s="294">
        <f>P$423*P502</f>
        <v>6762.158460291681</v>
      </c>
    </row>
    <row r="504" spans="1:19" hidden="1" outlineLevel="2" x14ac:dyDescent="0.25">
      <c r="F504" s="173" t="s">
        <v>724</v>
      </c>
      <c r="L504" s="173" t="s">
        <v>727</v>
      </c>
      <c r="M504" s="234" t="s">
        <v>621</v>
      </c>
      <c r="O504" s="279">
        <f>O424*O$502</f>
        <v>40.030507146635294</v>
      </c>
      <c r="P504" s="280">
        <f>P424*P$502</f>
        <v>40.030507146635294</v>
      </c>
    </row>
    <row r="505" spans="1:19" hidden="1" outlineLevel="2" x14ac:dyDescent="0.25">
      <c r="F505" s="174" t="s">
        <v>725</v>
      </c>
      <c r="L505" s="173" t="s">
        <v>728</v>
      </c>
      <c r="M505" s="234" t="s">
        <v>621</v>
      </c>
      <c r="O505" s="279">
        <f>O458*Daten_ALLG!$D$211</f>
        <v>0</v>
      </c>
      <c r="P505" s="280">
        <f>P458*Daten_ALLG!$D$211</f>
        <v>0</v>
      </c>
    </row>
    <row r="506" spans="1:19" hidden="1" outlineLevel="2" x14ac:dyDescent="0.25">
      <c r="E506" s="173" t="s">
        <v>726</v>
      </c>
      <c r="L506" s="173" t="s">
        <v>729</v>
      </c>
      <c r="M506" s="234" t="s">
        <v>621</v>
      </c>
      <c r="N506" s="264" t="s">
        <v>40</v>
      </c>
      <c r="O506" s="281">
        <f>O504+O505</f>
        <v>40.030507146635294</v>
      </c>
      <c r="P506" s="282">
        <f>P504+P505</f>
        <v>40.030507146635294</v>
      </c>
    </row>
    <row r="507" spans="1:19" hidden="1" outlineLevel="2" x14ac:dyDescent="0.25">
      <c r="E507" s="174" t="s">
        <v>605</v>
      </c>
      <c r="L507" s="173" t="s">
        <v>619</v>
      </c>
      <c r="M507" s="234" t="s">
        <v>621</v>
      </c>
      <c r="O507" s="273">
        <f>O501+O503-O506</f>
        <v>24243.355637974033</v>
      </c>
      <c r="P507" s="274">
        <f>P501+P503-P506</f>
        <v>24243.355637974033</v>
      </c>
    </row>
    <row r="508" spans="1:19" s="162" customFormat="1" hidden="1" outlineLevel="2" x14ac:dyDescent="0.25">
      <c r="B508" s="163" t="s">
        <v>511</v>
      </c>
      <c r="O508" s="283"/>
      <c r="P508" s="284"/>
      <c r="R508" s="164"/>
      <c r="S508" s="165"/>
    </row>
    <row r="509" spans="1:19" s="170" customFormat="1" hidden="1" outlineLevel="2" x14ac:dyDescent="0.25">
      <c r="A509" s="166"/>
      <c r="B509" s="167"/>
      <c r="C509" s="166"/>
      <c r="D509" s="166"/>
      <c r="E509" s="166"/>
      <c r="F509" s="166"/>
      <c r="G509" s="166"/>
      <c r="H509" s="166"/>
      <c r="J509" s="166"/>
      <c r="K509" s="166"/>
      <c r="L509" s="166"/>
      <c r="M509" s="166"/>
      <c r="N509" s="166"/>
      <c r="O509" s="168" t="s">
        <v>319</v>
      </c>
      <c r="P509" s="169" t="s">
        <v>332</v>
      </c>
      <c r="R509" s="171"/>
      <c r="S509" s="172"/>
    </row>
    <row r="510" spans="1:19" hidden="1" outlineLevel="2" x14ac:dyDescent="0.25">
      <c r="G510" s="174" t="s">
        <v>508</v>
      </c>
      <c r="L510" s="174" t="s">
        <v>521</v>
      </c>
      <c r="M510" s="234" t="s">
        <v>348</v>
      </c>
      <c r="O510" s="252">
        <f>O495/Daten_MFH!$D$16</f>
        <v>102.19254171092902</v>
      </c>
      <c r="P510" s="253">
        <f>P495/Daten_MFH!$D$16</f>
        <v>102.19254171092902</v>
      </c>
    </row>
    <row r="511" spans="1:19" hidden="1" outlineLevel="2" x14ac:dyDescent="0.25">
      <c r="G511" s="174" t="s">
        <v>598</v>
      </c>
      <c r="L511" s="174" t="s">
        <v>611</v>
      </c>
      <c r="M511" s="234" t="s">
        <v>13</v>
      </c>
      <c r="O511" s="254">
        <f>O496</f>
        <v>0.27725022583900943</v>
      </c>
      <c r="P511" s="255">
        <f>P496</f>
        <v>0.27725022583900943</v>
      </c>
    </row>
    <row r="512" spans="1:19" hidden="1" outlineLevel="2" x14ac:dyDescent="0.25">
      <c r="F512" s="174" t="s">
        <v>599</v>
      </c>
      <c r="L512" s="173" t="s">
        <v>612</v>
      </c>
      <c r="M512" s="234" t="s">
        <v>733</v>
      </c>
      <c r="O512" s="256">
        <f>O497/Daten_MFH!$D$16</f>
        <v>28.332905268417463</v>
      </c>
      <c r="P512" s="257">
        <f>P497/Daten_MFH!$D$16</f>
        <v>28.332905268417463</v>
      </c>
    </row>
    <row r="513" spans="1:19" hidden="1" outlineLevel="2" x14ac:dyDescent="0.25">
      <c r="G513" s="174" t="s">
        <v>509</v>
      </c>
      <c r="I513" s="174"/>
      <c r="L513" s="174" t="s">
        <v>527</v>
      </c>
      <c r="M513" s="234" t="s">
        <v>348</v>
      </c>
      <c r="O513" s="260">
        <f>O498/Daten_MFH!$D$16</f>
        <v>29.730697324469329</v>
      </c>
      <c r="P513" s="261">
        <f>P498/Daten_MFH!$D$16</f>
        <v>29.730697324469329</v>
      </c>
    </row>
    <row r="514" spans="1:19" hidden="1" outlineLevel="2" x14ac:dyDescent="0.25">
      <c r="G514" s="174" t="s">
        <v>600</v>
      </c>
      <c r="L514" s="174" t="s">
        <v>611</v>
      </c>
      <c r="M514" s="234" t="s">
        <v>13</v>
      </c>
      <c r="O514" s="262">
        <f>O499</f>
        <v>0.3010045007540621</v>
      </c>
      <c r="P514" s="263">
        <f>P499</f>
        <v>0.3010045007540621</v>
      </c>
    </row>
    <row r="515" spans="1:19" hidden="1" outlineLevel="2" x14ac:dyDescent="0.25">
      <c r="F515" s="174" t="s">
        <v>601</v>
      </c>
      <c r="G515" s="174"/>
      <c r="L515" s="173" t="s">
        <v>613</v>
      </c>
      <c r="M515" s="234" t="s">
        <v>733</v>
      </c>
      <c r="O515" s="265">
        <f>O500/Daten_MFH!$D$16</f>
        <v>8.9490737052220197</v>
      </c>
      <c r="P515" s="266">
        <f>P500/Daten_MFH!$D$16</f>
        <v>8.9490737052220197</v>
      </c>
    </row>
    <row r="516" spans="1:19" hidden="1" outlineLevel="2" x14ac:dyDescent="0.25">
      <c r="F516" s="174" t="s">
        <v>602</v>
      </c>
      <c r="I516" s="174"/>
      <c r="L516" s="173" t="s">
        <v>614</v>
      </c>
      <c r="M516" s="234" t="s">
        <v>733</v>
      </c>
      <c r="N516" s="264" t="s">
        <v>736</v>
      </c>
      <c r="O516" s="289">
        <f>O501/Daten_MFH!$D$16</f>
        <v>37.281978973639482</v>
      </c>
      <c r="P516" s="290">
        <f>P501/Daten_MFH!$D$16</f>
        <v>37.281978973639482</v>
      </c>
    </row>
    <row r="517" spans="1:19" hidden="1" outlineLevel="2" x14ac:dyDescent="0.25">
      <c r="G517" s="174" t="s">
        <v>603</v>
      </c>
      <c r="I517" s="174"/>
      <c r="L517" s="173" t="s">
        <v>571</v>
      </c>
      <c r="M517" s="234" t="s">
        <v>13</v>
      </c>
      <c r="O517" s="291">
        <f>O502</f>
        <v>0.44400000000000001</v>
      </c>
      <c r="P517" s="292">
        <f>P502</f>
        <v>0.44400000000000001</v>
      </c>
    </row>
    <row r="518" spans="1:19" hidden="1" outlineLevel="2" x14ac:dyDescent="0.25">
      <c r="F518" s="174" t="s">
        <v>604</v>
      </c>
      <c r="L518" s="173" t="s">
        <v>616</v>
      </c>
      <c r="M518" s="234" t="s">
        <v>733</v>
      </c>
      <c r="N518" s="264" t="s">
        <v>736</v>
      </c>
      <c r="O518" s="293">
        <f>O503/Daten_MFH!$D$16</f>
        <v>14.388640685909413</v>
      </c>
      <c r="P518" s="294">
        <f>P503/Daten_MFH!$D$16</f>
        <v>14.388640685909413</v>
      </c>
    </row>
    <row r="519" spans="1:19" hidden="1" outlineLevel="2" x14ac:dyDescent="0.25">
      <c r="F519" s="173" t="s">
        <v>724</v>
      </c>
      <c r="L519" s="173" t="s">
        <v>730</v>
      </c>
      <c r="M519" s="234" t="s">
        <v>733</v>
      </c>
      <c r="O519" s="279">
        <f>O504/Daten_MFH!$D$16</f>
        <v>8.5177622972002862E-2</v>
      </c>
      <c r="P519" s="280">
        <f>P504/Daten_MFH!$D$16</f>
        <v>8.5177622972002862E-2</v>
      </c>
    </row>
    <row r="520" spans="1:19" hidden="1" outlineLevel="2" x14ac:dyDescent="0.25">
      <c r="F520" s="174" t="s">
        <v>725</v>
      </c>
      <c r="L520" s="173" t="s">
        <v>731</v>
      </c>
      <c r="M520" s="234" t="s">
        <v>733</v>
      </c>
      <c r="O520" s="279">
        <f>O505/Daten_MFH!$D$16</f>
        <v>0</v>
      </c>
      <c r="P520" s="280">
        <f>P505/Daten_MFH!$D$16</f>
        <v>0</v>
      </c>
    </row>
    <row r="521" spans="1:19" hidden="1" outlineLevel="2" x14ac:dyDescent="0.25">
      <c r="E521" s="173" t="s">
        <v>726</v>
      </c>
      <c r="L521" s="173" t="s">
        <v>732</v>
      </c>
      <c r="M521" s="234" t="s">
        <v>733</v>
      </c>
      <c r="N521" s="264" t="s">
        <v>40</v>
      </c>
      <c r="O521" s="281">
        <f>O506/Daten_MFH!$D$16</f>
        <v>8.5177622972002862E-2</v>
      </c>
      <c r="P521" s="282">
        <f>P506/Daten_MFH!$D$16</f>
        <v>8.5177622972002862E-2</v>
      </c>
    </row>
    <row r="522" spans="1:19" hidden="1" outlineLevel="2" x14ac:dyDescent="0.25">
      <c r="E522" s="174" t="s">
        <v>605</v>
      </c>
      <c r="L522" s="173" t="s">
        <v>615</v>
      </c>
      <c r="M522" s="234" t="s">
        <v>733</v>
      </c>
      <c r="O522" s="273">
        <f>O507/Daten_MFH!$D$16</f>
        <v>51.585442036576893</v>
      </c>
      <c r="P522" s="274">
        <f>P507/Daten_MFH!$D$16</f>
        <v>51.585442036576893</v>
      </c>
    </row>
    <row r="523" spans="1:19" s="159" customFormat="1" ht="14.25" customHeight="1" collapsed="1" x14ac:dyDescent="0.25">
      <c r="A523" s="156" t="s">
        <v>670</v>
      </c>
      <c r="B523" s="157"/>
      <c r="C523" s="157"/>
      <c r="D523" s="158"/>
      <c r="O523" s="160"/>
      <c r="P523" s="161"/>
      <c r="R523" s="160"/>
      <c r="S523" s="161"/>
    </row>
    <row r="524" spans="1:19" s="162" customFormat="1" hidden="1" outlineLevel="2" x14ac:dyDescent="0.25">
      <c r="B524" s="163" t="s">
        <v>670</v>
      </c>
      <c r="O524" s="164"/>
      <c r="P524" s="165"/>
      <c r="R524" s="164"/>
      <c r="S524" s="165"/>
    </row>
    <row r="525" spans="1:19" s="170" customFormat="1" hidden="1" outlineLevel="2" x14ac:dyDescent="0.25">
      <c r="A525" s="166"/>
      <c r="B525" s="167"/>
      <c r="C525" s="166"/>
      <c r="D525" s="166"/>
      <c r="E525" s="166"/>
      <c r="F525" s="166"/>
      <c r="H525" s="166"/>
      <c r="J525" s="166"/>
      <c r="K525" s="166"/>
      <c r="L525" s="166" t="s">
        <v>319</v>
      </c>
      <c r="M525" s="166" t="s">
        <v>332</v>
      </c>
      <c r="N525" s="166"/>
      <c r="O525" s="168" t="s">
        <v>319</v>
      </c>
      <c r="P525" s="172" t="s">
        <v>332</v>
      </c>
      <c r="R525" s="171"/>
      <c r="S525" s="172"/>
    </row>
    <row r="526" spans="1:19" hidden="1" outlineLevel="2" x14ac:dyDescent="0.25">
      <c r="B526" s="174" t="s">
        <v>766</v>
      </c>
      <c r="E526" s="185" t="s">
        <v>669</v>
      </c>
      <c r="N526" s="264" t="s">
        <v>736</v>
      </c>
      <c r="O526" s="193">
        <f>O406*O300+O324*O414</f>
        <v>7429.0656037439503</v>
      </c>
      <c r="P526" s="194">
        <f>P406*P300+P324*P414</f>
        <v>7429.0656037439503</v>
      </c>
      <c r="R526" s="178">
        <f>O526/Daten_MFH!$D$16</f>
        <v>15.807697532084982</v>
      </c>
    </row>
    <row r="527" spans="1:19" hidden="1" outlineLevel="2" x14ac:dyDescent="0.25">
      <c r="B527" s="174" t="s">
        <v>735</v>
      </c>
      <c r="E527" s="185" t="s">
        <v>669</v>
      </c>
      <c r="N527" s="264" t="s">
        <v>736</v>
      </c>
      <c r="O527" s="193">
        <f>O423*Daten_ALLG!$D$278</f>
        <v>2832.7961117438122</v>
      </c>
      <c r="P527" s="194">
        <f>P423*Daten_ALLG!$D$278</f>
        <v>2832.7961117438122</v>
      </c>
      <c r="R527" s="178">
        <f>O527/Daten_MFH!$D$16</f>
        <v>6.0276738008539432</v>
      </c>
    </row>
    <row r="528" spans="1:19" hidden="1" outlineLevel="2" x14ac:dyDescent="0.25">
      <c r="B528" s="174" t="s">
        <v>823</v>
      </c>
      <c r="E528" s="185" t="s">
        <v>669</v>
      </c>
      <c r="F528" s="173" t="s">
        <v>825</v>
      </c>
      <c r="N528" s="264" t="s">
        <v>40</v>
      </c>
      <c r="O528" s="193">
        <f>(O380+O392)*Daten_ALLG!$D$278</f>
        <v>16.769536777644515</v>
      </c>
      <c r="P528" s="194">
        <f>(P380+P392)*Daten_ALLG!$D$278</f>
        <v>16.769536777644515</v>
      </c>
    </row>
    <row r="529" spans="1:19" hidden="1" outlineLevel="2" x14ac:dyDescent="0.25">
      <c r="B529" s="174" t="s">
        <v>824</v>
      </c>
      <c r="E529" s="185" t="s">
        <v>669</v>
      </c>
      <c r="F529" s="173" t="s">
        <v>828</v>
      </c>
      <c r="J529" s="264" t="s">
        <v>826</v>
      </c>
      <c r="K529" s="173" t="s">
        <v>654</v>
      </c>
      <c r="L529" s="223">
        <f>IF(A303="",0,IF(OR(L303="v",M303="v"),1,0))</f>
        <v>0</v>
      </c>
      <c r="M529" s="223">
        <f>IF(A303="",0,IF(OR(L303="n",M303="n"),1,L529))</f>
        <v>0</v>
      </c>
      <c r="N529" s="264" t="s">
        <v>40</v>
      </c>
      <c r="O529" s="193">
        <f>O379*IF(L529=0,Daten_ALLG!$D$278,Daten_ALLG!$D$279)</f>
        <v>0</v>
      </c>
      <c r="P529" s="194">
        <f>P379*IF(M529=0,Daten_ALLG!$D$278,Daten_ALLG!$D$279)</f>
        <v>0</v>
      </c>
    </row>
    <row r="530" spans="1:19" hidden="1" outlineLevel="2" x14ac:dyDescent="0.25">
      <c r="B530" s="174" t="s">
        <v>829</v>
      </c>
      <c r="E530" s="185" t="s">
        <v>669</v>
      </c>
      <c r="F530" s="173" t="s">
        <v>828</v>
      </c>
      <c r="J530" s="264" t="s">
        <v>826</v>
      </c>
      <c r="K530" s="173" t="s">
        <v>654</v>
      </c>
      <c r="L530" s="223">
        <f>IF(A276="",0,IF(OR(L276="v",M276="v"),1,0))</f>
        <v>0</v>
      </c>
      <c r="M530" s="223">
        <f>IF(A276="",0,IF(OR(L276="n",M276="n"),1,L530))</f>
        <v>0</v>
      </c>
      <c r="N530" s="264" t="s">
        <v>40</v>
      </c>
      <c r="O530" s="193">
        <f>O388*IF(L530=0,Daten_ALLG!$D$278,Daten_ALLG!$D$279)</f>
        <v>0</v>
      </c>
      <c r="P530" s="194">
        <f>P388*IF(M530=0,Daten_ALLG!$D$278,Daten_ALLG!$D$279)</f>
        <v>0</v>
      </c>
    </row>
    <row r="531" spans="1:19" hidden="1" outlineLevel="2" x14ac:dyDescent="0.25">
      <c r="B531" s="174" t="s">
        <v>767</v>
      </c>
      <c r="E531" s="185" t="s">
        <v>669</v>
      </c>
      <c r="F531" s="173" t="s">
        <v>827</v>
      </c>
      <c r="N531" s="264" t="s">
        <v>40</v>
      </c>
      <c r="O531" s="193">
        <f>(O389+O393)*Daten_ALLG!$D$284</f>
        <v>53.55432712860668</v>
      </c>
      <c r="P531" s="194">
        <f>(P389+P393)*Daten_ALLG!$D$284</f>
        <v>53.55432712860668</v>
      </c>
    </row>
    <row r="532" spans="1:19" hidden="1" outlineLevel="2" x14ac:dyDescent="0.25">
      <c r="B532" s="174" t="s">
        <v>44</v>
      </c>
      <c r="E532" s="185" t="s">
        <v>669</v>
      </c>
      <c r="O532" s="180">
        <f>O526+O527-O529-O528-O530-O531</f>
        <v>10191.537851581512</v>
      </c>
      <c r="P532" s="181">
        <f>P526+P527-P529-P528-P530-P531</f>
        <v>10191.537851581512</v>
      </c>
      <c r="R532" s="178">
        <f>O532/Daten_MFH!$D$16</f>
        <v>21.68573496825838</v>
      </c>
    </row>
    <row r="533" spans="1:19" s="159" customFormat="1" ht="14.25" customHeight="1" collapsed="1" x14ac:dyDescent="0.25">
      <c r="A533" s="156" t="s">
        <v>36</v>
      </c>
      <c r="B533" s="157"/>
      <c r="C533" s="157"/>
      <c r="D533" s="158"/>
      <c r="O533" s="160"/>
      <c r="P533" s="161"/>
      <c r="R533" s="160"/>
      <c r="S533" s="161"/>
    </row>
    <row r="534" spans="1:19" s="162" customFormat="1" hidden="1" outlineLevel="2" x14ac:dyDescent="0.25">
      <c r="B534" s="163" t="s">
        <v>16</v>
      </c>
      <c r="O534" s="164"/>
      <c r="P534" s="165"/>
      <c r="R534" s="164"/>
      <c r="S534" s="165"/>
    </row>
    <row r="535" spans="1:19" s="170" customFormat="1" hidden="1" outlineLevel="2" x14ac:dyDescent="0.25">
      <c r="A535" s="166"/>
      <c r="B535" s="167"/>
      <c r="C535" s="166"/>
      <c r="D535" s="166"/>
      <c r="E535" s="166"/>
      <c r="F535" s="166"/>
      <c r="G535" s="166"/>
      <c r="H535" s="166"/>
      <c r="J535" s="166"/>
      <c r="K535" s="166"/>
      <c r="L535" s="166"/>
      <c r="M535" s="166"/>
      <c r="N535" s="166"/>
      <c r="O535" s="171"/>
      <c r="P535" s="172"/>
      <c r="R535" s="168" t="s">
        <v>644</v>
      </c>
      <c r="S535" s="169" t="s">
        <v>32</v>
      </c>
    </row>
    <row r="536" spans="1:19" hidden="1" outlineLevel="2" x14ac:dyDescent="0.25">
      <c r="B536" s="174" t="s">
        <v>653</v>
      </c>
      <c r="E536" s="185" t="s">
        <v>654</v>
      </c>
      <c r="F536" s="223">
        <f>IF($R$41&gt;0,1,0)</f>
        <v>0</v>
      </c>
      <c r="R536" s="295"/>
      <c r="S536" s="296"/>
    </row>
    <row r="537" spans="1:19" hidden="1" outlineLevel="2" x14ac:dyDescent="0.25">
      <c r="B537" s="174" t="s">
        <v>638</v>
      </c>
      <c r="E537" s="185" t="s">
        <v>637</v>
      </c>
      <c r="R537" s="297">
        <f>Daten_ALLG!$H$216</f>
        <v>60</v>
      </c>
      <c r="S537" s="298">
        <f>Daten_ALLG!$D$216+Daten_ALLG!$F$216*R41</f>
        <v>90</v>
      </c>
    </row>
    <row r="538" spans="1:19" hidden="1" outlineLevel="2" x14ac:dyDescent="0.25">
      <c r="B538" s="174" t="s">
        <v>639</v>
      </c>
      <c r="E538" s="185" t="s">
        <v>77</v>
      </c>
      <c r="R538" s="299">
        <f>R537*S42*F536</f>
        <v>0</v>
      </c>
      <c r="S538" s="300">
        <f>S537*R42*F536</f>
        <v>0</v>
      </c>
    </row>
    <row r="539" spans="1:19" hidden="1" outlineLevel="2" x14ac:dyDescent="0.25">
      <c r="B539" s="174" t="s">
        <v>640</v>
      </c>
      <c r="E539" s="185" t="s">
        <v>77</v>
      </c>
      <c r="R539" s="301">
        <f>R538*Daten_ALLG!$D$246</f>
        <v>0</v>
      </c>
      <c r="S539" s="302">
        <f>S538*Daten_ALLG!$D$246</f>
        <v>0</v>
      </c>
    </row>
    <row r="540" spans="1:19" hidden="1" outlineLevel="2" x14ac:dyDescent="0.25">
      <c r="B540" s="174" t="s">
        <v>641</v>
      </c>
      <c r="E540" s="185" t="s">
        <v>77</v>
      </c>
      <c r="R540" s="301">
        <f>R539*Daten_ALLG!$D$250</f>
        <v>0</v>
      </c>
      <c r="S540" s="302">
        <f>S539*Daten_ALLG!$D$250</f>
        <v>0</v>
      </c>
    </row>
    <row r="541" spans="1:19" s="162" customFormat="1" hidden="1" outlineLevel="2" x14ac:dyDescent="0.25">
      <c r="B541" s="163" t="s">
        <v>12</v>
      </c>
      <c r="O541" s="164"/>
      <c r="P541" s="165"/>
      <c r="R541" s="164"/>
      <c r="S541" s="165"/>
    </row>
    <row r="542" spans="1:19" s="170" customFormat="1" hidden="1" outlineLevel="2" x14ac:dyDescent="0.25">
      <c r="A542" s="166"/>
      <c r="B542" s="167"/>
      <c r="C542" s="166"/>
      <c r="D542" s="166"/>
      <c r="E542" s="166"/>
      <c r="F542" s="166"/>
      <c r="G542" s="166"/>
      <c r="H542" s="166"/>
      <c r="J542" s="166"/>
      <c r="K542" s="166"/>
      <c r="L542" s="166"/>
      <c r="M542" s="166"/>
      <c r="N542" s="166"/>
      <c r="O542" s="171"/>
      <c r="P542" s="172"/>
      <c r="R542" s="168" t="s">
        <v>644</v>
      </c>
      <c r="S542" s="169" t="s">
        <v>32</v>
      </c>
    </row>
    <row r="543" spans="1:19" hidden="1" outlineLevel="2" x14ac:dyDescent="0.25">
      <c r="B543" s="174" t="s">
        <v>653</v>
      </c>
      <c r="E543" s="185" t="s">
        <v>654</v>
      </c>
      <c r="F543" s="223">
        <f>IF($O$58-$P$58&lt;&gt;0,1,0)</f>
        <v>0</v>
      </c>
      <c r="R543" s="295"/>
      <c r="S543" s="296"/>
    </row>
    <row r="544" spans="1:19" hidden="1" outlineLevel="2" x14ac:dyDescent="0.25">
      <c r="B544" s="174" t="s">
        <v>638</v>
      </c>
      <c r="E544" s="185" t="s">
        <v>637</v>
      </c>
      <c r="R544" s="297">
        <f>Daten_ALLG!$H$219</f>
        <v>389</v>
      </c>
      <c r="S544" s="298">
        <f>Daten_ALLG!$D$219</f>
        <v>537</v>
      </c>
    </row>
    <row r="545" spans="1:19" hidden="1" outlineLevel="2" x14ac:dyDescent="0.25">
      <c r="B545" s="174" t="s">
        <v>639</v>
      </c>
      <c r="E545" s="185" t="s">
        <v>77</v>
      </c>
      <c r="R545" s="299">
        <f>R544*S59*F543</f>
        <v>0</v>
      </c>
      <c r="S545" s="300">
        <f>S544*R59*F543</f>
        <v>0</v>
      </c>
    </row>
    <row r="546" spans="1:19" hidden="1" outlineLevel="2" x14ac:dyDescent="0.25">
      <c r="B546" s="174" t="s">
        <v>640</v>
      </c>
      <c r="E546" s="185" t="s">
        <v>77</v>
      </c>
      <c r="R546" s="301">
        <f>R545*Daten_ALLG!$D$246</f>
        <v>0</v>
      </c>
      <c r="S546" s="302">
        <f>S545*Daten_ALLG!$D$246</f>
        <v>0</v>
      </c>
    </row>
    <row r="547" spans="1:19" hidden="1" outlineLevel="2" x14ac:dyDescent="0.25">
      <c r="B547" s="174" t="s">
        <v>641</v>
      </c>
      <c r="E547" s="185" t="s">
        <v>77</v>
      </c>
      <c r="R547" s="301">
        <f>R546*Daten_ALLG!$D$257</f>
        <v>0</v>
      </c>
      <c r="S547" s="302">
        <f>S546*Daten_ALLG!$D$257</f>
        <v>0</v>
      </c>
    </row>
    <row r="548" spans="1:19" s="162" customFormat="1" hidden="1" outlineLevel="2" x14ac:dyDescent="0.25">
      <c r="B548" s="163" t="s">
        <v>642</v>
      </c>
      <c r="O548" s="164"/>
      <c r="P548" s="165"/>
      <c r="R548" s="164"/>
      <c r="S548" s="165"/>
    </row>
    <row r="549" spans="1:19" s="170" customFormat="1" hidden="1" outlineLevel="2" x14ac:dyDescent="0.25">
      <c r="A549" s="166"/>
      <c r="B549" s="167"/>
      <c r="C549" s="166"/>
      <c r="D549" s="166"/>
      <c r="E549" s="166"/>
      <c r="F549" s="166" t="s">
        <v>17</v>
      </c>
      <c r="H549" s="166" t="s">
        <v>29</v>
      </c>
      <c r="J549" s="166"/>
      <c r="K549" s="166"/>
      <c r="L549" s="166"/>
      <c r="M549" s="166"/>
      <c r="N549" s="166"/>
      <c r="O549" s="171"/>
      <c r="P549" s="172"/>
      <c r="R549" s="168" t="s">
        <v>644</v>
      </c>
      <c r="S549" s="169" t="s">
        <v>32</v>
      </c>
    </row>
    <row r="550" spans="1:19" hidden="1" outlineLevel="2" x14ac:dyDescent="0.25">
      <c r="B550" s="174" t="s">
        <v>653</v>
      </c>
      <c r="E550" s="185" t="s">
        <v>654</v>
      </c>
      <c r="F550" s="223">
        <f>IF($R$46&gt;0,1,0)</f>
        <v>0</v>
      </c>
      <c r="R550" s="295"/>
      <c r="S550" s="296"/>
    </row>
    <row r="551" spans="1:19" hidden="1" outlineLevel="2" x14ac:dyDescent="0.25">
      <c r="B551" s="174" t="s">
        <v>157</v>
      </c>
      <c r="E551" s="185" t="s">
        <v>13</v>
      </c>
      <c r="F551" s="191">
        <f>Daten_MFH!$D$58</f>
        <v>0.40229885057471265</v>
      </c>
      <c r="H551" s="191">
        <f>Daten_MFH!$D$59</f>
        <v>0.5977011494252874</v>
      </c>
    </row>
    <row r="552" spans="1:19" hidden="1" outlineLevel="2" x14ac:dyDescent="0.25">
      <c r="B552" s="174" t="s">
        <v>638</v>
      </c>
      <c r="E552" s="185" t="s">
        <v>637</v>
      </c>
      <c r="F552" s="223">
        <f>Daten_ALLG!$H$218</f>
        <v>125</v>
      </c>
      <c r="G552" s="214">
        <f>Daten_ALLG!$D$218+Daten_ALLG!$F$218*R46</f>
        <v>155</v>
      </c>
      <c r="H552" s="223">
        <v>0</v>
      </c>
      <c r="I552" s="223">
        <f>Daten_ALLG!$D$221+Daten_ALLG!$F$221*Bil_MFH_oQS!R46</f>
        <v>30</v>
      </c>
      <c r="R552" s="297">
        <f t="shared" ref="R552:S552" si="29">$F$551*F552+$H$551*H552</f>
        <v>50.287356321839084</v>
      </c>
      <c r="S552" s="298">
        <f t="shared" si="29"/>
        <v>80.287356321839084</v>
      </c>
    </row>
    <row r="553" spans="1:19" hidden="1" outlineLevel="2" x14ac:dyDescent="0.25">
      <c r="B553" s="174" t="s">
        <v>639</v>
      </c>
      <c r="E553" s="185" t="s">
        <v>77</v>
      </c>
      <c r="F553" s="214">
        <f>F552*S47</f>
        <v>0</v>
      </c>
      <c r="G553" s="214">
        <f>G552*R47</f>
        <v>0</v>
      </c>
      <c r="H553" s="214">
        <f>H552*S47</f>
        <v>0</v>
      </c>
      <c r="I553" s="214">
        <f>I552*R47</f>
        <v>0</v>
      </c>
      <c r="R553" s="299">
        <f>($F$551*F553+$H$551*H553)*F550</f>
        <v>0</v>
      </c>
      <c r="S553" s="300">
        <f>($F$551*G553+$H$551*I553)*F550</f>
        <v>0</v>
      </c>
    </row>
    <row r="554" spans="1:19" hidden="1" outlineLevel="2" x14ac:dyDescent="0.25">
      <c r="B554" s="174" t="s">
        <v>640</v>
      </c>
      <c r="E554" s="185" t="s">
        <v>77</v>
      </c>
      <c r="F554" s="214">
        <f>F553*Daten_ALLG!$D$246</f>
        <v>0</v>
      </c>
      <c r="G554" s="214">
        <f>G553*Daten_ALLG!$D$246</f>
        <v>0</v>
      </c>
      <c r="H554" s="214">
        <f>H553*Daten_ALLG!$D$246</f>
        <v>0</v>
      </c>
      <c r="I554" s="214">
        <f>I553*Daten_ALLG!$D$246</f>
        <v>0</v>
      </c>
      <c r="R554" s="301">
        <f>($F$551*F554+$H$551*H554)*F550</f>
        <v>0</v>
      </c>
      <c r="S554" s="302">
        <f>($F$551*G554+$H$551*I554)*F550</f>
        <v>0</v>
      </c>
    </row>
    <row r="555" spans="1:19" hidden="1" outlineLevel="2" x14ac:dyDescent="0.25">
      <c r="B555" s="174" t="s">
        <v>641</v>
      </c>
      <c r="E555" s="185" t="s">
        <v>77</v>
      </c>
      <c r="F555" s="214">
        <f>F554*Daten_ALLG!$D$254</f>
        <v>0</v>
      </c>
      <c r="G555" s="214">
        <f>G554*Daten_ALLG!$D$254</f>
        <v>0</v>
      </c>
      <c r="H555" s="214">
        <f>H554*Daten_ALLG!$D$263</f>
        <v>0</v>
      </c>
      <c r="I555" s="214">
        <f>I554*Daten_ALLG!$D$263</f>
        <v>0</v>
      </c>
      <c r="R555" s="301">
        <f>($F$551*F555+$H$551*H555)*F550</f>
        <v>0</v>
      </c>
      <c r="S555" s="302">
        <f>($F$551*G555+$H$551*I555)*F550</f>
        <v>0</v>
      </c>
    </row>
    <row r="556" spans="1:19" s="162" customFormat="1" hidden="1" outlineLevel="2" x14ac:dyDescent="0.25">
      <c r="B556" s="163" t="s">
        <v>645</v>
      </c>
      <c r="O556" s="164"/>
      <c r="P556" s="165"/>
      <c r="R556" s="164"/>
      <c r="S556" s="165"/>
    </row>
    <row r="557" spans="1:19" s="170" customFormat="1" hidden="1" outlineLevel="2" x14ac:dyDescent="0.25">
      <c r="A557" s="166"/>
      <c r="B557" s="167"/>
      <c r="C557" s="166"/>
      <c r="D557" s="166"/>
      <c r="E557" s="166"/>
      <c r="F557" s="166" t="s">
        <v>18</v>
      </c>
      <c r="H557" s="166" t="s">
        <v>19</v>
      </c>
      <c r="J557" s="166"/>
      <c r="K557" s="166"/>
      <c r="L557" s="166"/>
      <c r="M557" s="166"/>
      <c r="N557" s="166"/>
      <c r="O557" s="171"/>
      <c r="P557" s="172"/>
      <c r="R557" s="168" t="s">
        <v>644</v>
      </c>
      <c r="S557" s="169" t="s">
        <v>32</v>
      </c>
    </row>
    <row r="558" spans="1:19" hidden="1" outlineLevel="2" x14ac:dyDescent="0.25">
      <c r="B558" s="174" t="s">
        <v>653</v>
      </c>
      <c r="E558" s="185" t="s">
        <v>654</v>
      </c>
      <c r="F558" s="223">
        <f>IF($R$52&gt;0,1,0)</f>
        <v>0</v>
      </c>
      <c r="R558" s="295"/>
      <c r="S558" s="296"/>
    </row>
    <row r="559" spans="1:19" hidden="1" outlineLevel="2" x14ac:dyDescent="0.25">
      <c r="B559" s="174" t="s">
        <v>157</v>
      </c>
      <c r="E559" s="185" t="s">
        <v>13</v>
      </c>
      <c r="F559" s="191">
        <f>Daten_MFH!$D$61</f>
        <v>0.85897435897435892</v>
      </c>
      <c r="H559" s="191">
        <f>Daten_MFH!$D$60</f>
        <v>0.14102564102564102</v>
      </c>
    </row>
    <row r="560" spans="1:19" hidden="1" outlineLevel="2" x14ac:dyDescent="0.25">
      <c r="B560" s="174" t="s">
        <v>638</v>
      </c>
      <c r="E560" s="185" t="s">
        <v>637</v>
      </c>
      <c r="F560" s="223">
        <v>0</v>
      </c>
      <c r="G560" s="214">
        <f>Daten_ALLG!$D$220+Daten_ALLG!$F$220*R52</f>
        <v>45</v>
      </c>
      <c r="H560" s="223">
        <v>0</v>
      </c>
      <c r="I560" s="223">
        <f>Daten_ALLG!$D$217+Daten_ALLG!$F$217*R52</f>
        <v>100</v>
      </c>
      <c r="R560" s="297">
        <f>($F$559*F560+$H$559*H560)*F558</f>
        <v>0</v>
      </c>
      <c r="S560" s="298">
        <f>($F$559*G560+$H$559*I560)*F558</f>
        <v>0</v>
      </c>
    </row>
    <row r="561" spans="1:19" hidden="1" outlineLevel="2" x14ac:dyDescent="0.25">
      <c r="B561" s="174" t="s">
        <v>639</v>
      </c>
      <c r="E561" s="185" t="s">
        <v>77</v>
      </c>
      <c r="F561" s="214">
        <f>F560*S53</f>
        <v>0</v>
      </c>
      <c r="G561" s="214">
        <f>G560*R53</f>
        <v>0</v>
      </c>
      <c r="H561" s="214">
        <f>H560*S53</f>
        <v>0</v>
      </c>
      <c r="I561" s="214">
        <f>I560*R53</f>
        <v>0</v>
      </c>
      <c r="R561" s="299">
        <f>($F$559*F561+$H$559*H561)*F558</f>
        <v>0</v>
      </c>
      <c r="S561" s="300">
        <f>($F$559*G561+$H$559*I561)*F558</f>
        <v>0</v>
      </c>
    </row>
    <row r="562" spans="1:19" hidden="1" outlineLevel="2" x14ac:dyDescent="0.25">
      <c r="B562" s="174" t="s">
        <v>640</v>
      </c>
      <c r="E562" s="185" t="s">
        <v>77</v>
      </c>
      <c r="F562" s="214">
        <f>F561*Daten_ALLG!$D$246</f>
        <v>0</v>
      </c>
      <c r="G562" s="214">
        <f>G561*Daten_ALLG!$D$246</f>
        <v>0</v>
      </c>
      <c r="H562" s="214">
        <f>H561*Daten_ALLG!$D$246</f>
        <v>0</v>
      </c>
      <c r="I562" s="214">
        <f>I561*Daten_ALLG!$D$246</f>
        <v>0</v>
      </c>
      <c r="R562" s="301">
        <f>($F$559*F562+$H$559*H562)*F558</f>
        <v>0</v>
      </c>
      <c r="S562" s="302">
        <f>($F$559*G562+$H$559*I562)*F558</f>
        <v>0</v>
      </c>
    </row>
    <row r="563" spans="1:19" hidden="1" outlineLevel="2" x14ac:dyDescent="0.25">
      <c r="B563" s="174" t="s">
        <v>641</v>
      </c>
      <c r="E563" s="185" t="s">
        <v>77</v>
      </c>
      <c r="F563" s="214">
        <f>F562*Daten_ALLG!$D$260</f>
        <v>0</v>
      </c>
      <c r="G563" s="214">
        <f>G562*Daten_ALLG!$D$260</f>
        <v>0</v>
      </c>
      <c r="H563" s="214">
        <f>H562*Daten_ALLG!$D$263</f>
        <v>0</v>
      </c>
      <c r="I563" s="214">
        <f>I562*Daten_ALLG!$D$263</f>
        <v>0</v>
      </c>
      <c r="R563" s="301">
        <f>($F$559*F563+$H$559*H563)*F558</f>
        <v>0</v>
      </c>
      <c r="S563" s="302">
        <f>($F$559*G563+$H$559*I563)*F558</f>
        <v>0</v>
      </c>
    </row>
    <row r="564" spans="1:19" s="162" customFormat="1" hidden="1" outlineLevel="2" x14ac:dyDescent="0.25">
      <c r="B564" s="163" t="s">
        <v>643</v>
      </c>
      <c r="O564" s="164"/>
      <c r="P564" s="165"/>
      <c r="R564" s="164"/>
      <c r="S564" s="165"/>
    </row>
    <row r="565" spans="1:19" s="170" customFormat="1" hidden="1" outlineLevel="2" x14ac:dyDescent="0.25">
      <c r="A565" s="166"/>
      <c r="B565" s="167"/>
      <c r="C565" s="166"/>
      <c r="D565" s="166"/>
      <c r="E565" s="166"/>
      <c r="F565" s="166"/>
      <c r="G565" s="166"/>
      <c r="H565" s="166"/>
      <c r="J565" s="166"/>
      <c r="K565" s="166"/>
      <c r="L565" s="166"/>
      <c r="M565" s="166"/>
      <c r="N565" s="166"/>
      <c r="O565" s="171"/>
      <c r="P565" s="172"/>
      <c r="R565" s="168" t="s">
        <v>644</v>
      </c>
      <c r="S565" s="169" t="s">
        <v>32</v>
      </c>
    </row>
    <row r="566" spans="1:19" hidden="1" outlineLevel="2" x14ac:dyDescent="0.25">
      <c r="B566" s="174" t="s">
        <v>638</v>
      </c>
      <c r="E566" s="185" t="s">
        <v>637</v>
      </c>
      <c r="R566" s="297">
        <v>0</v>
      </c>
      <c r="S566" s="298">
        <f>Daten_ALLG!$D$235</f>
        <v>75</v>
      </c>
    </row>
    <row r="567" spans="1:19" hidden="1" outlineLevel="2" x14ac:dyDescent="0.25">
      <c r="B567" s="174" t="s">
        <v>639</v>
      </c>
      <c r="E567" s="185" t="s">
        <v>77</v>
      </c>
      <c r="R567" s="299">
        <v>0</v>
      </c>
      <c r="S567" s="300">
        <f>S566*R88</f>
        <v>0</v>
      </c>
    </row>
    <row r="568" spans="1:19" hidden="1" outlineLevel="2" x14ac:dyDescent="0.25">
      <c r="B568" s="174" t="s">
        <v>640</v>
      </c>
      <c r="E568" s="185" t="s">
        <v>77</v>
      </c>
      <c r="R568" s="301">
        <v>0</v>
      </c>
      <c r="S568" s="302">
        <f>S567*Daten_ALLG!$D$246</f>
        <v>0</v>
      </c>
    </row>
    <row r="569" spans="1:19" hidden="1" outlineLevel="2" x14ac:dyDescent="0.25">
      <c r="B569" s="174" t="s">
        <v>641</v>
      </c>
      <c r="E569" s="185" t="s">
        <v>77</v>
      </c>
      <c r="R569" s="301">
        <v>0</v>
      </c>
      <c r="S569" s="302">
        <f>S568*Daten_ALLG!$D$268</f>
        <v>0</v>
      </c>
    </row>
    <row r="570" spans="1:19" s="162" customFormat="1" hidden="1" outlineLevel="2" x14ac:dyDescent="0.25">
      <c r="B570" s="163" t="s">
        <v>9</v>
      </c>
      <c r="O570" s="164"/>
      <c r="P570" s="165"/>
      <c r="R570" s="164"/>
      <c r="S570" s="165"/>
    </row>
    <row r="571" spans="1:19" s="170" customFormat="1" hidden="1" outlineLevel="2" x14ac:dyDescent="0.25">
      <c r="A571" s="166"/>
      <c r="B571" s="167"/>
      <c r="C571" s="166"/>
      <c r="D571" s="166"/>
      <c r="E571" s="166"/>
      <c r="F571" s="166"/>
      <c r="G571" s="166"/>
      <c r="H571" s="166"/>
      <c r="J571" s="166"/>
      <c r="K571" s="166"/>
      <c r="L571" s="166"/>
      <c r="M571" s="166"/>
      <c r="N571" s="166"/>
      <c r="O571" s="171"/>
      <c r="P571" s="172"/>
      <c r="R571" s="168" t="s">
        <v>644</v>
      </c>
      <c r="S571" s="169" t="s">
        <v>32</v>
      </c>
    </row>
    <row r="572" spans="1:19" hidden="1" outlineLevel="2" x14ac:dyDescent="0.25">
      <c r="B572" s="174" t="s">
        <v>638</v>
      </c>
      <c r="E572" s="185" t="s">
        <v>646</v>
      </c>
      <c r="R572" s="297">
        <v>0</v>
      </c>
      <c r="S572" s="298">
        <f>Daten_ALLG!$D$236</f>
        <v>1200</v>
      </c>
    </row>
    <row r="573" spans="1:19" hidden="1" outlineLevel="2" x14ac:dyDescent="0.25">
      <c r="B573" s="174" t="s">
        <v>639</v>
      </c>
      <c r="E573" s="185" t="s">
        <v>77</v>
      </c>
      <c r="R573" s="299">
        <v>0</v>
      </c>
      <c r="S573" s="300">
        <f>S572*R357</f>
        <v>0</v>
      </c>
    </row>
    <row r="574" spans="1:19" hidden="1" outlineLevel="2" x14ac:dyDescent="0.25">
      <c r="B574" s="174" t="s">
        <v>640</v>
      </c>
      <c r="E574" s="185" t="s">
        <v>77</v>
      </c>
      <c r="R574" s="301">
        <v>0</v>
      </c>
      <c r="S574" s="302">
        <f>S573*Daten_ALLG!$D$246</f>
        <v>0</v>
      </c>
    </row>
    <row r="575" spans="1:19" hidden="1" outlineLevel="2" x14ac:dyDescent="0.25">
      <c r="B575" s="174" t="s">
        <v>641</v>
      </c>
      <c r="E575" s="185" t="s">
        <v>77</v>
      </c>
      <c r="R575" s="301">
        <v>0</v>
      </c>
      <c r="S575" s="302">
        <f>S574*Daten_ALLG!$D$265</f>
        <v>0</v>
      </c>
    </row>
    <row r="576" spans="1:19" s="162" customFormat="1" hidden="1" outlineLevel="2" x14ac:dyDescent="0.25">
      <c r="B576" s="163" t="s">
        <v>649</v>
      </c>
      <c r="O576" s="164"/>
      <c r="P576" s="165"/>
      <c r="R576" s="164"/>
      <c r="S576" s="165"/>
    </row>
    <row r="577" spans="1:19" s="170" customFormat="1" hidden="1" outlineLevel="2" x14ac:dyDescent="0.25">
      <c r="A577" s="166"/>
      <c r="B577" s="167"/>
      <c r="C577" s="166"/>
      <c r="D577" s="166"/>
      <c r="E577" s="166"/>
      <c r="F577" s="166"/>
      <c r="G577" s="166"/>
      <c r="H577" s="166"/>
      <c r="J577" s="166"/>
      <c r="K577" s="166"/>
      <c r="L577" s="166"/>
      <c r="M577" s="166"/>
      <c r="N577" s="166"/>
      <c r="O577" s="171"/>
      <c r="P577" s="172"/>
      <c r="R577" s="168" t="s">
        <v>644</v>
      </c>
      <c r="S577" s="169" t="s">
        <v>32</v>
      </c>
    </row>
    <row r="578" spans="1:19" hidden="1" outlineLevel="2" x14ac:dyDescent="0.25">
      <c r="B578" s="174" t="s">
        <v>638</v>
      </c>
      <c r="E578" s="185" t="s">
        <v>637</v>
      </c>
      <c r="R578" s="297">
        <v>0</v>
      </c>
      <c r="S578" s="298">
        <f>Daten_ALLG!$D$237</f>
        <v>900</v>
      </c>
    </row>
    <row r="579" spans="1:19" hidden="1" outlineLevel="2" x14ac:dyDescent="0.25">
      <c r="B579" s="174" t="s">
        <v>639</v>
      </c>
      <c r="E579" s="185" t="s">
        <v>77</v>
      </c>
      <c r="R579" s="299">
        <v>0</v>
      </c>
      <c r="S579" s="300">
        <f>S578*R352</f>
        <v>0</v>
      </c>
    </row>
    <row r="580" spans="1:19" hidden="1" outlineLevel="2" x14ac:dyDescent="0.25">
      <c r="B580" s="174" t="s">
        <v>640</v>
      </c>
      <c r="E580" s="185" t="s">
        <v>77</v>
      </c>
      <c r="R580" s="301">
        <v>0</v>
      </c>
      <c r="S580" s="302">
        <f>S579*Daten_ALLG!$D$246</f>
        <v>0</v>
      </c>
    </row>
    <row r="581" spans="1:19" hidden="1" outlineLevel="2" x14ac:dyDescent="0.25">
      <c r="B581" s="174" t="s">
        <v>641</v>
      </c>
      <c r="E581" s="185" t="s">
        <v>77</v>
      </c>
      <c r="R581" s="301">
        <v>0</v>
      </c>
      <c r="S581" s="302">
        <f>S580*Daten_ALLG!$D$266</f>
        <v>0</v>
      </c>
    </row>
    <row r="582" spans="1:19" s="162" customFormat="1" hidden="1" outlineLevel="2" x14ac:dyDescent="0.25">
      <c r="B582" s="163" t="s">
        <v>647</v>
      </c>
      <c r="O582" s="164"/>
      <c r="P582" s="165"/>
      <c r="R582" s="164"/>
      <c r="S582" s="165"/>
    </row>
    <row r="583" spans="1:19" s="170" customFormat="1" hidden="1" outlineLevel="2" x14ac:dyDescent="0.25">
      <c r="A583" s="166"/>
      <c r="B583" s="167"/>
      <c r="C583" s="166"/>
      <c r="D583" s="166"/>
      <c r="E583" s="166"/>
      <c r="F583" s="166"/>
      <c r="G583" s="166"/>
      <c r="H583" s="166"/>
      <c r="J583" s="166"/>
      <c r="K583" s="166"/>
      <c r="L583" s="166"/>
      <c r="M583" s="166"/>
      <c r="N583" s="166"/>
      <c r="O583" s="171"/>
      <c r="P583" s="172"/>
      <c r="R583" s="168" t="s">
        <v>644</v>
      </c>
      <c r="S583" s="169" t="s">
        <v>32</v>
      </c>
    </row>
    <row r="584" spans="1:19" hidden="1" outlineLevel="2" x14ac:dyDescent="0.25">
      <c r="B584" s="174" t="s">
        <v>444</v>
      </c>
      <c r="E584" s="185" t="s">
        <v>427</v>
      </c>
      <c r="R584" s="297">
        <v>0</v>
      </c>
      <c r="S584" s="298">
        <f>R331</f>
        <v>0</v>
      </c>
    </row>
    <row r="585" spans="1:19" hidden="1" outlineLevel="2" x14ac:dyDescent="0.25">
      <c r="B585" s="174" t="s">
        <v>639</v>
      </c>
      <c r="E585" s="185" t="s">
        <v>77</v>
      </c>
      <c r="R585" s="299">
        <v>0</v>
      </c>
      <c r="S585" s="300">
        <f>IF(S584=0,0,S584*Daten_ALLG!$D$239+Daten_ALLG!$F$239)</f>
        <v>0</v>
      </c>
    </row>
    <row r="586" spans="1:19" hidden="1" outlineLevel="2" x14ac:dyDescent="0.25">
      <c r="B586" s="174" t="s">
        <v>640</v>
      </c>
      <c r="E586" s="185" t="s">
        <v>77</v>
      </c>
      <c r="R586" s="301">
        <v>0</v>
      </c>
      <c r="S586" s="302">
        <f>S585*Daten_ALLG!$D$246</f>
        <v>0</v>
      </c>
    </row>
    <row r="587" spans="1:19" hidden="1" outlineLevel="2" x14ac:dyDescent="0.25">
      <c r="B587" s="174" t="s">
        <v>641</v>
      </c>
      <c r="E587" s="185" t="s">
        <v>77</v>
      </c>
      <c r="R587" s="301">
        <v>0</v>
      </c>
      <c r="S587" s="302">
        <f>S586*Daten_ALLG!$D$267</f>
        <v>0</v>
      </c>
    </row>
    <row r="588" spans="1:19" s="162" customFormat="1" hidden="1" outlineLevel="2" x14ac:dyDescent="0.25">
      <c r="B588" s="163" t="s">
        <v>648</v>
      </c>
      <c r="O588" s="164"/>
      <c r="P588" s="165"/>
      <c r="R588" s="164"/>
      <c r="S588" s="165"/>
    </row>
    <row r="589" spans="1:19" s="170" customFormat="1" hidden="1" outlineLevel="2" x14ac:dyDescent="0.25">
      <c r="A589" s="166"/>
      <c r="B589" s="167"/>
      <c r="C589" s="166"/>
      <c r="D589" s="166"/>
      <c r="E589" s="166"/>
      <c r="F589" s="166"/>
      <c r="G589" s="166"/>
      <c r="H589" s="166"/>
      <c r="J589" s="166"/>
      <c r="K589" s="166"/>
      <c r="L589" s="166"/>
      <c r="M589" s="166"/>
      <c r="N589" s="166"/>
      <c r="O589" s="171"/>
      <c r="P589" s="172"/>
      <c r="R589" s="168" t="s">
        <v>644</v>
      </c>
      <c r="S589" s="169" t="s">
        <v>32</v>
      </c>
    </row>
    <row r="590" spans="1:19" hidden="1" outlineLevel="2" x14ac:dyDescent="0.25">
      <c r="B590" s="174" t="s">
        <v>444</v>
      </c>
      <c r="E590" s="185" t="s">
        <v>427</v>
      </c>
      <c r="R590" s="297">
        <f>S339</f>
        <v>0</v>
      </c>
      <c r="S590" s="298">
        <f>R339</f>
        <v>0</v>
      </c>
    </row>
    <row r="591" spans="1:19" hidden="1" outlineLevel="2" x14ac:dyDescent="0.25">
      <c r="B591" s="174" t="s">
        <v>639</v>
      </c>
      <c r="E591" s="185" t="s">
        <v>77</v>
      </c>
      <c r="R591" s="299">
        <f>IF(R590=0,0,R590*Daten_ALLG!$D$239+Daten_ALLG!$F$239)</f>
        <v>0</v>
      </c>
      <c r="S591" s="300">
        <f>IF(S590=0,0,S590*Daten_ALLG!$D$239+Daten_ALLG!$F$239)</f>
        <v>0</v>
      </c>
    </row>
    <row r="592" spans="1:19" hidden="1" outlineLevel="2" x14ac:dyDescent="0.25">
      <c r="B592" s="174" t="s">
        <v>640</v>
      </c>
      <c r="E592" s="185" t="s">
        <v>77</v>
      </c>
      <c r="R592" s="301">
        <f>R591*Daten_ALLG!$D$246</f>
        <v>0</v>
      </c>
      <c r="S592" s="302">
        <f>S591*Daten_ALLG!$D$246</f>
        <v>0</v>
      </c>
    </row>
    <row r="593" spans="1:19" hidden="1" outlineLevel="2" x14ac:dyDescent="0.25">
      <c r="B593" s="174" t="s">
        <v>641</v>
      </c>
      <c r="E593" s="185" t="s">
        <v>77</v>
      </c>
      <c r="R593" s="301">
        <f>R592*Daten_ALLG!$D$267</f>
        <v>0</v>
      </c>
      <c r="S593" s="302">
        <f>S592*Daten_ALLG!$D$267</f>
        <v>0</v>
      </c>
    </row>
    <row r="594" spans="1:19" s="162" customFormat="1" hidden="1" outlineLevel="2" x14ac:dyDescent="0.25">
      <c r="B594" s="163" t="s">
        <v>650</v>
      </c>
      <c r="O594" s="164"/>
      <c r="P594" s="165"/>
      <c r="R594" s="164"/>
      <c r="S594" s="165"/>
    </row>
    <row r="595" spans="1:19" s="170" customFormat="1" hidden="1" outlineLevel="2" x14ac:dyDescent="0.25">
      <c r="A595" s="166"/>
      <c r="B595" s="167"/>
      <c r="C595" s="166"/>
      <c r="D595" s="166"/>
      <c r="E595" s="166"/>
      <c r="F595" s="166"/>
      <c r="G595" s="166"/>
      <c r="H595" s="166"/>
      <c r="J595" s="166"/>
      <c r="K595" s="166"/>
      <c r="L595" s="166"/>
      <c r="M595" s="166"/>
      <c r="N595" s="166"/>
      <c r="O595" s="171"/>
      <c r="P595" s="172"/>
      <c r="R595" s="168" t="s">
        <v>644</v>
      </c>
      <c r="S595" s="169" t="s">
        <v>32</v>
      </c>
    </row>
    <row r="596" spans="1:19" hidden="1" outlineLevel="2" x14ac:dyDescent="0.25">
      <c r="B596" s="174" t="s">
        <v>651</v>
      </c>
      <c r="E596" s="185" t="s">
        <v>48</v>
      </c>
      <c r="R596" s="297">
        <v>0</v>
      </c>
      <c r="S596" s="298">
        <f>R306</f>
        <v>0</v>
      </c>
    </row>
    <row r="597" spans="1:19" hidden="1" outlineLevel="2" x14ac:dyDescent="0.25">
      <c r="B597" s="174" t="s">
        <v>639</v>
      </c>
      <c r="E597" s="185" t="s">
        <v>77</v>
      </c>
      <c r="R597" s="299">
        <v>0</v>
      </c>
      <c r="S597" s="300">
        <f>S596*Daten_ALLG!$D$238</f>
        <v>0</v>
      </c>
    </row>
    <row r="598" spans="1:19" hidden="1" outlineLevel="2" x14ac:dyDescent="0.25">
      <c r="B598" s="174" t="s">
        <v>640</v>
      </c>
      <c r="E598" s="185" t="s">
        <v>77</v>
      </c>
      <c r="R598" s="301">
        <f>R597*Daten_ALLG!$D$246</f>
        <v>0</v>
      </c>
      <c r="S598" s="302">
        <f>S597*Daten_ALLG!$D$246</f>
        <v>0</v>
      </c>
    </row>
    <row r="599" spans="1:19" hidden="1" outlineLevel="2" x14ac:dyDescent="0.25">
      <c r="B599" s="174" t="s">
        <v>641</v>
      </c>
      <c r="E599" s="185" t="s">
        <v>77</v>
      </c>
      <c r="R599" s="301">
        <f>R598*Daten_ALLG!$D$267</f>
        <v>0</v>
      </c>
      <c r="S599" s="302">
        <f>S598*Daten_ALLG!$D$255</f>
        <v>0</v>
      </c>
    </row>
    <row r="600" spans="1:19" s="162" customFormat="1" hidden="1" outlineLevel="2" x14ac:dyDescent="0.25">
      <c r="B600" s="163" t="s">
        <v>652</v>
      </c>
      <c r="O600" s="164"/>
      <c r="P600" s="165"/>
      <c r="R600" s="164"/>
      <c r="S600" s="165"/>
    </row>
    <row r="601" spans="1:19" s="170" customFormat="1" hidden="1" outlineLevel="2" x14ac:dyDescent="0.25">
      <c r="A601" s="166"/>
      <c r="B601" s="167"/>
      <c r="C601" s="166"/>
      <c r="D601" s="166"/>
      <c r="E601" s="166"/>
      <c r="F601" s="166"/>
      <c r="G601" s="166"/>
      <c r="H601" s="166"/>
      <c r="J601" s="166"/>
      <c r="K601" s="166"/>
      <c r="L601" s="166"/>
      <c r="M601" s="166"/>
      <c r="N601" s="166"/>
      <c r="O601" s="171"/>
      <c r="P601" s="172"/>
      <c r="R601" s="168" t="s">
        <v>644</v>
      </c>
      <c r="S601" s="169" t="s">
        <v>32</v>
      </c>
    </row>
    <row r="602" spans="1:19" hidden="1" outlineLevel="2" x14ac:dyDescent="0.25">
      <c r="B602" s="174" t="s">
        <v>653</v>
      </c>
      <c r="E602" s="185" t="s">
        <v>654</v>
      </c>
      <c r="F602" s="223">
        <f>IF($L$276="N",1,0)</f>
        <v>0</v>
      </c>
      <c r="R602" s="295"/>
      <c r="S602" s="296"/>
    </row>
    <row r="603" spans="1:19" hidden="1" outlineLevel="2" x14ac:dyDescent="0.25">
      <c r="B603" s="174" t="s">
        <v>51</v>
      </c>
      <c r="E603" s="185" t="s">
        <v>368</v>
      </c>
      <c r="R603" s="297">
        <f>$S$282</f>
        <v>25.973069282408936</v>
      </c>
      <c r="S603" s="303">
        <f>$R$282</f>
        <v>25.891995500082107</v>
      </c>
    </row>
    <row r="604" spans="1:19" hidden="1" outlineLevel="2" x14ac:dyDescent="0.25">
      <c r="B604" s="174" t="s">
        <v>639</v>
      </c>
      <c r="E604" s="185" t="s">
        <v>77</v>
      </c>
      <c r="R604" s="299">
        <f>Daten_ALLG!$H$224*R603^Daten_ALLG!$J$224*F602</f>
        <v>0</v>
      </c>
      <c r="S604" s="300">
        <f>Daten_ALLG!$D$224*S603^Daten_ALLG!$F$224*F602</f>
        <v>0</v>
      </c>
    </row>
    <row r="605" spans="1:19" hidden="1" outlineLevel="2" x14ac:dyDescent="0.25">
      <c r="B605" s="174" t="s">
        <v>640</v>
      </c>
      <c r="E605" s="185" t="s">
        <v>77</v>
      </c>
      <c r="R605" s="301">
        <f>R604*Daten_ALLG!$D$246</f>
        <v>0</v>
      </c>
      <c r="S605" s="302">
        <f>S604*Daten_ALLG!$D$246</f>
        <v>0</v>
      </c>
    </row>
    <row r="606" spans="1:19" hidden="1" outlineLevel="2" x14ac:dyDescent="0.25">
      <c r="B606" s="174" t="s">
        <v>641</v>
      </c>
      <c r="E606" s="185" t="s">
        <v>77</v>
      </c>
      <c r="R606" s="301">
        <f>R605*Daten_ALLG!$D$258</f>
        <v>0</v>
      </c>
      <c r="S606" s="302">
        <f>S605*Daten_ALLG!$D$251</f>
        <v>0</v>
      </c>
    </row>
    <row r="607" spans="1:19" s="162" customFormat="1" hidden="1" outlineLevel="2" x14ac:dyDescent="0.25">
      <c r="B607" s="163" t="s">
        <v>655</v>
      </c>
      <c r="O607" s="164"/>
      <c r="P607" s="165"/>
      <c r="R607" s="164"/>
      <c r="S607" s="165"/>
    </row>
    <row r="608" spans="1:19" s="170" customFormat="1" hidden="1" outlineLevel="2" x14ac:dyDescent="0.25">
      <c r="A608" s="166"/>
      <c r="B608" s="167"/>
      <c r="C608" s="166"/>
      <c r="D608" s="166"/>
      <c r="E608" s="166"/>
      <c r="F608" s="166"/>
      <c r="G608" s="166"/>
      <c r="H608" s="166"/>
      <c r="J608" s="166"/>
      <c r="K608" s="166"/>
      <c r="L608" s="166"/>
      <c r="M608" s="166"/>
      <c r="N608" s="166"/>
      <c r="O608" s="171"/>
      <c r="P608" s="172"/>
      <c r="R608" s="168" t="s">
        <v>644</v>
      </c>
      <c r="S608" s="169" t="s">
        <v>32</v>
      </c>
    </row>
    <row r="609" spans="1:19" hidden="1" outlineLevel="2" x14ac:dyDescent="0.25">
      <c r="B609" s="174" t="s">
        <v>653</v>
      </c>
      <c r="E609" s="185" t="s">
        <v>654</v>
      </c>
      <c r="F609" s="223">
        <f>IF($M$276="N",1,0)</f>
        <v>0</v>
      </c>
      <c r="R609" s="295"/>
      <c r="S609" s="296"/>
    </row>
    <row r="610" spans="1:19" hidden="1" outlineLevel="2" x14ac:dyDescent="0.25">
      <c r="B610" s="174" t="s">
        <v>51</v>
      </c>
      <c r="E610" s="185" t="s">
        <v>368</v>
      </c>
      <c r="R610" s="297">
        <f>$S$282</f>
        <v>25.973069282408936</v>
      </c>
      <c r="S610" s="303">
        <f>$R$282</f>
        <v>25.891995500082107</v>
      </c>
    </row>
    <row r="611" spans="1:19" hidden="1" outlineLevel="2" x14ac:dyDescent="0.25">
      <c r="B611" s="174" t="s">
        <v>639</v>
      </c>
      <c r="E611" s="185" t="s">
        <v>77</v>
      </c>
      <c r="R611" s="299">
        <f>Daten_ALLG!$H$225*R610^Daten_ALLG!$J$225*F609</f>
        <v>0</v>
      </c>
      <c r="S611" s="300">
        <f>Daten_ALLG!$D$225*S610^Daten_ALLG!$F$225*F609</f>
        <v>0</v>
      </c>
    </row>
    <row r="612" spans="1:19" hidden="1" outlineLevel="2" x14ac:dyDescent="0.25">
      <c r="B612" s="174" t="s">
        <v>640</v>
      </c>
      <c r="E612" s="185" t="s">
        <v>77</v>
      </c>
      <c r="R612" s="301">
        <f>R611*Daten_ALLG!$D$246</f>
        <v>0</v>
      </c>
      <c r="S612" s="302">
        <f>S611*Daten_ALLG!$D$246</f>
        <v>0</v>
      </c>
    </row>
    <row r="613" spans="1:19" hidden="1" outlineLevel="2" x14ac:dyDescent="0.25">
      <c r="B613" s="174" t="s">
        <v>641</v>
      </c>
      <c r="E613" s="185" t="s">
        <v>77</v>
      </c>
      <c r="R613" s="301">
        <f>R612*Daten_ALLG!$D$258</f>
        <v>0</v>
      </c>
      <c r="S613" s="302">
        <f>S612*Daten_ALLG!$D$256</f>
        <v>0</v>
      </c>
    </row>
    <row r="614" spans="1:19" s="162" customFormat="1" hidden="1" outlineLevel="2" x14ac:dyDescent="0.25">
      <c r="B614" s="163" t="s">
        <v>656</v>
      </c>
      <c r="O614" s="164"/>
      <c r="P614" s="165"/>
      <c r="R614" s="164"/>
      <c r="S614" s="165"/>
    </row>
    <row r="615" spans="1:19" s="170" customFormat="1" hidden="1" outlineLevel="2" x14ac:dyDescent="0.25">
      <c r="A615" s="166"/>
      <c r="B615" s="167"/>
      <c r="C615" s="166"/>
      <c r="D615" s="166"/>
      <c r="E615" s="166"/>
      <c r="F615" s="166"/>
      <c r="G615" s="166"/>
      <c r="H615" s="166"/>
      <c r="J615" s="166"/>
      <c r="K615" s="166"/>
      <c r="L615" s="166"/>
      <c r="M615" s="166"/>
      <c r="N615" s="166"/>
      <c r="O615" s="171"/>
      <c r="P615" s="172"/>
      <c r="R615" s="168" t="s">
        <v>644</v>
      </c>
      <c r="S615" s="169" t="s">
        <v>32</v>
      </c>
    </row>
    <row r="616" spans="1:19" hidden="1" outlineLevel="2" x14ac:dyDescent="0.25">
      <c r="B616" s="174" t="s">
        <v>653</v>
      </c>
      <c r="E616" s="185" t="s">
        <v>654</v>
      </c>
      <c r="F616" s="223">
        <f>IF($J$276="N",1,0)</f>
        <v>0</v>
      </c>
      <c r="R616" s="295"/>
      <c r="S616" s="296"/>
    </row>
    <row r="617" spans="1:19" hidden="1" outlineLevel="2" x14ac:dyDescent="0.25">
      <c r="B617" s="174" t="s">
        <v>51</v>
      </c>
      <c r="E617" s="185" t="s">
        <v>368</v>
      </c>
      <c r="R617" s="297">
        <f>$S$282</f>
        <v>25.973069282408936</v>
      </c>
      <c r="S617" s="303">
        <f>$R$282</f>
        <v>25.891995500082107</v>
      </c>
    </row>
    <row r="618" spans="1:19" hidden="1" outlineLevel="2" x14ac:dyDescent="0.25">
      <c r="B618" s="174" t="s">
        <v>639</v>
      </c>
      <c r="E618" s="185" t="s">
        <v>77</v>
      </c>
      <c r="R618" s="299">
        <f>Daten_ALLG!$H$229*R617^Daten_ALLG!$J$229*F616</f>
        <v>0</v>
      </c>
      <c r="S618" s="300">
        <f>Daten_ALLG!$D$229*S617^Daten_ALLG!$F$229*F616</f>
        <v>0</v>
      </c>
    </row>
    <row r="619" spans="1:19" hidden="1" outlineLevel="2" x14ac:dyDescent="0.25">
      <c r="B619" s="174" t="s">
        <v>640</v>
      </c>
      <c r="E619" s="185" t="s">
        <v>77</v>
      </c>
      <c r="R619" s="301">
        <f>R618*Daten_ALLG!$D$246</f>
        <v>0</v>
      </c>
      <c r="S619" s="302">
        <f>S618*Daten_ALLG!$D$246</f>
        <v>0</v>
      </c>
    </row>
    <row r="620" spans="1:19" hidden="1" outlineLevel="2" x14ac:dyDescent="0.25">
      <c r="B620" s="174" t="s">
        <v>641</v>
      </c>
      <c r="E620" s="185" t="s">
        <v>77</v>
      </c>
      <c r="R620" s="301">
        <f>R619*Daten_ALLG!$D$258</f>
        <v>0</v>
      </c>
      <c r="S620" s="302">
        <f>S619*Daten_ALLG!$D$262</f>
        <v>0</v>
      </c>
    </row>
    <row r="621" spans="1:19" s="162" customFormat="1" hidden="1" outlineLevel="2" x14ac:dyDescent="0.25">
      <c r="B621" s="163" t="s">
        <v>21</v>
      </c>
      <c r="O621" s="164"/>
      <c r="P621" s="165"/>
      <c r="R621" s="164"/>
      <c r="S621" s="165"/>
    </row>
    <row r="622" spans="1:19" s="170" customFormat="1" hidden="1" outlineLevel="2" x14ac:dyDescent="0.25">
      <c r="A622" s="166"/>
      <c r="B622" s="167"/>
      <c r="C622" s="166"/>
      <c r="D622" s="166"/>
      <c r="E622" s="166"/>
      <c r="F622" s="166"/>
      <c r="G622" s="166"/>
      <c r="H622" s="166"/>
      <c r="J622" s="166"/>
      <c r="K622" s="166"/>
      <c r="L622" s="166"/>
      <c r="M622" s="166"/>
      <c r="N622" s="166"/>
      <c r="O622" s="171"/>
      <c r="P622" s="172"/>
      <c r="R622" s="168" t="s">
        <v>644</v>
      </c>
      <c r="S622" s="169" t="s">
        <v>32</v>
      </c>
    </row>
    <row r="623" spans="1:19" hidden="1" outlineLevel="2" x14ac:dyDescent="0.25">
      <c r="B623" s="174" t="s">
        <v>653</v>
      </c>
      <c r="E623" s="185" t="s">
        <v>654</v>
      </c>
      <c r="F623" s="223">
        <f>IF($E$276="N",1,0)</f>
        <v>0</v>
      </c>
      <c r="R623" s="295"/>
      <c r="S623" s="296"/>
    </row>
    <row r="624" spans="1:19" hidden="1" outlineLevel="2" x14ac:dyDescent="0.25">
      <c r="B624" s="174" t="s">
        <v>51</v>
      </c>
      <c r="E624" s="185" t="s">
        <v>368</v>
      </c>
      <c r="R624" s="297">
        <f>$S$282</f>
        <v>25.973069282408936</v>
      </c>
      <c r="S624" s="303">
        <f>$R$282</f>
        <v>25.891995500082107</v>
      </c>
    </row>
    <row r="625" spans="1:19" hidden="1" outlineLevel="2" x14ac:dyDescent="0.25">
      <c r="B625" s="174" t="s">
        <v>639</v>
      </c>
      <c r="E625" s="185" t="s">
        <v>77</v>
      </c>
      <c r="R625" s="299">
        <f>Daten_ALLG!$H$227*R624^Daten_ALLG!$J$227*F623</f>
        <v>0</v>
      </c>
      <c r="S625" s="300">
        <f>Daten_ALLG!$D$227*S624^Daten_ALLG!$F$227*F623</f>
        <v>0</v>
      </c>
    </row>
    <row r="626" spans="1:19" hidden="1" outlineLevel="2" x14ac:dyDescent="0.25">
      <c r="B626" s="174" t="s">
        <v>640</v>
      </c>
      <c r="E626" s="185" t="s">
        <v>77</v>
      </c>
      <c r="R626" s="301">
        <f>R625*Daten_ALLG!$D$246</f>
        <v>0</v>
      </c>
      <c r="S626" s="302">
        <f>S625*Daten_ALLG!$D$246</f>
        <v>0</v>
      </c>
    </row>
    <row r="627" spans="1:19" hidden="1" outlineLevel="2" x14ac:dyDescent="0.25">
      <c r="B627" s="174" t="s">
        <v>641</v>
      </c>
      <c r="E627" s="185" t="s">
        <v>77</v>
      </c>
      <c r="R627" s="301">
        <f>R626*Daten_ALLG!$D$258</f>
        <v>0</v>
      </c>
      <c r="S627" s="302">
        <f>S626*Daten_ALLG!$D$259</f>
        <v>0</v>
      </c>
    </row>
    <row r="628" spans="1:19" s="162" customFormat="1" hidden="1" outlineLevel="2" x14ac:dyDescent="0.25">
      <c r="B628" s="163" t="s">
        <v>657</v>
      </c>
      <c r="O628" s="164"/>
      <c r="P628" s="165"/>
      <c r="R628" s="164"/>
      <c r="S628" s="165"/>
    </row>
    <row r="629" spans="1:19" s="170" customFormat="1" hidden="1" outlineLevel="2" x14ac:dyDescent="0.25">
      <c r="A629" s="166"/>
      <c r="B629" s="167"/>
      <c r="C629" s="166"/>
      <c r="D629" s="166"/>
      <c r="E629" s="166"/>
      <c r="F629" s="166"/>
      <c r="G629" s="166"/>
      <c r="H629" s="166"/>
      <c r="J629" s="166"/>
      <c r="K629" s="166"/>
      <c r="L629" s="166"/>
      <c r="M629" s="166"/>
      <c r="N629" s="166"/>
      <c r="O629" s="171"/>
      <c r="P629" s="172"/>
      <c r="R629" s="168" t="s">
        <v>644</v>
      </c>
      <c r="S629" s="169" t="s">
        <v>32</v>
      </c>
    </row>
    <row r="630" spans="1:19" hidden="1" outlineLevel="2" x14ac:dyDescent="0.25">
      <c r="B630" s="174" t="s">
        <v>653</v>
      </c>
      <c r="E630" s="185" t="s">
        <v>654</v>
      </c>
      <c r="F630" s="223">
        <f>IF($H$276="N",1,0)</f>
        <v>0</v>
      </c>
      <c r="R630" s="295"/>
      <c r="S630" s="296"/>
    </row>
    <row r="631" spans="1:19" hidden="1" outlineLevel="2" x14ac:dyDescent="0.25">
      <c r="B631" s="174" t="s">
        <v>51</v>
      </c>
      <c r="E631" s="185" t="s">
        <v>368</v>
      </c>
      <c r="R631" s="297">
        <f>$S$282</f>
        <v>25.973069282408936</v>
      </c>
      <c r="S631" s="303">
        <f>$R$282</f>
        <v>25.891995500082107</v>
      </c>
    </row>
    <row r="632" spans="1:19" hidden="1" outlineLevel="2" x14ac:dyDescent="0.25">
      <c r="B632" s="174" t="s">
        <v>639</v>
      </c>
      <c r="E632" s="185" t="s">
        <v>77</v>
      </c>
      <c r="R632" s="299">
        <f>Daten_ALLG!$H$226*R631^Daten_ALLG!$J$226*F630</f>
        <v>0</v>
      </c>
      <c r="S632" s="300">
        <f>Daten_ALLG!$D$226*S631^Daten_ALLG!$F$226*F630</f>
        <v>0</v>
      </c>
    </row>
    <row r="633" spans="1:19" hidden="1" outlineLevel="2" x14ac:dyDescent="0.25">
      <c r="B633" s="174" t="s">
        <v>640</v>
      </c>
      <c r="E633" s="185" t="s">
        <v>77</v>
      </c>
      <c r="R633" s="301">
        <f>R632*Daten_ALLG!$D$246</f>
        <v>0</v>
      </c>
      <c r="S633" s="302">
        <f>S632*Daten_ALLG!$D$246</f>
        <v>0</v>
      </c>
    </row>
    <row r="634" spans="1:19" hidden="1" outlineLevel="2" x14ac:dyDescent="0.25">
      <c r="B634" s="174" t="s">
        <v>641</v>
      </c>
      <c r="E634" s="185" t="s">
        <v>77</v>
      </c>
      <c r="R634" s="301">
        <f>R633*Daten_ALLG!$D$258</f>
        <v>0</v>
      </c>
      <c r="S634" s="302">
        <f>S633*Daten_ALLG!$D$258</f>
        <v>0</v>
      </c>
    </row>
    <row r="635" spans="1:19" s="162" customFormat="1" hidden="1" outlineLevel="2" x14ac:dyDescent="0.25">
      <c r="B635" s="163" t="s">
        <v>658</v>
      </c>
      <c r="O635" s="164"/>
      <c r="P635" s="165"/>
      <c r="R635" s="164"/>
      <c r="S635" s="165"/>
    </row>
    <row r="636" spans="1:19" s="170" customFormat="1" hidden="1" outlineLevel="2" x14ac:dyDescent="0.25">
      <c r="A636" s="166"/>
      <c r="B636" s="167"/>
      <c r="C636" s="166"/>
      <c r="D636" s="166"/>
      <c r="E636" s="166"/>
      <c r="F636" s="166"/>
      <c r="G636" s="166"/>
      <c r="H636" s="166"/>
      <c r="J636" s="166"/>
      <c r="K636" s="166"/>
      <c r="L636" s="166"/>
      <c r="M636" s="166"/>
      <c r="N636" s="166"/>
      <c r="O636" s="171"/>
      <c r="P636" s="172"/>
      <c r="R636" s="168" t="s">
        <v>644</v>
      </c>
      <c r="S636" s="169" t="s">
        <v>32</v>
      </c>
    </row>
    <row r="637" spans="1:19" hidden="1" outlineLevel="2" x14ac:dyDescent="0.25">
      <c r="B637" s="174" t="s">
        <v>653</v>
      </c>
      <c r="E637" s="185" t="s">
        <v>654</v>
      </c>
      <c r="F637" s="223">
        <f>IF($I$276="N",1,0)</f>
        <v>0</v>
      </c>
      <c r="R637" s="295"/>
      <c r="S637" s="296"/>
    </row>
    <row r="638" spans="1:19" hidden="1" outlineLevel="2" x14ac:dyDescent="0.25">
      <c r="B638" s="174" t="s">
        <v>51</v>
      </c>
      <c r="E638" s="185" t="s">
        <v>368</v>
      </c>
      <c r="R638" s="297">
        <f>$S$282</f>
        <v>25.973069282408936</v>
      </c>
      <c r="S638" s="303">
        <f>$R$282</f>
        <v>25.891995500082107</v>
      </c>
    </row>
    <row r="639" spans="1:19" hidden="1" outlineLevel="2" x14ac:dyDescent="0.25">
      <c r="B639" s="174" t="s">
        <v>639</v>
      </c>
      <c r="E639" s="185" t="s">
        <v>77</v>
      </c>
      <c r="R639" s="299">
        <f>Daten_ALLG!$H$228*R638^Daten_ALLG!$J$228*F637</f>
        <v>0</v>
      </c>
      <c r="S639" s="300">
        <f>Daten_ALLG!$D$228*S638^Daten_ALLG!$F$228*F637</f>
        <v>0</v>
      </c>
    </row>
    <row r="640" spans="1:19" hidden="1" outlineLevel="2" x14ac:dyDescent="0.25">
      <c r="B640" s="174" t="s">
        <v>640</v>
      </c>
      <c r="E640" s="185" t="s">
        <v>77</v>
      </c>
      <c r="R640" s="301">
        <f>R639*Daten_ALLG!$D$246</f>
        <v>0</v>
      </c>
      <c r="S640" s="302">
        <f>S639*Daten_ALLG!$D$246</f>
        <v>0</v>
      </c>
    </row>
    <row r="641" spans="1:19" hidden="1" outlineLevel="2" x14ac:dyDescent="0.25">
      <c r="B641" s="174" t="s">
        <v>641</v>
      </c>
      <c r="E641" s="185" t="s">
        <v>77</v>
      </c>
      <c r="R641" s="301">
        <f>R640*Daten_ALLG!$D$258</f>
        <v>0</v>
      </c>
      <c r="S641" s="302">
        <f>S640*Daten_ALLG!$D$264</f>
        <v>0</v>
      </c>
    </row>
    <row r="642" spans="1:19" s="159" customFormat="1" ht="14.25" customHeight="1" collapsed="1" x14ac:dyDescent="0.25">
      <c r="A642" s="156" t="s">
        <v>659</v>
      </c>
      <c r="B642" s="157"/>
      <c r="C642" s="157"/>
      <c r="D642" s="158"/>
      <c r="O642" s="160"/>
      <c r="P642" s="161"/>
      <c r="R642" s="160"/>
      <c r="S642" s="161"/>
    </row>
    <row r="643" spans="1:19" s="162" customFormat="1" hidden="1" outlineLevel="2" x14ac:dyDescent="0.25">
      <c r="B643" s="163" t="s">
        <v>661</v>
      </c>
      <c r="O643" s="164"/>
      <c r="P643" s="165"/>
      <c r="R643" s="164"/>
      <c r="S643" s="165"/>
    </row>
    <row r="644" spans="1:19" s="170" customFormat="1" hidden="1" outlineLevel="2" x14ac:dyDescent="0.25">
      <c r="A644" s="166"/>
      <c r="B644" s="167"/>
      <c r="C644" s="166"/>
      <c r="D644" s="166"/>
      <c r="E644" s="166"/>
      <c r="F644" s="166"/>
      <c r="G644" s="166"/>
      <c r="H644" s="166"/>
      <c r="J644" s="166"/>
      <c r="K644" s="166"/>
      <c r="L644" s="166"/>
      <c r="M644" s="166"/>
      <c r="N644" s="166"/>
      <c r="O644" s="171"/>
      <c r="P644" s="172"/>
      <c r="R644" s="168"/>
      <c r="S644" s="172"/>
    </row>
    <row r="645" spans="1:19" hidden="1" outlineLevel="2" x14ac:dyDescent="0.25">
      <c r="B645" s="174" t="s">
        <v>662</v>
      </c>
      <c r="E645" s="185" t="s">
        <v>38</v>
      </c>
      <c r="F645" s="304">
        <f>Daten_ALLG!$D$272/(1-((1+Daten_ALLG!$D$272)^(-Daten_ALLG!$D$273)))</f>
        <v>4.4649922293402963E-2</v>
      </c>
      <c r="R645" s="305"/>
      <c r="S645" s="306"/>
    </row>
    <row r="646" spans="1:19" s="162" customFormat="1" hidden="1" outlineLevel="2" x14ac:dyDescent="0.25">
      <c r="B646" s="163" t="s">
        <v>666</v>
      </c>
      <c r="O646" s="164"/>
      <c r="P646" s="165"/>
      <c r="R646" s="164"/>
      <c r="S646" s="165"/>
    </row>
    <row r="647" spans="1:19" s="170" customFormat="1" hidden="1" outlineLevel="2" x14ac:dyDescent="0.25">
      <c r="A647" s="166"/>
      <c r="B647" s="167"/>
      <c r="C647" s="166"/>
      <c r="D647" s="166"/>
      <c r="E647" s="166" t="s">
        <v>565</v>
      </c>
      <c r="F647" s="166" t="s">
        <v>665</v>
      </c>
      <c r="H647" s="166"/>
      <c r="J647" s="166"/>
      <c r="K647" s="166"/>
      <c r="L647" s="166"/>
      <c r="M647" s="166"/>
      <c r="N647" s="166"/>
      <c r="O647" s="171"/>
      <c r="P647" s="172"/>
      <c r="R647" s="168" t="s">
        <v>644</v>
      </c>
      <c r="S647" s="172" t="s">
        <v>32</v>
      </c>
    </row>
    <row r="648" spans="1:19" hidden="1" outlineLevel="2" x14ac:dyDescent="0.25">
      <c r="E648" s="185" t="s">
        <v>34</v>
      </c>
      <c r="F648" s="185" t="s">
        <v>13</v>
      </c>
      <c r="R648" s="295" t="s">
        <v>77</v>
      </c>
      <c r="S648" s="307" t="s">
        <v>77</v>
      </c>
    </row>
    <row r="649" spans="1:19" hidden="1" outlineLevel="2" x14ac:dyDescent="0.25">
      <c r="B649" s="174" t="str">
        <f>B534</f>
        <v>Außenwand</v>
      </c>
      <c r="E649" s="223">
        <f>Daten_ALLG!$D$310</f>
        <v>45</v>
      </c>
      <c r="F649" s="191">
        <f>Daten_ALLG!$D$273/E649</f>
        <v>0.66666666666666663</v>
      </c>
      <c r="R649" s="308">
        <f>R540</f>
        <v>0</v>
      </c>
      <c r="S649" s="309">
        <f>S540</f>
        <v>0</v>
      </c>
    </row>
    <row r="650" spans="1:19" hidden="1" outlineLevel="2" x14ac:dyDescent="0.25">
      <c r="B650" s="174" t="str">
        <f>B541</f>
        <v>Fenster</v>
      </c>
      <c r="E650" s="223">
        <f>Daten_ALLG!$D$317</f>
        <v>35</v>
      </c>
      <c r="F650" s="191">
        <f>Daten_ALLG!$D$273/E650</f>
        <v>0.8571428571428571</v>
      </c>
      <c r="R650" s="308">
        <f>R547</f>
        <v>0</v>
      </c>
      <c r="S650" s="309">
        <f>S547</f>
        <v>0</v>
      </c>
    </row>
    <row r="651" spans="1:19" hidden="1" outlineLevel="2" x14ac:dyDescent="0.25">
      <c r="B651" s="174" t="str">
        <f>B548</f>
        <v>oberer Gebäudeabschluss</v>
      </c>
      <c r="E651" s="219">
        <f>F551*Daten_ALLG!$D$314+Daten_ALLG!$D$323*H551</f>
        <v>53.965517241379317</v>
      </c>
      <c r="F651" s="191">
        <f>Daten_ALLG!$D$273/E651</f>
        <v>0.55591054313099031</v>
      </c>
      <c r="R651" s="308">
        <f>R555</f>
        <v>0</v>
      </c>
      <c r="S651" s="309">
        <f>S555</f>
        <v>0</v>
      </c>
    </row>
    <row r="652" spans="1:19" hidden="1" outlineLevel="2" x14ac:dyDescent="0.25">
      <c r="B652" s="174" t="str">
        <f>B556</f>
        <v>unterer Gebäudeabschluss</v>
      </c>
      <c r="E652" s="219">
        <f>Daten_ALLG!$D$313*H559+F559*Daten_ALLG!$D$320</f>
        <v>62.115384615384613</v>
      </c>
      <c r="F652" s="191">
        <f>Daten_ALLG!$D$273/E652</f>
        <v>0.48297213622291024</v>
      </c>
      <c r="R652" s="308">
        <f>R563</f>
        <v>0</v>
      </c>
      <c r="S652" s="309">
        <f>S563</f>
        <v>0</v>
      </c>
    </row>
    <row r="653" spans="1:19" hidden="1" outlineLevel="2" x14ac:dyDescent="0.25">
      <c r="B653" s="174" t="str">
        <f>B564</f>
        <v>Lüftungsanlage</v>
      </c>
      <c r="E653" s="223">
        <f>Daten_ALLG!$D$328</f>
        <v>25</v>
      </c>
      <c r="F653" s="191">
        <f>Daten_ALLG!$D$273/E653</f>
        <v>1.2</v>
      </c>
      <c r="R653" s="308">
        <f>R569</f>
        <v>0</v>
      </c>
      <c r="S653" s="309">
        <f>S569</f>
        <v>0</v>
      </c>
    </row>
    <row r="654" spans="1:19" hidden="1" outlineLevel="2" x14ac:dyDescent="0.25">
      <c r="B654" s="174" t="str">
        <f>B570</f>
        <v>Photovoltaik</v>
      </c>
      <c r="E654" s="223">
        <f>Daten_ALLG!$D$325</f>
        <v>25</v>
      </c>
      <c r="F654" s="191">
        <f>Daten_ALLG!$D$273/E654</f>
        <v>1.2</v>
      </c>
      <c r="R654" s="308">
        <f>R575</f>
        <v>0</v>
      </c>
      <c r="S654" s="309">
        <f>S575</f>
        <v>0</v>
      </c>
    </row>
    <row r="655" spans="1:19" hidden="1" outlineLevel="2" x14ac:dyDescent="0.25">
      <c r="B655" s="174" t="str">
        <f>B576</f>
        <v>Solarthermiekollektoren</v>
      </c>
      <c r="E655" s="223">
        <f>Daten_ALLG!$D$326</f>
        <v>25</v>
      </c>
      <c r="F655" s="191">
        <f>Daten_ALLG!$D$273/E655</f>
        <v>1.2</v>
      </c>
      <c r="R655" s="308">
        <f>R581</f>
        <v>0</v>
      </c>
      <c r="S655" s="309">
        <f>S581</f>
        <v>0</v>
      </c>
    </row>
    <row r="656" spans="1:19" hidden="1" outlineLevel="2" x14ac:dyDescent="0.25">
      <c r="B656" s="174" t="str">
        <f>B582</f>
        <v>Heizungspufferspeicher</v>
      </c>
      <c r="E656" s="223">
        <f>Daten_ALLG!$D$327</f>
        <v>30</v>
      </c>
      <c r="F656" s="191">
        <f>Daten_ALLG!$D$273/E656</f>
        <v>1</v>
      </c>
      <c r="R656" s="308">
        <f>R587</f>
        <v>0</v>
      </c>
      <c r="S656" s="309">
        <f>S587</f>
        <v>0</v>
      </c>
    </row>
    <row r="657" spans="1:19" hidden="1" outlineLevel="2" x14ac:dyDescent="0.25">
      <c r="B657" s="174" t="str">
        <f>B588</f>
        <v>Trinkwasserspeicher</v>
      </c>
      <c r="E657" s="223">
        <f>Daten_ALLG!$D$327</f>
        <v>30</v>
      </c>
      <c r="F657" s="191">
        <f>Daten_ALLG!$D$273/E657</f>
        <v>1</v>
      </c>
      <c r="R657" s="308">
        <f>R593</f>
        <v>0</v>
      </c>
      <c r="S657" s="309">
        <f>S593</f>
        <v>0</v>
      </c>
    </row>
    <row r="658" spans="1:19" hidden="1" outlineLevel="2" x14ac:dyDescent="0.25">
      <c r="B658" s="174" t="str">
        <f>B594</f>
        <v>Durchlauferhitzer</v>
      </c>
      <c r="E658" s="223">
        <f>Daten_ALLG!$D$315</f>
        <v>15</v>
      </c>
      <c r="F658" s="191">
        <f>Daten_ALLG!$D$273/E658</f>
        <v>2</v>
      </c>
      <c r="R658" s="308">
        <f>R599</f>
        <v>0</v>
      </c>
      <c r="S658" s="309">
        <f>S599</f>
        <v>0</v>
      </c>
    </row>
    <row r="659" spans="1:19" hidden="1" outlineLevel="2" x14ac:dyDescent="0.25">
      <c r="B659" s="174" t="str">
        <f>B600</f>
        <v>Außenluftwärmepumpe</v>
      </c>
      <c r="E659" s="223">
        <f>Daten_ALLG!$D$311</f>
        <v>25</v>
      </c>
      <c r="F659" s="191">
        <f>Daten_ALLG!$D$273/E659</f>
        <v>1.2</v>
      </c>
      <c r="R659" s="308">
        <f>R606</f>
        <v>0</v>
      </c>
      <c r="S659" s="309">
        <f>S606</f>
        <v>0</v>
      </c>
    </row>
    <row r="660" spans="1:19" hidden="1" outlineLevel="2" x14ac:dyDescent="0.25">
      <c r="B660" s="174" t="str">
        <f>B607</f>
        <v>Erdreichwärmepumpe</v>
      </c>
      <c r="E660" s="223">
        <f>Daten_ALLG!$D$316</f>
        <v>25</v>
      </c>
      <c r="F660" s="191">
        <f>Daten_ALLG!$D$273/E660</f>
        <v>1.2</v>
      </c>
      <c r="R660" s="308">
        <f>R613</f>
        <v>0</v>
      </c>
      <c r="S660" s="309">
        <f>S613</f>
        <v>0</v>
      </c>
    </row>
    <row r="661" spans="1:19" hidden="1" outlineLevel="2" x14ac:dyDescent="0.25">
      <c r="B661" s="174" t="str">
        <f>B614</f>
        <v>Fernwärmeanschluss</v>
      </c>
      <c r="E661" s="223">
        <f>Daten_ALLG!$D$322</f>
        <v>40</v>
      </c>
      <c r="F661" s="191">
        <f>Daten_ALLG!$D$273/E661</f>
        <v>0.75</v>
      </c>
      <c r="R661" s="308">
        <f>R620</f>
        <v>0</v>
      </c>
      <c r="S661" s="309">
        <f>S620</f>
        <v>0</v>
      </c>
    </row>
    <row r="662" spans="1:19" hidden="1" outlineLevel="2" x14ac:dyDescent="0.25">
      <c r="B662" s="174" t="str">
        <f>B621</f>
        <v>Holzkessel</v>
      </c>
      <c r="E662" s="223">
        <f>Daten_ALLG!$D$319</f>
        <v>25</v>
      </c>
      <c r="F662" s="191">
        <f>Daten_ALLG!$D$273/E662</f>
        <v>1.2</v>
      </c>
      <c r="R662" s="308">
        <f>R627</f>
        <v>0</v>
      </c>
      <c r="S662" s="309">
        <f>S627</f>
        <v>0</v>
      </c>
    </row>
    <row r="663" spans="1:19" hidden="1" outlineLevel="2" x14ac:dyDescent="0.25">
      <c r="B663" s="174" t="str">
        <f>B628</f>
        <v>Gasbrennwert</v>
      </c>
      <c r="E663" s="223">
        <f>Daten_ALLG!$D$318</f>
        <v>25</v>
      </c>
      <c r="F663" s="191">
        <f>Daten_ALLG!$D$273/E663</f>
        <v>1.2</v>
      </c>
      <c r="R663" s="308">
        <f>R634</f>
        <v>0</v>
      </c>
      <c r="S663" s="309">
        <f>S634</f>
        <v>0</v>
      </c>
    </row>
    <row r="664" spans="1:19" hidden="1" outlineLevel="2" x14ac:dyDescent="0.25">
      <c r="B664" s="174" t="str">
        <f>B635</f>
        <v>Ölbrennwert</v>
      </c>
      <c r="E664" s="223">
        <f>Daten_ALLG!$D$324</f>
        <v>25</v>
      </c>
      <c r="F664" s="191">
        <f>Daten_ALLG!$D$273/E664</f>
        <v>1.2</v>
      </c>
      <c r="R664" s="308">
        <f>R641</f>
        <v>0</v>
      </c>
      <c r="S664" s="309">
        <f>S641</f>
        <v>0</v>
      </c>
    </row>
    <row r="665" spans="1:19" hidden="1" outlineLevel="2" x14ac:dyDescent="0.25">
      <c r="B665" s="174" t="s">
        <v>44</v>
      </c>
      <c r="E665" s="185"/>
      <c r="F665" s="310"/>
      <c r="R665" s="301">
        <f>SUM(R649:R664)</f>
        <v>0</v>
      </c>
      <c r="S665" s="302">
        <f>SUM(S649:S664)</f>
        <v>0</v>
      </c>
    </row>
    <row r="666" spans="1:19" s="162" customFormat="1" hidden="1" outlineLevel="2" x14ac:dyDescent="0.25">
      <c r="B666" s="163" t="s">
        <v>660</v>
      </c>
      <c r="O666" s="164"/>
      <c r="P666" s="165"/>
      <c r="R666" s="164"/>
      <c r="S666" s="165"/>
    </row>
    <row r="667" spans="1:19" s="170" customFormat="1" hidden="1" outlineLevel="2" x14ac:dyDescent="0.25">
      <c r="A667" s="166"/>
      <c r="B667" s="167"/>
      <c r="C667" s="166"/>
      <c r="D667" s="166"/>
      <c r="E667" s="166" t="s">
        <v>742</v>
      </c>
      <c r="F667" s="166" t="s">
        <v>742</v>
      </c>
      <c r="G667" s="166"/>
      <c r="H667" s="166"/>
      <c r="J667" s="166"/>
      <c r="K667" s="166"/>
      <c r="L667" s="166"/>
      <c r="M667" s="166"/>
      <c r="N667" s="166"/>
      <c r="O667" s="171"/>
      <c r="P667" s="172"/>
      <c r="R667" s="168" t="s">
        <v>644</v>
      </c>
      <c r="S667" s="172" t="s">
        <v>32</v>
      </c>
    </row>
    <row r="668" spans="1:19" hidden="1" outlineLevel="2" x14ac:dyDescent="0.25">
      <c r="E668" s="185" t="s">
        <v>77</v>
      </c>
      <c r="F668" s="185" t="s">
        <v>77</v>
      </c>
      <c r="R668" s="295" t="s">
        <v>669</v>
      </c>
      <c r="S668" s="307" t="s">
        <v>669</v>
      </c>
    </row>
    <row r="669" spans="1:19" hidden="1" outlineLevel="2" x14ac:dyDescent="0.25">
      <c r="B669" s="174" t="str">
        <f t="shared" ref="B669:B684" si="30">B649</f>
        <v>Außenwand</v>
      </c>
      <c r="E669" s="214">
        <f t="shared" ref="E669:E684" si="31">R649*F649</f>
        <v>0</v>
      </c>
      <c r="F669" s="214">
        <f t="shared" ref="F669:F684" si="32">S649*F649</f>
        <v>0</v>
      </c>
      <c r="R669" s="311">
        <f t="shared" ref="R669:R684" si="33">R649*F649*$F$645</f>
        <v>0</v>
      </c>
      <c r="S669" s="312">
        <f t="shared" ref="S669:S684" si="34">S649*F649*$F$645</f>
        <v>0</v>
      </c>
    </row>
    <row r="670" spans="1:19" hidden="1" outlineLevel="2" x14ac:dyDescent="0.25">
      <c r="B670" s="174" t="str">
        <f t="shared" si="30"/>
        <v>Fenster</v>
      </c>
      <c r="E670" s="214">
        <f t="shared" si="31"/>
        <v>0</v>
      </c>
      <c r="F670" s="214">
        <f t="shared" si="32"/>
        <v>0</v>
      </c>
      <c r="R670" s="311">
        <f t="shared" si="33"/>
        <v>0</v>
      </c>
      <c r="S670" s="312">
        <f t="shared" si="34"/>
        <v>0</v>
      </c>
    </row>
    <row r="671" spans="1:19" hidden="1" outlineLevel="2" x14ac:dyDescent="0.25">
      <c r="B671" s="174" t="str">
        <f t="shared" si="30"/>
        <v>oberer Gebäudeabschluss</v>
      </c>
      <c r="E671" s="214">
        <f t="shared" si="31"/>
        <v>0</v>
      </c>
      <c r="F671" s="214">
        <f t="shared" si="32"/>
        <v>0</v>
      </c>
      <c r="R671" s="311">
        <f t="shared" si="33"/>
        <v>0</v>
      </c>
      <c r="S671" s="312">
        <f t="shared" si="34"/>
        <v>0</v>
      </c>
    </row>
    <row r="672" spans="1:19" hidden="1" outlineLevel="2" x14ac:dyDescent="0.25">
      <c r="B672" s="174" t="str">
        <f t="shared" si="30"/>
        <v>unterer Gebäudeabschluss</v>
      </c>
      <c r="E672" s="214">
        <f t="shared" si="31"/>
        <v>0</v>
      </c>
      <c r="F672" s="214">
        <f t="shared" si="32"/>
        <v>0</v>
      </c>
      <c r="R672" s="311">
        <f t="shared" si="33"/>
        <v>0</v>
      </c>
      <c r="S672" s="312">
        <f t="shared" si="34"/>
        <v>0</v>
      </c>
    </row>
    <row r="673" spans="1:19" hidden="1" outlineLevel="2" x14ac:dyDescent="0.25">
      <c r="B673" s="174" t="str">
        <f t="shared" si="30"/>
        <v>Lüftungsanlage</v>
      </c>
      <c r="E673" s="214">
        <f t="shared" si="31"/>
        <v>0</v>
      </c>
      <c r="F673" s="214">
        <f t="shared" si="32"/>
        <v>0</v>
      </c>
      <c r="R673" s="311">
        <f t="shared" si="33"/>
        <v>0</v>
      </c>
      <c r="S673" s="312">
        <f t="shared" si="34"/>
        <v>0</v>
      </c>
    </row>
    <row r="674" spans="1:19" hidden="1" outlineLevel="2" x14ac:dyDescent="0.25">
      <c r="B674" s="174" t="str">
        <f t="shared" si="30"/>
        <v>Photovoltaik</v>
      </c>
      <c r="E674" s="214">
        <f t="shared" si="31"/>
        <v>0</v>
      </c>
      <c r="F674" s="214">
        <f t="shared" si="32"/>
        <v>0</v>
      </c>
      <c r="R674" s="311">
        <f t="shared" si="33"/>
        <v>0</v>
      </c>
      <c r="S674" s="312">
        <f t="shared" si="34"/>
        <v>0</v>
      </c>
    </row>
    <row r="675" spans="1:19" hidden="1" outlineLevel="2" x14ac:dyDescent="0.25">
      <c r="B675" s="174" t="str">
        <f t="shared" si="30"/>
        <v>Solarthermiekollektoren</v>
      </c>
      <c r="E675" s="214">
        <f t="shared" si="31"/>
        <v>0</v>
      </c>
      <c r="F675" s="214">
        <f t="shared" si="32"/>
        <v>0</v>
      </c>
      <c r="R675" s="311">
        <f t="shared" si="33"/>
        <v>0</v>
      </c>
      <c r="S675" s="312">
        <f t="shared" si="34"/>
        <v>0</v>
      </c>
    </row>
    <row r="676" spans="1:19" hidden="1" outlineLevel="2" x14ac:dyDescent="0.25">
      <c r="B676" s="174" t="str">
        <f t="shared" si="30"/>
        <v>Heizungspufferspeicher</v>
      </c>
      <c r="E676" s="214">
        <f t="shared" si="31"/>
        <v>0</v>
      </c>
      <c r="F676" s="214">
        <f t="shared" si="32"/>
        <v>0</v>
      </c>
      <c r="R676" s="311">
        <f t="shared" si="33"/>
        <v>0</v>
      </c>
      <c r="S676" s="312">
        <f t="shared" si="34"/>
        <v>0</v>
      </c>
    </row>
    <row r="677" spans="1:19" hidden="1" outlineLevel="2" x14ac:dyDescent="0.25">
      <c r="B677" s="174" t="str">
        <f t="shared" si="30"/>
        <v>Trinkwasserspeicher</v>
      </c>
      <c r="E677" s="214">
        <f t="shared" si="31"/>
        <v>0</v>
      </c>
      <c r="F677" s="214">
        <f t="shared" si="32"/>
        <v>0</v>
      </c>
      <c r="R677" s="311">
        <f t="shared" si="33"/>
        <v>0</v>
      </c>
      <c r="S677" s="312">
        <f t="shared" si="34"/>
        <v>0</v>
      </c>
    </row>
    <row r="678" spans="1:19" hidden="1" outlineLevel="2" x14ac:dyDescent="0.25">
      <c r="B678" s="174" t="str">
        <f t="shared" si="30"/>
        <v>Durchlauferhitzer</v>
      </c>
      <c r="E678" s="214">
        <f t="shared" si="31"/>
        <v>0</v>
      </c>
      <c r="F678" s="214">
        <f t="shared" si="32"/>
        <v>0</v>
      </c>
      <c r="R678" s="311">
        <f t="shared" si="33"/>
        <v>0</v>
      </c>
      <c r="S678" s="312">
        <f t="shared" si="34"/>
        <v>0</v>
      </c>
    </row>
    <row r="679" spans="1:19" hidden="1" outlineLevel="2" x14ac:dyDescent="0.25">
      <c r="B679" s="174" t="str">
        <f t="shared" si="30"/>
        <v>Außenluftwärmepumpe</v>
      </c>
      <c r="E679" s="214">
        <f t="shared" si="31"/>
        <v>0</v>
      </c>
      <c r="F679" s="214">
        <f t="shared" si="32"/>
        <v>0</v>
      </c>
      <c r="R679" s="311">
        <f t="shared" si="33"/>
        <v>0</v>
      </c>
      <c r="S679" s="312">
        <f t="shared" si="34"/>
        <v>0</v>
      </c>
    </row>
    <row r="680" spans="1:19" hidden="1" outlineLevel="2" x14ac:dyDescent="0.25">
      <c r="B680" s="174" t="str">
        <f t="shared" si="30"/>
        <v>Erdreichwärmepumpe</v>
      </c>
      <c r="E680" s="214">
        <f t="shared" si="31"/>
        <v>0</v>
      </c>
      <c r="F680" s="214">
        <f t="shared" si="32"/>
        <v>0</v>
      </c>
      <c r="R680" s="311">
        <f t="shared" si="33"/>
        <v>0</v>
      </c>
      <c r="S680" s="312">
        <f t="shared" si="34"/>
        <v>0</v>
      </c>
    </row>
    <row r="681" spans="1:19" hidden="1" outlineLevel="2" x14ac:dyDescent="0.25">
      <c r="B681" s="174" t="str">
        <f t="shared" si="30"/>
        <v>Fernwärmeanschluss</v>
      </c>
      <c r="E681" s="214">
        <f t="shared" si="31"/>
        <v>0</v>
      </c>
      <c r="F681" s="214">
        <f t="shared" si="32"/>
        <v>0</v>
      </c>
      <c r="R681" s="311">
        <f t="shared" si="33"/>
        <v>0</v>
      </c>
      <c r="S681" s="312">
        <f t="shared" si="34"/>
        <v>0</v>
      </c>
    </row>
    <row r="682" spans="1:19" hidden="1" outlineLevel="2" x14ac:dyDescent="0.25">
      <c r="B682" s="174" t="str">
        <f t="shared" si="30"/>
        <v>Holzkessel</v>
      </c>
      <c r="E682" s="214">
        <f t="shared" si="31"/>
        <v>0</v>
      </c>
      <c r="F682" s="214">
        <f t="shared" si="32"/>
        <v>0</v>
      </c>
      <c r="R682" s="311">
        <f t="shared" si="33"/>
        <v>0</v>
      </c>
      <c r="S682" s="312">
        <f t="shared" si="34"/>
        <v>0</v>
      </c>
    </row>
    <row r="683" spans="1:19" hidden="1" outlineLevel="2" x14ac:dyDescent="0.25">
      <c r="B683" s="174" t="str">
        <f t="shared" si="30"/>
        <v>Gasbrennwert</v>
      </c>
      <c r="E683" s="214">
        <f t="shared" si="31"/>
        <v>0</v>
      </c>
      <c r="F683" s="214">
        <f t="shared" si="32"/>
        <v>0</v>
      </c>
      <c r="R683" s="311">
        <f t="shared" si="33"/>
        <v>0</v>
      </c>
      <c r="S683" s="312">
        <f t="shared" si="34"/>
        <v>0</v>
      </c>
    </row>
    <row r="684" spans="1:19" hidden="1" outlineLevel="2" x14ac:dyDescent="0.25">
      <c r="B684" s="174" t="str">
        <f t="shared" si="30"/>
        <v>Ölbrennwert</v>
      </c>
      <c r="E684" s="214">
        <f t="shared" si="31"/>
        <v>0</v>
      </c>
      <c r="F684" s="214">
        <f t="shared" si="32"/>
        <v>0</v>
      </c>
      <c r="R684" s="311">
        <f t="shared" si="33"/>
        <v>0</v>
      </c>
      <c r="S684" s="312">
        <f t="shared" si="34"/>
        <v>0</v>
      </c>
    </row>
    <row r="685" spans="1:19" hidden="1" outlineLevel="2" x14ac:dyDescent="0.25">
      <c r="B685" s="174" t="s">
        <v>44</v>
      </c>
      <c r="E685" s="214">
        <f>SUM(E669:E684)</f>
        <v>0</v>
      </c>
      <c r="F685" s="214">
        <f>SUM(F669:F684)</f>
        <v>0</v>
      </c>
      <c r="R685" s="301">
        <f>SUM(R669:R684)</f>
        <v>0</v>
      </c>
      <c r="S685" s="302">
        <f>SUM(S669:S684)</f>
        <v>0</v>
      </c>
    </row>
    <row r="686" spans="1:19" s="162" customFormat="1" hidden="1" outlineLevel="2" x14ac:dyDescent="0.25">
      <c r="B686" s="163" t="s">
        <v>667</v>
      </c>
      <c r="O686" s="164"/>
      <c r="P686" s="165"/>
      <c r="R686" s="164"/>
      <c r="S686" s="165"/>
    </row>
    <row r="687" spans="1:19" s="170" customFormat="1" hidden="1" outlineLevel="2" x14ac:dyDescent="0.25">
      <c r="A687" s="166"/>
      <c r="B687" s="167"/>
      <c r="C687" s="166"/>
      <c r="D687" s="166"/>
      <c r="E687" s="166" t="s">
        <v>668</v>
      </c>
      <c r="F687" s="166"/>
      <c r="H687" s="166"/>
      <c r="J687" s="166"/>
      <c r="K687" s="166"/>
      <c r="L687" s="166"/>
      <c r="M687" s="166"/>
      <c r="N687" s="166"/>
      <c r="O687" s="171"/>
      <c r="P687" s="172"/>
      <c r="R687" s="168" t="s">
        <v>644</v>
      </c>
      <c r="S687" s="172" t="s">
        <v>32</v>
      </c>
    </row>
    <row r="688" spans="1:19" hidden="1" outlineLevel="2" x14ac:dyDescent="0.25">
      <c r="E688" s="185" t="s">
        <v>38</v>
      </c>
      <c r="R688" s="295" t="s">
        <v>669</v>
      </c>
      <c r="S688" s="307" t="s">
        <v>669</v>
      </c>
    </row>
    <row r="689" spans="2:19" hidden="1" outlineLevel="2" x14ac:dyDescent="0.25">
      <c r="B689" s="174" t="str">
        <f t="shared" ref="B689:B704" si="35">B669</f>
        <v>Außenwand</v>
      </c>
      <c r="E689" s="237">
        <f>Daten_ALLG!$D$288</f>
        <v>0.01</v>
      </c>
      <c r="R689" s="193">
        <f>E689*R649/Daten_ALLG!$D$246</f>
        <v>0</v>
      </c>
      <c r="S689" s="194">
        <f>E689*S649/Daten_ALLG!$D$246</f>
        <v>0</v>
      </c>
    </row>
    <row r="690" spans="2:19" hidden="1" outlineLevel="2" x14ac:dyDescent="0.25">
      <c r="B690" s="174" t="str">
        <f t="shared" si="35"/>
        <v>Fenster</v>
      </c>
      <c r="E690" s="237">
        <f>Daten_ALLG!$D$295</f>
        <v>0.01</v>
      </c>
      <c r="R690" s="193">
        <f>E690*R650/Daten_ALLG!$D$246</f>
        <v>0</v>
      </c>
      <c r="S690" s="194">
        <f>E690*S650/Daten_ALLG!$D$246</f>
        <v>0</v>
      </c>
    </row>
    <row r="691" spans="2:19" hidden="1" outlineLevel="2" x14ac:dyDescent="0.25">
      <c r="B691" s="174" t="str">
        <f t="shared" si="35"/>
        <v>oberer Gebäudeabschluss</v>
      </c>
      <c r="E691" s="237">
        <f>F551*Daten_ALLG!$D$292+Daten_ALLG!$D$301*H551</f>
        <v>4.0229885057471264E-3</v>
      </c>
      <c r="R691" s="193">
        <f>E691*R651/Daten_ALLG!$D$246</f>
        <v>0</v>
      </c>
      <c r="S691" s="194">
        <f>E691*S651/Daten_ALLG!$D$246</f>
        <v>0</v>
      </c>
    </row>
    <row r="692" spans="2:19" hidden="1" outlineLevel="2" x14ac:dyDescent="0.25">
      <c r="B692" s="174" t="str">
        <f t="shared" si="35"/>
        <v>unterer Gebäudeabschluss</v>
      </c>
      <c r="E692" s="237">
        <f>Daten_ALLG!$D$291*H559+F559*Daten_ALLG!$D$298</f>
        <v>0</v>
      </c>
      <c r="R692" s="193">
        <f>E692*R652/Daten_ALLG!$D$246</f>
        <v>0</v>
      </c>
      <c r="S692" s="194">
        <f>E692*S652/Daten_ALLG!$D$246</f>
        <v>0</v>
      </c>
    </row>
    <row r="693" spans="2:19" hidden="1" outlineLevel="2" x14ac:dyDescent="0.25">
      <c r="B693" s="174" t="str">
        <f t="shared" si="35"/>
        <v>Lüftungsanlage</v>
      </c>
      <c r="E693" s="237">
        <f>Daten_ALLG!$D$306</f>
        <v>0.05</v>
      </c>
      <c r="R693" s="193">
        <f>E693*R653/Daten_ALLG!$D$246</f>
        <v>0</v>
      </c>
      <c r="S693" s="194">
        <f>E693*S653/Daten_ALLG!$D$246</f>
        <v>0</v>
      </c>
    </row>
    <row r="694" spans="2:19" hidden="1" outlineLevel="2" x14ac:dyDescent="0.25">
      <c r="B694" s="174" t="str">
        <f t="shared" si="35"/>
        <v>Photovoltaik</v>
      </c>
      <c r="E694" s="237">
        <f>Daten_ALLG!$D$303</f>
        <v>0.02</v>
      </c>
      <c r="R694" s="193">
        <f>E694*R654/Daten_ALLG!$D$246</f>
        <v>0</v>
      </c>
      <c r="S694" s="194">
        <f>E694*S654/Daten_ALLG!$D$246</f>
        <v>0</v>
      </c>
    </row>
    <row r="695" spans="2:19" hidden="1" outlineLevel="2" x14ac:dyDescent="0.25">
      <c r="B695" s="174" t="str">
        <f t="shared" si="35"/>
        <v>Solarthermiekollektoren</v>
      </c>
      <c r="E695" s="237">
        <f>Daten_ALLG!$D$304</f>
        <v>1.4999999999999999E-2</v>
      </c>
      <c r="R695" s="193">
        <f>E695*R655/Daten_ALLG!$D$246</f>
        <v>0</v>
      </c>
      <c r="S695" s="194">
        <f>E695*S655/Daten_ALLG!$D$246</f>
        <v>0</v>
      </c>
    </row>
    <row r="696" spans="2:19" hidden="1" outlineLevel="2" x14ac:dyDescent="0.25">
      <c r="B696" s="174" t="str">
        <f t="shared" si="35"/>
        <v>Heizungspufferspeicher</v>
      </c>
      <c r="E696" s="237">
        <f>Daten_ALLG!$D$305</f>
        <v>0</v>
      </c>
      <c r="R696" s="193">
        <f>E696*R656/Daten_ALLG!$D$246</f>
        <v>0</v>
      </c>
      <c r="S696" s="194">
        <f>E696*S656/Daten_ALLG!$D$246</f>
        <v>0</v>
      </c>
    </row>
    <row r="697" spans="2:19" hidden="1" outlineLevel="2" x14ac:dyDescent="0.25">
      <c r="B697" s="174" t="str">
        <f t="shared" si="35"/>
        <v>Trinkwasserspeicher</v>
      </c>
      <c r="E697" s="237">
        <f>Daten_ALLG!$D$305</f>
        <v>0</v>
      </c>
      <c r="R697" s="193">
        <f>E697*R657/Daten_ALLG!$D$246</f>
        <v>0</v>
      </c>
      <c r="S697" s="194">
        <f>E697*S657/Daten_ALLG!$D$246</f>
        <v>0</v>
      </c>
    </row>
    <row r="698" spans="2:19" hidden="1" outlineLevel="2" x14ac:dyDescent="0.25">
      <c r="B698" s="174" t="str">
        <f t="shared" si="35"/>
        <v>Durchlauferhitzer</v>
      </c>
      <c r="E698" s="237">
        <f>Daten_ALLG!$D$293</f>
        <v>0</v>
      </c>
      <c r="R698" s="193">
        <f>E698*R658/Daten_ALLG!$D$246</f>
        <v>0</v>
      </c>
      <c r="S698" s="194">
        <f>E698*S658/Daten_ALLG!$D$246</f>
        <v>0</v>
      </c>
    </row>
    <row r="699" spans="2:19" hidden="1" outlineLevel="2" x14ac:dyDescent="0.25">
      <c r="B699" s="174" t="str">
        <f t="shared" si="35"/>
        <v>Außenluftwärmepumpe</v>
      </c>
      <c r="E699" s="237">
        <f>Daten_ALLG!$D$289</f>
        <v>0.02</v>
      </c>
      <c r="R699" s="193">
        <f>E699*R659/Daten_ALLG!$D$246</f>
        <v>0</v>
      </c>
      <c r="S699" s="194">
        <f>E699*S659/Daten_ALLG!$D$246</f>
        <v>0</v>
      </c>
    </row>
    <row r="700" spans="2:19" hidden="1" outlineLevel="2" x14ac:dyDescent="0.25">
      <c r="B700" s="174" t="str">
        <f t="shared" si="35"/>
        <v>Erdreichwärmepumpe</v>
      </c>
      <c r="E700" s="237">
        <f>Daten_ALLG!$D$294</f>
        <v>0.02</v>
      </c>
      <c r="R700" s="193">
        <f>E700*R660/Daten_ALLG!$D$246</f>
        <v>0</v>
      </c>
      <c r="S700" s="194">
        <f>E700*S660/Daten_ALLG!$D$246</f>
        <v>0</v>
      </c>
    </row>
    <row r="701" spans="2:19" hidden="1" outlineLevel="2" x14ac:dyDescent="0.25">
      <c r="B701" s="174" t="str">
        <f t="shared" si="35"/>
        <v>Fernwärmeanschluss</v>
      </c>
      <c r="E701" s="237">
        <f>Daten_ALLG!$D$300</f>
        <v>1.4999999999999999E-2</v>
      </c>
      <c r="R701" s="193">
        <f>E701*R661/Daten_ALLG!$D$246</f>
        <v>0</v>
      </c>
      <c r="S701" s="194">
        <f>E701*S661/Daten_ALLG!$D$246</f>
        <v>0</v>
      </c>
    </row>
    <row r="702" spans="2:19" hidden="1" outlineLevel="2" x14ac:dyDescent="0.25">
      <c r="B702" s="174" t="str">
        <f t="shared" si="35"/>
        <v>Holzkessel</v>
      </c>
      <c r="E702" s="237">
        <f>Daten_ALLG!$D$297</f>
        <v>0.05</v>
      </c>
      <c r="R702" s="193">
        <f>E702*R662/Daten_ALLG!$D$246</f>
        <v>0</v>
      </c>
      <c r="S702" s="194">
        <f>E702*S662/Daten_ALLG!$D$246</f>
        <v>0</v>
      </c>
    </row>
    <row r="703" spans="2:19" hidden="1" outlineLevel="2" x14ac:dyDescent="0.25">
      <c r="B703" s="174" t="str">
        <f t="shared" si="35"/>
        <v>Gasbrennwert</v>
      </c>
      <c r="E703" s="237">
        <f>Daten_ALLG!$D$296</f>
        <v>0.02</v>
      </c>
      <c r="R703" s="193">
        <f>E703*R663/Daten_ALLG!$D$246</f>
        <v>0</v>
      </c>
      <c r="S703" s="194">
        <f>E703*S663/Daten_ALLG!$D$246</f>
        <v>0</v>
      </c>
    </row>
    <row r="704" spans="2:19" hidden="1" outlineLevel="2" x14ac:dyDescent="0.25">
      <c r="B704" s="174" t="str">
        <f t="shared" si="35"/>
        <v>Ölbrennwert</v>
      </c>
      <c r="E704" s="237">
        <f>Daten_ALLG!$D$302</f>
        <v>0.02</v>
      </c>
      <c r="R704" s="193">
        <f>E704*R664/Daten_ALLG!$D$246</f>
        <v>0</v>
      </c>
      <c r="S704" s="194">
        <f>E704*S664/Daten_ALLG!$D$246</f>
        <v>0</v>
      </c>
    </row>
    <row r="705" spans="1:19" hidden="1" outlineLevel="2" x14ac:dyDescent="0.25">
      <c r="B705" s="174" t="s">
        <v>44</v>
      </c>
      <c r="E705" s="185"/>
      <c r="F705" s="310"/>
      <c r="R705" s="301">
        <f>SUM(R689:R704)</f>
        <v>0</v>
      </c>
      <c r="S705" s="302">
        <f>SUM(S689:S704)</f>
        <v>0</v>
      </c>
    </row>
    <row r="706" spans="1:19" s="159" customFormat="1" ht="14.25" customHeight="1" collapsed="1" x14ac:dyDescent="0.25">
      <c r="A706" s="156" t="s">
        <v>75</v>
      </c>
      <c r="B706" s="157"/>
      <c r="C706" s="157"/>
      <c r="D706" s="158"/>
      <c r="O706" s="160"/>
      <c r="P706" s="161"/>
      <c r="R706" s="160"/>
      <c r="S706" s="161"/>
    </row>
    <row r="707" spans="1:19" s="162" customFormat="1" hidden="1" outlineLevel="2" x14ac:dyDescent="0.25">
      <c r="B707" s="163" t="s">
        <v>779</v>
      </c>
      <c r="O707" s="164"/>
      <c r="P707" s="165"/>
      <c r="R707" s="164"/>
      <c r="S707" s="165"/>
    </row>
    <row r="708" spans="1:19" s="170" customFormat="1" hidden="1" outlineLevel="2" x14ac:dyDescent="0.25">
      <c r="A708" s="166"/>
      <c r="B708" s="167"/>
      <c r="C708" s="166"/>
      <c r="D708" s="166"/>
      <c r="E708" s="166"/>
      <c r="F708" s="166"/>
      <c r="H708" s="166"/>
      <c r="J708" s="166"/>
      <c r="K708" s="166"/>
      <c r="L708" s="166"/>
      <c r="M708" s="166"/>
      <c r="N708" s="166"/>
      <c r="O708" s="168" t="s">
        <v>319</v>
      </c>
      <c r="P708" s="172" t="s">
        <v>332</v>
      </c>
      <c r="R708" s="168" t="s">
        <v>644</v>
      </c>
      <c r="S708" s="172" t="s">
        <v>32</v>
      </c>
    </row>
    <row r="709" spans="1:19" hidden="1" outlineLevel="2" x14ac:dyDescent="0.25">
      <c r="B709" s="174" t="s">
        <v>776</v>
      </c>
      <c r="E709" s="185" t="s">
        <v>669</v>
      </c>
      <c r="O709" s="313">
        <f>O532</f>
        <v>10191.537851581512</v>
      </c>
      <c r="P709" s="314">
        <f>P532</f>
        <v>10191.537851581512</v>
      </c>
      <c r="Q709" s="315"/>
    </row>
    <row r="710" spans="1:19" hidden="1" outlineLevel="2" x14ac:dyDescent="0.25">
      <c r="B710" s="174" t="s">
        <v>777</v>
      </c>
      <c r="E710" s="185" t="s">
        <v>669</v>
      </c>
      <c r="P710" s="314">
        <f>S710</f>
        <v>0</v>
      </c>
      <c r="Q710" s="315"/>
      <c r="S710" s="302">
        <f>S705</f>
        <v>0</v>
      </c>
    </row>
    <row r="711" spans="1:19" hidden="1" outlineLevel="2" x14ac:dyDescent="0.25">
      <c r="B711" s="174" t="s">
        <v>780</v>
      </c>
      <c r="E711" s="185" t="s">
        <v>669</v>
      </c>
      <c r="P711" s="314">
        <f>S711</f>
        <v>0</v>
      </c>
      <c r="Q711" s="315"/>
      <c r="S711" s="302">
        <f>S685</f>
        <v>0</v>
      </c>
    </row>
    <row r="712" spans="1:19" hidden="1" outlineLevel="2" x14ac:dyDescent="0.25">
      <c r="B712" s="174" t="s">
        <v>44</v>
      </c>
      <c r="E712" s="185" t="s">
        <v>669</v>
      </c>
      <c r="O712" s="313">
        <f>O709+O710+O711</f>
        <v>10191.537851581512</v>
      </c>
      <c r="P712" s="314">
        <f>P709+P710+P711</f>
        <v>10191.537851581512</v>
      </c>
      <c r="Q712" s="315"/>
    </row>
    <row r="713" spans="1:19" hidden="1" outlineLevel="2" x14ac:dyDescent="0.25">
      <c r="B713" s="174" t="s">
        <v>781</v>
      </c>
      <c r="E713" s="185" t="s">
        <v>669</v>
      </c>
      <c r="F713" s="316">
        <f>P712-O712</f>
        <v>0</v>
      </c>
      <c r="Q713" s="315"/>
    </row>
    <row r="714" spans="1:19" s="162" customFormat="1" hidden="1" outlineLevel="2" x14ac:dyDescent="0.25">
      <c r="B714" s="163" t="s">
        <v>813</v>
      </c>
      <c r="O714" s="164"/>
      <c r="P714" s="165"/>
      <c r="R714" s="164"/>
      <c r="S714" s="165"/>
    </row>
    <row r="715" spans="1:19" s="170" customFormat="1" hidden="1" outlineLevel="2" x14ac:dyDescent="0.25">
      <c r="A715" s="166"/>
      <c r="B715" s="167"/>
      <c r="C715" s="166"/>
      <c r="D715" s="166"/>
      <c r="E715" s="166"/>
      <c r="F715" s="166"/>
      <c r="H715" s="166"/>
      <c r="J715" s="166"/>
      <c r="K715" s="166"/>
      <c r="L715" s="166"/>
      <c r="M715" s="166"/>
      <c r="N715" s="166"/>
      <c r="O715" s="168" t="s">
        <v>319</v>
      </c>
      <c r="P715" s="172" t="s">
        <v>332</v>
      </c>
      <c r="R715" s="168" t="s">
        <v>644</v>
      </c>
      <c r="S715" s="172" t="s">
        <v>32</v>
      </c>
    </row>
    <row r="716" spans="1:19" hidden="1" outlineLevel="2" x14ac:dyDescent="0.25">
      <c r="B716" s="174" t="s">
        <v>776</v>
      </c>
      <c r="E716" s="185" t="s">
        <v>669</v>
      </c>
      <c r="O716" s="313">
        <f>O532</f>
        <v>10191.537851581512</v>
      </c>
      <c r="P716" s="314">
        <f>P532</f>
        <v>10191.537851581512</v>
      </c>
      <c r="Q716" s="315"/>
    </row>
    <row r="717" spans="1:19" hidden="1" outlineLevel="2" x14ac:dyDescent="0.25">
      <c r="B717" s="174" t="s">
        <v>780</v>
      </c>
      <c r="E717" s="185" t="s">
        <v>669</v>
      </c>
      <c r="P717" s="314">
        <f>S717</f>
        <v>0</v>
      </c>
      <c r="Q717" s="315"/>
      <c r="S717" s="302">
        <f>S685</f>
        <v>0</v>
      </c>
    </row>
    <row r="718" spans="1:19" hidden="1" outlineLevel="2" x14ac:dyDescent="0.25">
      <c r="B718" s="174" t="s">
        <v>44</v>
      </c>
      <c r="E718" s="185" t="s">
        <v>669</v>
      </c>
      <c r="O718" s="313">
        <f>O716+O717</f>
        <v>10191.537851581512</v>
      </c>
      <c r="P718" s="314">
        <f>P716+P717</f>
        <v>10191.537851581512</v>
      </c>
      <c r="Q718" s="315"/>
    </row>
    <row r="719" spans="1:19" hidden="1" outlineLevel="2" x14ac:dyDescent="0.25">
      <c r="B719" s="174" t="s">
        <v>781</v>
      </c>
      <c r="E719" s="185" t="s">
        <v>669</v>
      </c>
      <c r="F719" s="316">
        <f>P718-O718</f>
        <v>0</v>
      </c>
      <c r="Q719" s="315"/>
    </row>
    <row r="720" spans="1:19" s="162" customFormat="1" hidden="1" outlineLevel="2" x14ac:dyDescent="0.25">
      <c r="B720" s="163" t="s">
        <v>778</v>
      </c>
      <c r="O720" s="164"/>
      <c r="P720" s="165"/>
      <c r="R720" s="164"/>
      <c r="S720" s="165"/>
    </row>
    <row r="721" spans="1:19" s="170" customFormat="1" hidden="1" outlineLevel="2" x14ac:dyDescent="0.25">
      <c r="A721" s="166"/>
      <c r="B721" s="167"/>
      <c r="C721" s="166"/>
      <c r="D721" s="166"/>
      <c r="E721" s="166"/>
      <c r="F721" s="166"/>
      <c r="H721" s="166"/>
      <c r="J721" s="166"/>
      <c r="K721" s="166"/>
      <c r="L721" s="166"/>
      <c r="M721" s="166"/>
      <c r="N721" s="166"/>
      <c r="O721" s="168" t="s">
        <v>319</v>
      </c>
      <c r="P721" s="172" t="s">
        <v>332</v>
      </c>
      <c r="R721" s="168" t="s">
        <v>644</v>
      </c>
      <c r="S721" s="172" t="s">
        <v>32</v>
      </c>
    </row>
    <row r="722" spans="1:19" hidden="1" outlineLevel="2" x14ac:dyDescent="0.25">
      <c r="B722" s="174" t="s">
        <v>776</v>
      </c>
      <c r="E722" s="185" t="s">
        <v>669</v>
      </c>
      <c r="O722" s="313">
        <f>O532</f>
        <v>10191.537851581512</v>
      </c>
      <c r="P722" s="314">
        <f>P532</f>
        <v>10191.537851581512</v>
      </c>
      <c r="Q722" s="315"/>
    </row>
    <row r="723" spans="1:19" hidden="1" outlineLevel="2" x14ac:dyDescent="0.25">
      <c r="B723" s="174" t="s">
        <v>777</v>
      </c>
      <c r="E723" s="185" t="s">
        <v>669</v>
      </c>
      <c r="P723" s="314">
        <f>S723-R723</f>
        <v>0</v>
      </c>
      <c r="Q723" s="315"/>
      <c r="R723" s="301">
        <f>R705</f>
        <v>0</v>
      </c>
      <c r="S723" s="302">
        <f>S705</f>
        <v>0</v>
      </c>
    </row>
    <row r="724" spans="1:19" hidden="1" outlineLevel="2" x14ac:dyDescent="0.25">
      <c r="B724" s="174" t="s">
        <v>780</v>
      </c>
      <c r="E724" s="185" t="s">
        <v>669</v>
      </c>
      <c r="P724" s="314">
        <f>S724-R724</f>
        <v>0</v>
      </c>
      <c r="Q724" s="315"/>
      <c r="R724" s="301">
        <f>R685</f>
        <v>0</v>
      </c>
      <c r="S724" s="302">
        <f>S685</f>
        <v>0</v>
      </c>
    </row>
    <row r="725" spans="1:19" hidden="1" outlineLevel="2" x14ac:dyDescent="0.25">
      <c r="B725" s="174" t="s">
        <v>44</v>
      </c>
      <c r="E725" s="185" t="s">
        <v>669</v>
      </c>
      <c r="O725" s="313">
        <f>O722+O723+O724</f>
        <v>10191.537851581512</v>
      </c>
      <c r="P725" s="314">
        <f>P722+P723+P724</f>
        <v>10191.537851581512</v>
      </c>
      <c r="Q725" s="315"/>
    </row>
    <row r="726" spans="1:19" hidden="1" outlineLevel="2" x14ac:dyDescent="0.25">
      <c r="B726" s="174" t="s">
        <v>781</v>
      </c>
      <c r="E726" s="185" t="s">
        <v>669</v>
      </c>
      <c r="F726" s="316">
        <f>P725-O725</f>
        <v>0</v>
      </c>
      <c r="Q726" s="315"/>
    </row>
    <row r="727" spans="1:19" s="159" customFormat="1" ht="14.25" customHeight="1" collapsed="1" x14ac:dyDescent="0.25">
      <c r="A727" s="156" t="s">
        <v>744</v>
      </c>
      <c r="B727" s="157"/>
      <c r="C727" s="157"/>
      <c r="D727" s="158"/>
      <c r="O727" s="160"/>
      <c r="P727" s="161"/>
      <c r="R727" s="160"/>
      <c r="S727" s="161"/>
    </row>
    <row r="728" spans="1:19" s="162" customFormat="1" hidden="1" outlineLevel="2" x14ac:dyDescent="0.25">
      <c r="B728" s="163" t="s">
        <v>809</v>
      </c>
      <c r="O728" s="164"/>
      <c r="P728" s="165"/>
      <c r="R728" s="164"/>
      <c r="S728" s="165"/>
    </row>
    <row r="729" spans="1:19" s="170" customFormat="1" hidden="1" outlineLevel="2" x14ac:dyDescent="0.25">
      <c r="A729" s="166"/>
      <c r="B729" s="167"/>
      <c r="C729" s="166"/>
      <c r="D729" s="166"/>
      <c r="E729" s="166"/>
      <c r="F729" s="166"/>
      <c r="H729" s="166"/>
      <c r="J729" s="166"/>
      <c r="K729" s="166"/>
      <c r="L729" s="166"/>
      <c r="M729" s="166"/>
      <c r="N729" s="166"/>
      <c r="O729" s="168"/>
      <c r="P729" s="172"/>
      <c r="R729" s="171"/>
      <c r="S729" s="172"/>
    </row>
    <row r="730" spans="1:19" hidden="1" outlineLevel="2" x14ac:dyDescent="0.25">
      <c r="B730" s="174" t="s">
        <v>808</v>
      </c>
      <c r="E730" s="185" t="s">
        <v>669</v>
      </c>
      <c r="F730" s="317">
        <f>P717</f>
        <v>0</v>
      </c>
      <c r="N730" s="264"/>
    </row>
    <row r="731" spans="1:19" hidden="1" outlineLevel="2" x14ac:dyDescent="0.25">
      <c r="B731" s="174" t="s">
        <v>746</v>
      </c>
      <c r="E731" s="185" t="s">
        <v>621</v>
      </c>
      <c r="F731" s="214">
        <f>O507-P507</f>
        <v>0</v>
      </c>
      <c r="N731" s="264"/>
    </row>
    <row r="732" spans="1:19" hidden="1" outlineLevel="2" x14ac:dyDescent="0.25">
      <c r="B732" s="174" t="s">
        <v>747</v>
      </c>
      <c r="E732" s="185" t="s">
        <v>748</v>
      </c>
      <c r="F732" s="191" t="str">
        <f>IF(F731=0,"k.A.",(F730)/F731)</f>
        <v>k.A.</v>
      </c>
      <c r="N732" s="264"/>
    </row>
    <row r="733" spans="1:19" hidden="1" outlineLevel="2" x14ac:dyDescent="0.25">
      <c r="E733" s="185" t="s">
        <v>749</v>
      </c>
      <c r="F733" s="318" t="str">
        <f>IF(F731=0,"k.A.",F732*1000)</f>
        <v>k.A.</v>
      </c>
      <c r="N733" s="264"/>
    </row>
    <row r="734" spans="1:19" s="162" customFormat="1" hidden="1" outlineLevel="2" x14ac:dyDescent="0.25">
      <c r="B734" s="163" t="s">
        <v>810</v>
      </c>
      <c r="O734" s="164"/>
      <c r="P734" s="165"/>
      <c r="R734" s="164"/>
      <c r="S734" s="165"/>
    </row>
    <row r="735" spans="1:19" s="170" customFormat="1" hidden="1" outlineLevel="2" x14ac:dyDescent="0.25">
      <c r="A735" s="166"/>
      <c r="B735" s="167"/>
      <c r="C735" s="166"/>
      <c r="D735" s="166"/>
      <c r="E735" s="166"/>
      <c r="F735" s="166"/>
      <c r="H735" s="166"/>
      <c r="J735" s="166"/>
      <c r="K735" s="166"/>
      <c r="L735" s="166"/>
      <c r="M735" s="166"/>
      <c r="N735" s="166"/>
      <c r="O735" s="168"/>
      <c r="P735" s="172"/>
      <c r="R735" s="171"/>
      <c r="S735" s="172"/>
    </row>
    <row r="736" spans="1:19" hidden="1" outlineLevel="2" x14ac:dyDescent="0.25">
      <c r="B736" s="174" t="s">
        <v>768</v>
      </c>
      <c r="E736" s="185" t="s">
        <v>669</v>
      </c>
      <c r="F736" s="317">
        <f>P724</f>
        <v>0</v>
      </c>
      <c r="N736" s="264"/>
    </row>
    <row r="737" spans="1:19" hidden="1" outlineLevel="2" x14ac:dyDescent="0.25">
      <c r="B737" s="174" t="s">
        <v>745</v>
      </c>
      <c r="E737" s="185" t="s">
        <v>669</v>
      </c>
      <c r="F737" s="317">
        <f>P723</f>
        <v>0</v>
      </c>
      <c r="N737" s="264"/>
    </row>
    <row r="738" spans="1:19" hidden="1" outlineLevel="2" x14ac:dyDescent="0.25">
      <c r="B738" s="174" t="s">
        <v>746</v>
      </c>
      <c r="E738" s="185" t="s">
        <v>621</v>
      </c>
      <c r="F738" s="214">
        <f>O507-P507</f>
        <v>0</v>
      </c>
      <c r="N738" s="264"/>
    </row>
    <row r="739" spans="1:19" hidden="1" outlineLevel="2" x14ac:dyDescent="0.25">
      <c r="B739" s="174" t="s">
        <v>747</v>
      </c>
      <c r="E739" s="185" t="s">
        <v>748</v>
      </c>
      <c r="F739" s="191" t="str">
        <f>IF(F738=0,"k.A.",(F736+F737)/F738)</f>
        <v>k.A.</v>
      </c>
      <c r="N739" s="264"/>
    </row>
    <row r="740" spans="1:19" hidden="1" outlineLevel="2" x14ac:dyDescent="0.25">
      <c r="E740" s="185" t="s">
        <v>749</v>
      </c>
      <c r="F740" s="318" t="str">
        <f>IF(F738=0,"k.A.",F739*1000)</f>
        <v>k.A.</v>
      </c>
      <c r="N740" s="264"/>
    </row>
    <row r="741" spans="1:19" s="159" customFormat="1" ht="14.25" customHeight="1" collapsed="1" x14ac:dyDescent="0.25">
      <c r="A741" s="156" t="s">
        <v>739</v>
      </c>
      <c r="B741" s="157"/>
      <c r="C741" s="157"/>
      <c r="D741" s="158"/>
      <c r="O741" s="160"/>
      <c r="P741" s="161"/>
      <c r="R741" s="160"/>
      <c r="S741" s="161"/>
    </row>
    <row r="742" spans="1:19" s="162" customFormat="1" hidden="1" outlineLevel="2" x14ac:dyDescent="0.25">
      <c r="B742" s="163" t="s">
        <v>769</v>
      </c>
      <c r="O742" s="164"/>
      <c r="P742" s="165"/>
      <c r="R742" s="164"/>
      <c r="S742" s="165"/>
    </row>
    <row r="743" spans="1:19" s="170" customFormat="1" hidden="1" outlineLevel="2" x14ac:dyDescent="0.25">
      <c r="A743" s="166"/>
      <c r="B743" s="167"/>
      <c r="C743" s="166"/>
      <c r="D743" s="166"/>
      <c r="E743" s="166"/>
      <c r="F743" s="166" t="s">
        <v>811</v>
      </c>
      <c r="G743" s="170" t="s">
        <v>812</v>
      </c>
      <c r="H743" s="166"/>
      <c r="J743" s="166"/>
      <c r="K743" s="166"/>
      <c r="L743" s="166"/>
      <c r="M743" s="166"/>
      <c r="N743" s="166"/>
      <c r="O743" s="168"/>
      <c r="P743" s="172"/>
      <c r="R743" s="171"/>
      <c r="S743" s="172"/>
    </row>
    <row r="744" spans="1:19" hidden="1" outlineLevel="2" x14ac:dyDescent="0.25">
      <c r="B744" s="174" t="s">
        <v>740</v>
      </c>
      <c r="E744" s="185" t="s">
        <v>669</v>
      </c>
      <c r="F744" s="316">
        <f>F719</f>
        <v>0</v>
      </c>
      <c r="G744" s="316">
        <f>F726</f>
        <v>0</v>
      </c>
    </row>
    <row r="745" spans="1:19" hidden="1" outlineLevel="2" x14ac:dyDescent="0.25">
      <c r="B745" s="174" t="s">
        <v>662</v>
      </c>
      <c r="E745" s="185" t="s">
        <v>38</v>
      </c>
      <c r="F745" s="237">
        <f>F645</f>
        <v>4.4649922293402963E-2</v>
      </c>
      <c r="G745" s="237">
        <f>F645</f>
        <v>4.4649922293402963E-2</v>
      </c>
    </row>
    <row r="746" spans="1:19" hidden="1" outlineLevel="2" x14ac:dyDescent="0.25">
      <c r="B746" s="174" t="s">
        <v>750</v>
      </c>
      <c r="E746" s="185" t="s">
        <v>77</v>
      </c>
      <c r="F746" s="214">
        <f>IF(F745=0,"k.A.",IF(F719&lt;0,0,F744/F745))</f>
        <v>0</v>
      </c>
      <c r="G746" s="214">
        <f>IF(G745=0,"k.A.",IF(F726&lt;0,0,G744/G745))</f>
        <v>0</v>
      </c>
    </row>
    <row r="747" spans="1:19" hidden="1" outlineLevel="2" x14ac:dyDescent="0.25">
      <c r="B747" s="174" t="s">
        <v>743</v>
      </c>
      <c r="E747" s="185" t="s">
        <v>13</v>
      </c>
      <c r="F747" s="319">
        <f>IF(F746=0,0,F744/S685)</f>
        <v>0</v>
      </c>
      <c r="G747" s="319">
        <f>IF(G746=0,0,G744/S685)</f>
        <v>0</v>
      </c>
    </row>
    <row r="748" spans="1:19" s="162" customFormat="1" hidden="1" outlineLevel="2" x14ac:dyDescent="0.25">
      <c r="B748" s="163" t="s">
        <v>751</v>
      </c>
      <c r="O748" s="164"/>
      <c r="P748" s="165"/>
      <c r="R748" s="164"/>
      <c r="S748" s="165"/>
    </row>
    <row r="749" spans="1:19" s="170" customFormat="1" hidden="1" outlineLevel="2" x14ac:dyDescent="0.25">
      <c r="A749" s="166"/>
      <c r="B749" s="167"/>
      <c r="C749" s="166"/>
      <c r="D749" s="166"/>
      <c r="E749" s="166"/>
      <c r="F749" s="166" t="s">
        <v>811</v>
      </c>
      <c r="G749" s="170" t="s">
        <v>812</v>
      </c>
      <c r="H749" s="166"/>
      <c r="J749" s="166"/>
      <c r="K749" s="166"/>
      <c r="L749" s="166"/>
      <c r="M749" s="166"/>
      <c r="N749" s="166"/>
      <c r="O749" s="168"/>
      <c r="P749" s="172"/>
      <c r="R749" s="171"/>
      <c r="S749" s="172"/>
    </row>
    <row r="750" spans="1:19" hidden="1" outlineLevel="2" x14ac:dyDescent="0.25">
      <c r="B750" s="174" t="s">
        <v>740</v>
      </c>
      <c r="E750" s="185" t="s">
        <v>669</v>
      </c>
      <c r="F750" s="316">
        <f>IF(F719&lt;0,0,F719)</f>
        <v>0</v>
      </c>
      <c r="G750" s="316">
        <f>IF(F726&lt;0,0,F726)</f>
        <v>0</v>
      </c>
    </row>
    <row r="751" spans="1:19" hidden="1" outlineLevel="2" x14ac:dyDescent="0.25">
      <c r="B751" s="174" t="s">
        <v>752</v>
      </c>
      <c r="E751" s="185" t="s">
        <v>621</v>
      </c>
      <c r="F751" s="320">
        <f>IF(P507&gt;O507,0,O507-P507)</f>
        <v>0</v>
      </c>
      <c r="G751" s="320">
        <f>IF(P507&gt;O507,0,O507-P507)</f>
        <v>0</v>
      </c>
    </row>
    <row r="752" spans="1:19" hidden="1" outlineLevel="2" x14ac:dyDescent="0.25">
      <c r="B752" s="174" t="s">
        <v>753</v>
      </c>
      <c r="E752" s="185" t="s">
        <v>748</v>
      </c>
      <c r="F752" s="237" t="str">
        <f>IF(F751=0,"k.A.",F750/F751)</f>
        <v>k.A.</v>
      </c>
      <c r="G752" s="237" t="str">
        <f>IF(G751=0,"k.A.",G750/G751)</f>
        <v>k.A.</v>
      </c>
    </row>
    <row r="753" spans="1:19" hidden="1" outlineLevel="2" x14ac:dyDescent="0.25">
      <c r="E753" s="185" t="s">
        <v>749</v>
      </c>
      <c r="F753" s="318" t="str">
        <f>IF(F751=0,"k.A.",F752*1000)</f>
        <v>k.A.</v>
      </c>
      <c r="G753" s="318" t="str">
        <f>IF(G751=0,"k.A.",G752*1000)</f>
        <v>k.A.</v>
      </c>
    </row>
    <row r="754" spans="1:19" s="162" customFormat="1" hidden="1" outlineLevel="2" x14ac:dyDescent="0.25">
      <c r="B754" s="163" t="s">
        <v>831</v>
      </c>
      <c r="O754" s="164"/>
      <c r="P754" s="165"/>
      <c r="R754" s="164"/>
      <c r="S754" s="165"/>
    </row>
    <row r="755" spans="1:19" s="170" customFormat="1" hidden="1" outlineLevel="2" x14ac:dyDescent="0.25">
      <c r="A755" s="166"/>
      <c r="B755" s="167"/>
      <c r="C755" s="166"/>
      <c r="D755" s="166"/>
      <c r="E755" s="166"/>
      <c r="F755" s="166"/>
      <c r="H755" s="166"/>
      <c r="J755" s="166"/>
      <c r="K755" s="166"/>
      <c r="L755" s="166"/>
      <c r="M755" s="166"/>
      <c r="N755" s="166"/>
      <c r="O755" s="168" t="s">
        <v>319</v>
      </c>
      <c r="P755" s="169" t="s">
        <v>332</v>
      </c>
      <c r="R755" s="171"/>
      <c r="S755" s="172"/>
    </row>
    <row r="756" spans="1:19" hidden="1" outlineLevel="2" x14ac:dyDescent="0.25">
      <c r="B756" s="174" t="s">
        <v>740</v>
      </c>
      <c r="E756" s="185" t="s">
        <v>669</v>
      </c>
      <c r="F756" s="316">
        <f>IF(F726&lt;0,0,F726)</f>
        <v>0</v>
      </c>
    </row>
    <row r="757" spans="1:19" hidden="1" outlineLevel="2" x14ac:dyDescent="0.25">
      <c r="B757" s="174" t="s">
        <v>832</v>
      </c>
      <c r="E757" s="185" t="s">
        <v>348</v>
      </c>
      <c r="N757" s="264" t="s">
        <v>736</v>
      </c>
      <c r="O757" s="221">
        <f>IF($A$276="",0,IF($D276="V",0,IF($E276="V",0,IF($F276="V",0,IF($G276="V",0,IF($H276="V",0,IF($I276="V",0,IF($J276="V",0,IF($K276="V",0,IF($L276="V",O409,IF($M276="V",O409,0)))))))))))</f>
        <v>0</v>
      </c>
      <c r="P757" s="222">
        <f>IF($A$276="",0,IF($D276="N",0,IF($E276="N",0,IF($F276="N",0,IF($G276="N",0,IF($H276="N",0,IF($I276="N",0,IF($J276="N",0,IF($K276="N",0,IF($L276="N",P409,IF($M276="N",P409,0)))))))))))</f>
        <v>0</v>
      </c>
    </row>
    <row r="758" spans="1:19" hidden="1" outlineLevel="2" x14ac:dyDescent="0.25">
      <c r="B758" s="174" t="s">
        <v>834</v>
      </c>
      <c r="E758" s="185" t="s">
        <v>348</v>
      </c>
      <c r="N758" s="264" t="s">
        <v>40</v>
      </c>
      <c r="O758" s="321">
        <f>L529*O379</f>
        <v>0</v>
      </c>
      <c r="P758" s="222">
        <f>M529*P379</f>
        <v>0</v>
      </c>
    </row>
    <row r="759" spans="1:19" hidden="1" outlineLevel="2" x14ac:dyDescent="0.25">
      <c r="B759" s="174" t="s">
        <v>833</v>
      </c>
      <c r="E759" s="185" t="s">
        <v>348</v>
      </c>
      <c r="N759" s="264" t="s">
        <v>736</v>
      </c>
      <c r="O759" s="321">
        <f>IF($A$303="",0,IF($D303="V",0,IF($E303="V",0,IF($F303="V",0,IF($G303="V",0,IF($H303="V",0,IF($I303="V",0,IF($J303="V",0,IF($K303="V",0,IF($L303="V",O417,IF($M303="V",O417,0)))))))))))</f>
        <v>0</v>
      </c>
      <c r="P759" s="222">
        <f>IF($A$303="",0,IF($D303="N",0,IF($E303="N",0,IF($F303="N",0,IF($G303="N",0,IF($H303="N",0,IF($I303="N",0,IF($J303="N",0,IF($K303="N",0,IF($L303="N",P417,IF($M303="N",P417,0)))))))))))</f>
        <v>0</v>
      </c>
    </row>
    <row r="760" spans="1:19" hidden="1" outlineLevel="2" x14ac:dyDescent="0.25">
      <c r="B760" s="174" t="s">
        <v>835</v>
      </c>
      <c r="E760" s="185" t="s">
        <v>348</v>
      </c>
      <c r="N760" s="264" t="s">
        <v>40</v>
      </c>
      <c r="O760" s="221">
        <f>L530*O388</f>
        <v>0</v>
      </c>
      <c r="P760" s="222">
        <f>M530*P388</f>
        <v>0</v>
      </c>
    </row>
    <row r="761" spans="1:19" hidden="1" outlineLevel="2" x14ac:dyDescent="0.25">
      <c r="B761" s="174" t="s">
        <v>836</v>
      </c>
      <c r="E761" s="185" t="s">
        <v>348</v>
      </c>
      <c r="N761" s="264"/>
      <c r="O761" s="221">
        <f>O757+O759-O758-O760</f>
        <v>0</v>
      </c>
      <c r="P761" s="222">
        <f>P757+P759-P758-P760</f>
        <v>0</v>
      </c>
    </row>
    <row r="762" spans="1:19" hidden="1" outlineLevel="2" x14ac:dyDescent="0.25">
      <c r="B762" s="174" t="s">
        <v>755</v>
      </c>
      <c r="E762" s="185" t="s">
        <v>348</v>
      </c>
      <c r="F762" s="316">
        <f>O761-P761</f>
        <v>0</v>
      </c>
    </row>
    <row r="763" spans="1:19" hidden="1" outlineLevel="2" x14ac:dyDescent="0.25">
      <c r="B763" s="174" t="s">
        <v>754</v>
      </c>
      <c r="E763" s="185" t="s">
        <v>31</v>
      </c>
      <c r="F763" s="191">
        <f>IF(F762=0,0,F756/F762)</f>
        <v>0</v>
      </c>
    </row>
    <row r="764" spans="1:19" hidden="1" outlineLevel="2" x14ac:dyDescent="0.25">
      <c r="B764" s="174" t="s">
        <v>837</v>
      </c>
      <c r="E764" s="185" t="s">
        <v>31</v>
      </c>
      <c r="F764" s="322">
        <f>IF(AND(F762=0,F756&lt;&gt;0),"n.m.",Daten_ALLG!$D$279+F763)</f>
        <v>0.186</v>
      </c>
    </row>
    <row r="765" spans="1:19" hidden="1" outlineLevel="2" x14ac:dyDescent="0.25">
      <c r="E765" s="185"/>
    </row>
  </sheetData>
  <sheetProtection sheet="1" selectLockedCells="1" selectUnlockedCells="1"/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outlinePr summaryBelow="0" summaryRight="0"/>
  </sheetPr>
  <dimension ref="A1:T328"/>
  <sheetViews>
    <sheetView showGridLines="0" zoomScale="85" zoomScaleNormal="85" workbookViewId="0">
      <pane ySplit="1" topLeftCell="A2" activePane="bottomLeft" state="frozen"/>
      <selection pane="bottomLeft"/>
    </sheetView>
  </sheetViews>
  <sheetFormatPr baseColWidth="10" defaultRowHeight="15" outlineLevelRow="1" x14ac:dyDescent="0.25"/>
  <cols>
    <col min="1" max="1" width="4.7109375" customWidth="1"/>
    <col min="2" max="2" width="24.28515625" bestFit="1" customWidth="1"/>
    <col min="3" max="3" width="10.7109375" style="4" bestFit="1" customWidth="1"/>
    <col min="4" max="4" width="11.42578125" style="8"/>
    <col min="5" max="5" width="14" customWidth="1"/>
  </cols>
  <sheetData>
    <row r="1" spans="1:18" s="22" customFormat="1" collapsed="1" x14ac:dyDescent="0.25">
      <c r="A1" s="21" t="s">
        <v>245</v>
      </c>
      <c r="C1" s="23"/>
      <c r="D1" s="24"/>
    </row>
    <row r="2" spans="1:18" s="55" customFormat="1" hidden="1" outlineLevel="1" x14ac:dyDescent="0.25">
      <c r="B2" s="55" t="s">
        <v>62</v>
      </c>
      <c r="C2" s="56"/>
      <c r="D2" s="55" t="s">
        <v>166</v>
      </c>
    </row>
    <row r="3" spans="1:18" s="50" customFormat="1" hidden="1" outlineLevel="1" x14ac:dyDescent="0.25">
      <c r="C3" s="51"/>
      <c r="D3" s="51"/>
      <c r="E3" s="51"/>
      <c r="F3" s="51"/>
    </row>
    <row r="4" spans="1:18" hidden="1" outlineLevel="1" x14ac:dyDescent="0.25">
      <c r="B4" s="5" t="s">
        <v>62</v>
      </c>
      <c r="C4" s="14" t="s">
        <v>64</v>
      </c>
      <c r="D4" s="68">
        <v>13.333333333333334</v>
      </c>
      <c r="E4" s="10" t="s">
        <v>225</v>
      </c>
      <c r="F4" s="69">
        <v>1.1428571428571428</v>
      </c>
    </row>
    <row r="5" spans="1:18" s="55" customFormat="1" hidden="1" outlineLevel="1" x14ac:dyDescent="0.25">
      <c r="B5" s="55" t="s">
        <v>165</v>
      </c>
      <c r="C5" s="56"/>
      <c r="D5" s="55" t="s">
        <v>166</v>
      </c>
      <c r="E5" s="58"/>
      <c r="L5" s="55" t="s">
        <v>166</v>
      </c>
    </row>
    <row r="6" spans="1:18" s="50" customFormat="1" hidden="1" outlineLevel="1" x14ac:dyDescent="0.25">
      <c r="C6" s="51"/>
      <c r="D6" s="51" t="s">
        <v>158</v>
      </c>
      <c r="E6" s="52"/>
      <c r="L6" s="53" t="s">
        <v>858</v>
      </c>
      <c r="P6" s="53" t="s">
        <v>857</v>
      </c>
    </row>
    <row r="7" spans="1:18" hidden="1" outlineLevel="1" x14ac:dyDescent="0.25">
      <c r="B7" t="s">
        <v>162</v>
      </c>
      <c r="C7" s="10" t="s">
        <v>64</v>
      </c>
      <c r="D7" s="68">
        <f>IF(Übersicht!$H$5=Übersicht!$L$5,Daten_ALLG!L7,Daten_ALLG!P7)</f>
        <v>9.60602185258848</v>
      </c>
      <c r="L7" s="73">
        <v>9.60602185258848</v>
      </c>
      <c r="P7" s="73">
        <v>10.910450795029737</v>
      </c>
    </row>
    <row r="8" spans="1:18" hidden="1" outlineLevel="1" x14ac:dyDescent="0.25">
      <c r="B8" t="s">
        <v>163</v>
      </c>
      <c r="C8" s="10" t="s">
        <v>64</v>
      </c>
      <c r="D8" s="68">
        <f>IF(Übersicht!$H$5=Übersicht!$L$5,Daten_ALLG!L8,Daten_ALLG!P8)</f>
        <v>10.60602185258848</v>
      </c>
      <c r="L8" s="73">
        <f>L7+1</f>
        <v>10.60602185258848</v>
      </c>
      <c r="P8" s="73">
        <f>P7+1</f>
        <v>11.910450795029737</v>
      </c>
    </row>
    <row r="9" spans="1:18" s="55" customFormat="1" hidden="1" outlineLevel="1" x14ac:dyDescent="0.25">
      <c r="B9" s="55" t="s">
        <v>164</v>
      </c>
      <c r="C9" s="56"/>
      <c r="D9" s="55" t="s">
        <v>166</v>
      </c>
      <c r="E9" s="58"/>
      <c r="L9" s="55" t="s">
        <v>166</v>
      </c>
    </row>
    <row r="10" spans="1:18" s="50" customFormat="1" hidden="1" outlineLevel="1" x14ac:dyDescent="0.25">
      <c r="C10" s="51"/>
      <c r="D10" s="51" t="s">
        <v>158</v>
      </c>
      <c r="E10" s="51"/>
      <c r="F10" s="51"/>
      <c r="L10" s="53" t="s">
        <v>858</v>
      </c>
      <c r="P10" s="53" t="s">
        <v>857</v>
      </c>
      <c r="Q10" s="51"/>
      <c r="R10" s="51"/>
    </row>
    <row r="11" spans="1:18" hidden="1" outlineLevel="1" x14ac:dyDescent="0.25">
      <c r="B11" t="s">
        <v>159</v>
      </c>
      <c r="C11" s="10" t="s">
        <v>160</v>
      </c>
      <c r="D11" s="70">
        <f>IF(Übersicht!$H$5=Übersicht!$L$5,Daten_ALLG!L11,Daten_ALLG!P11)</f>
        <v>15.621428571428652</v>
      </c>
      <c r="E11" s="16" t="s">
        <v>151</v>
      </c>
      <c r="F11" s="68">
        <f>IF(Übersicht!$H$5=Übersicht!$L$5,Daten_ALLG!N11,Daten_ALLG!R11)</f>
        <v>16.740476190476187</v>
      </c>
      <c r="G11" s="8"/>
      <c r="L11" s="74">
        <v>15.621428571428652</v>
      </c>
      <c r="M11" s="16" t="s">
        <v>151</v>
      </c>
      <c r="N11" s="73">
        <v>16.740476190476187</v>
      </c>
      <c r="P11" s="74">
        <v>-7.5535714285711606</v>
      </c>
      <c r="Q11" s="16" t="s">
        <v>151</v>
      </c>
      <c r="R11" s="73">
        <v>16.719642857142855</v>
      </c>
    </row>
    <row r="12" spans="1:18" hidden="1" outlineLevel="1" x14ac:dyDescent="0.25">
      <c r="B12" t="s">
        <v>161</v>
      </c>
      <c r="C12" s="10" t="s">
        <v>64</v>
      </c>
      <c r="D12" s="68">
        <f>IF(Übersicht!$H$5=Übersicht!$L$5,Daten_ALLG!L12,Daten_ALLG!P12)</f>
        <v>-1.8077478169145271</v>
      </c>
      <c r="E12" s="16" t="s">
        <v>151</v>
      </c>
      <c r="F12" s="69">
        <f>IF(Übersicht!$H$5=Übersicht!$L$5,Daten_ALLG!N12,Daten_ALLG!R12)</f>
        <v>0.5433975377635345</v>
      </c>
      <c r="G12" s="8"/>
      <c r="L12" s="73">
        <v>-1.8077478169145271</v>
      </c>
      <c r="M12" s="16" t="s">
        <v>151</v>
      </c>
      <c r="N12" s="75">
        <v>0.5433975377635345</v>
      </c>
      <c r="P12" s="73">
        <v>-1.4402801005657473</v>
      </c>
      <c r="Q12" s="16" t="s">
        <v>151</v>
      </c>
      <c r="R12" s="75">
        <v>0.54097610723141498</v>
      </c>
    </row>
    <row r="13" spans="1:18" hidden="1" outlineLevel="1" x14ac:dyDescent="0.25">
      <c r="B13" t="s">
        <v>163</v>
      </c>
      <c r="C13" s="10" t="s">
        <v>64</v>
      </c>
      <c r="D13" s="68">
        <f>IF(Übersicht!$H$5=Übersicht!$L$5,Daten_ALLG!L13,Daten_ALLG!P13)</f>
        <v>8.60602185258848</v>
      </c>
      <c r="E13" s="16"/>
      <c r="F13" s="16"/>
      <c r="G13" s="8"/>
      <c r="L13" s="73">
        <f>L8-2</f>
        <v>8.60602185258848</v>
      </c>
      <c r="M13" s="16"/>
      <c r="N13" s="16"/>
      <c r="P13" s="73">
        <f>P8-2</f>
        <v>9.9104507950297371</v>
      </c>
      <c r="Q13" s="16"/>
      <c r="R13" s="16"/>
    </row>
    <row r="14" spans="1:18" s="55" customFormat="1" hidden="1" outlineLevel="1" x14ac:dyDescent="0.25">
      <c r="B14" s="55" t="s">
        <v>118</v>
      </c>
      <c r="C14" s="56"/>
      <c r="D14" s="55" t="s">
        <v>208</v>
      </c>
      <c r="L14" s="55" t="s">
        <v>208</v>
      </c>
    </row>
    <row r="15" spans="1:18" s="50" customFormat="1" hidden="1" outlineLevel="1" x14ac:dyDescent="0.25">
      <c r="C15" s="51"/>
      <c r="D15" s="51" t="s">
        <v>117</v>
      </c>
      <c r="L15" s="53" t="s">
        <v>858</v>
      </c>
      <c r="P15" s="53" t="s">
        <v>857</v>
      </c>
    </row>
    <row r="16" spans="1:18" hidden="1" outlineLevel="1" x14ac:dyDescent="0.25">
      <c r="B16" s="5" t="s">
        <v>119</v>
      </c>
      <c r="C16" s="14" t="s">
        <v>64</v>
      </c>
      <c r="D16" s="70">
        <f>IF(Übersicht!$H$5=Übersicht!$L$5,Daten_ALLG!L16,Daten_ALLG!P16)</f>
        <v>-12</v>
      </c>
      <c r="L16" s="76">
        <v>-12</v>
      </c>
      <c r="P16" s="76">
        <v>-10</v>
      </c>
    </row>
    <row r="17" spans="1:16" hidden="1" outlineLevel="1" x14ac:dyDescent="0.25">
      <c r="B17" s="5" t="s">
        <v>422</v>
      </c>
      <c r="C17" s="14" t="s">
        <v>64</v>
      </c>
      <c r="D17" s="70">
        <f>IF(Übersicht!$H$5=Übersicht!$L$5,Daten_ALLG!L17,Daten_ALLG!P17)</f>
        <v>-2</v>
      </c>
      <c r="L17" s="76">
        <v>-2</v>
      </c>
      <c r="P17" s="76">
        <v>0</v>
      </c>
    </row>
    <row r="18" spans="1:16" s="55" customFormat="1" hidden="1" outlineLevel="1" x14ac:dyDescent="0.25">
      <c r="B18" s="55" t="s">
        <v>139</v>
      </c>
      <c r="C18" s="56"/>
      <c r="D18" s="55" t="s">
        <v>166</v>
      </c>
      <c r="E18" s="58"/>
    </row>
    <row r="19" spans="1:16" s="50" customFormat="1" hidden="1" outlineLevel="1" x14ac:dyDescent="0.25">
      <c r="C19" s="51"/>
      <c r="D19" s="51"/>
      <c r="E19" s="51"/>
      <c r="F19" s="51"/>
    </row>
    <row r="20" spans="1:16" hidden="1" outlineLevel="1" x14ac:dyDescent="0.25">
      <c r="B20" t="s">
        <v>140</v>
      </c>
      <c r="C20" s="10" t="s">
        <v>58</v>
      </c>
      <c r="D20" s="71">
        <v>-430</v>
      </c>
      <c r="E20" s="16" t="s">
        <v>151</v>
      </c>
      <c r="F20" s="71">
        <v>60</v>
      </c>
      <c r="G20" s="8"/>
      <c r="H20" s="8"/>
      <c r="I20" s="8"/>
      <c r="J20" s="8"/>
    </row>
    <row r="21" spans="1:16" s="22" customFormat="1" collapsed="1" x14ac:dyDescent="0.25">
      <c r="A21" s="21" t="s">
        <v>246</v>
      </c>
      <c r="C21" s="23"/>
      <c r="D21" s="24"/>
    </row>
    <row r="22" spans="1:16" s="55" customFormat="1" hidden="1" outlineLevel="1" x14ac:dyDescent="0.25">
      <c r="B22" s="55" t="s">
        <v>111</v>
      </c>
      <c r="D22" s="56" t="s">
        <v>168</v>
      </c>
      <c r="E22" s="58" t="s">
        <v>169</v>
      </c>
      <c r="F22" s="58" t="s">
        <v>169</v>
      </c>
      <c r="L22" s="55" t="s">
        <v>859</v>
      </c>
    </row>
    <row r="23" spans="1:16" s="50" customFormat="1" hidden="1" outlineLevel="1" x14ac:dyDescent="0.25">
      <c r="C23" s="51"/>
      <c r="D23" s="51" t="s">
        <v>223</v>
      </c>
      <c r="L23" s="51">
        <v>2020</v>
      </c>
      <c r="M23" s="51">
        <v>2035</v>
      </c>
      <c r="N23" s="51">
        <v>2050</v>
      </c>
    </row>
    <row r="24" spans="1:16" hidden="1" outlineLevel="1" x14ac:dyDescent="0.25">
      <c r="B24" t="s">
        <v>109</v>
      </c>
      <c r="C24" s="10" t="s">
        <v>110</v>
      </c>
      <c r="D24" s="72">
        <f>IF(Übersicht!$H$3=2020,L24,IF(Übersicht!$H$3=2035,M24,N24))</f>
        <v>81817499</v>
      </c>
      <c r="H24" s="7"/>
      <c r="L24" s="78">
        <v>81817499</v>
      </c>
      <c r="M24" s="78">
        <v>82900000</v>
      </c>
      <c r="N24" s="78">
        <v>80300000</v>
      </c>
    </row>
    <row r="25" spans="1:16" s="55" customFormat="1" hidden="1" outlineLevel="1" x14ac:dyDescent="0.25">
      <c r="B25" s="55" t="s">
        <v>147</v>
      </c>
      <c r="C25" s="56"/>
      <c r="D25" s="55" t="s">
        <v>166</v>
      </c>
      <c r="E25" s="58"/>
    </row>
    <row r="26" spans="1:16" s="50" customFormat="1" hidden="1" outlineLevel="1" x14ac:dyDescent="0.25">
      <c r="D26" s="52"/>
      <c r="E26" s="52"/>
    </row>
    <row r="27" spans="1:16" hidden="1" outlineLevel="1" x14ac:dyDescent="0.25">
      <c r="B27" t="s">
        <v>147</v>
      </c>
      <c r="C27" s="10" t="s">
        <v>64</v>
      </c>
      <c r="D27" s="71">
        <v>21</v>
      </c>
      <c r="E27" s="10"/>
      <c r="F27" s="10"/>
      <c r="G27" s="10"/>
      <c r="H27" s="10"/>
      <c r="I27" s="10"/>
      <c r="J27" s="10"/>
    </row>
    <row r="28" spans="1:16" hidden="1" outlineLevel="1" x14ac:dyDescent="0.25">
      <c r="B28" t="s">
        <v>152</v>
      </c>
      <c r="C28" s="10" t="s">
        <v>153</v>
      </c>
      <c r="D28" s="10" t="s">
        <v>40</v>
      </c>
      <c r="E28" s="10" t="s">
        <v>155</v>
      </c>
      <c r="F28" s="71">
        <v>1.4</v>
      </c>
      <c r="G28" s="10" t="s">
        <v>156</v>
      </c>
      <c r="H28" s="71">
        <v>0.4</v>
      </c>
      <c r="I28" s="10" t="s">
        <v>154</v>
      </c>
      <c r="J28" s="71">
        <v>6.0000000000000001E-3</v>
      </c>
    </row>
    <row r="29" spans="1:16" hidden="1" outlineLevel="1" x14ac:dyDescent="0.25">
      <c r="B29" t="s">
        <v>211</v>
      </c>
      <c r="C29" s="10" t="s">
        <v>64</v>
      </c>
      <c r="D29" s="71">
        <v>13</v>
      </c>
      <c r="E29" s="4"/>
      <c r="F29" s="10"/>
      <c r="G29" s="10"/>
      <c r="H29" s="10"/>
      <c r="I29" s="10"/>
      <c r="J29" s="10"/>
    </row>
    <row r="30" spans="1:16" s="55" customFormat="1" hidden="1" outlineLevel="1" x14ac:dyDescent="0.25">
      <c r="B30" s="55" t="s">
        <v>123</v>
      </c>
      <c r="D30" s="55" t="s">
        <v>208</v>
      </c>
      <c r="E30" s="58"/>
    </row>
    <row r="31" spans="1:16" s="50" customFormat="1" hidden="1" outlineLevel="1" x14ac:dyDescent="0.25">
      <c r="C31" s="51"/>
      <c r="L31" s="51" t="s">
        <v>115</v>
      </c>
      <c r="M31" s="51" t="s">
        <v>114</v>
      </c>
    </row>
    <row r="32" spans="1:16" hidden="1" outlineLevel="1" x14ac:dyDescent="0.25">
      <c r="B32" t="s">
        <v>562</v>
      </c>
      <c r="C32" s="10" t="s">
        <v>124</v>
      </c>
      <c r="L32" s="76">
        <v>0.1</v>
      </c>
      <c r="M32" s="76">
        <v>0.2</v>
      </c>
    </row>
    <row r="33" spans="2:20" hidden="1" outlineLevel="1" x14ac:dyDescent="0.25">
      <c r="B33" t="s">
        <v>125</v>
      </c>
      <c r="C33" s="10" t="s">
        <v>126</v>
      </c>
      <c r="L33" s="76">
        <v>25</v>
      </c>
      <c r="M33" s="76">
        <v>25</v>
      </c>
    </row>
    <row r="34" spans="2:20" s="55" customFormat="1" hidden="1" outlineLevel="1" x14ac:dyDescent="0.25">
      <c r="B34" s="55" t="s">
        <v>384</v>
      </c>
      <c r="C34" s="56"/>
      <c r="D34" s="55" t="s">
        <v>208</v>
      </c>
    </row>
    <row r="35" spans="2:20" s="50" customFormat="1" hidden="1" outlineLevel="1" x14ac:dyDescent="0.25">
      <c r="C35" s="51"/>
      <c r="D35" s="51"/>
      <c r="E35" s="51"/>
      <c r="H35" s="51"/>
      <c r="I35" s="51"/>
    </row>
    <row r="36" spans="2:20" hidden="1" outlineLevel="1" x14ac:dyDescent="0.25">
      <c r="B36" t="s">
        <v>67</v>
      </c>
      <c r="C36" s="10" t="s">
        <v>64</v>
      </c>
      <c r="D36" s="64">
        <f>D8</f>
        <v>10.60602185258848</v>
      </c>
      <c r="E36" s="10"/>
      <c r="H36" s="15"/>
      <c r="I36" s="10"/>
    </row>
    <row r="37" spans="2:20" hidden="1" outlineLevel="1" x14ac:dyDescent="0.25">
      <c r="B37" t="s">
        <v>66</v>
      </c>
      <c r="C37" s="10" t="s">
        <v>64</v>
      </c>
      <c r="D37" s="71">
        <v>55</v>
      </c>
      <c r="E37" s="10"/>
      <c r="H37" s="10"/>
      <c r="I37" s="10"/>
    </row>
    <row r="38" spans="2:20" hidden="1" outlineLevel="1" x14ac:dyDescent="0.25">
      <c r="B38" t="s">
        <v>385</v>
      </c>
      <c r="C38" s="10" t="s">
        <v>64</v>
      </c>
      <c r="D38" s="71">
        <v>50</v>
      </c>
      <c r="E38" s="10"/>
    </row>
    <row r="39" spans="2:20" hidden="1" outlineLevel="1" x14ac:dyDescent="0.25">
      <c r="B39" t="s">
        <v>386</v>
      </c>
      <c r="C39" s="10" t="s">
        <v>64</v>
      </c>
      <c r="D39" s="71">
        <v>30</v>
      </c>
      <c r="E39" s="10"/>
    </row>
    <row r="40" spans="2:20" s="55" customFormat="1" hidden="1" outlineLevel="1" x14ac:dyDescent="0.25">
      <c r="B40" s="55" t="s">
        <v>74</v>
      </c>
      <c r="C40" s="56"/>
      <c r="D40" s="55" t="s">
        <v>208</v>
      </c>
      <c r="L40" s="56" t="s">
        <v>208</v>
      </c>
      <c r="Q40" s="55" t="s">
        <v>856</v>
      </c>
    </row>
    <row r="41" spans="2:20" s="50" customFormat="1" hidden="1" outlineLevel="1" x14ac:dyDescent="0.25">
      <c r="C41" s="51"/>
      <c r="D41" s="51" t="s">
        <v>117</v>
      </c>
      <c r="H41" s="51"/>
      <c r="I41" s="51"/>
      <c r="L41" s="51">
        <v>2020</v>
      </c>
      <c r="M41" s="51">
        <v>2035</v>
      </c>
      <c r="N41" s="51">
        <v>2050</v>
      </c>
      <c r="O41" s="51" t="s">
        <v>223</v>
      </c>
      <c r="Q41" s="51">
        <v>2020</v>
      </c>
      <c r="R41" s="51">
        <v>2030</v>
      </c>
      <c r="S41" s="51">
        <v>2050</v>
      </c>
      <c r="T41" s="51" t="s">
        <v>223</v>
      </c>
    </row>
    <row r="42" spans="2:20" hidden="1" outlineLevel="1" x14ac:dyDescent="0.25">
      <c r="B42" t="s">
        <v>68</v>
      </c>
      <c r="C42" s="10" t="s">
        <v>70</v>
      </c>
      <c r="D42" s="63">
        <v>1.1599999999999999</v>
      </c>
      <c r="L42" s="75">
        <v>1</v>
      </c>
      <c r="M42" s="81">
        <v>1</v>
      </c>
      <c r="N42" s="81">
        <v>1</v>
      </c>
      <c r="O42" s="67">
        <f>IF(Übersicht!$H$3=2020,L42,IF(Übersicht!$H$3=2035,M42,N42))</f>
        <v>1</v>
      </c>
      <c r="Q42" s="75">
        <v>1</v>
      </c>
      <c r="R42" s="81">
        <v>0.85</v>
      </c>
      <c r="S42" s="81">
        <v>0.7</v>
      </c>
      <c r="T42" s="67">
        <f>IF(Übersicht!$H$3=2020,Q42,IF(Übersicht!$H$3=2035,R42,S42))</f>
        <v>1</v>
      </c>
    </row>
    <row r="43" spans="2:20" hidden="1" outlineLevel="1" x14ac:dyDescent="0.25">
      <c r="B43" t="s">
        <v>69</v>
      </c>
      <c r="C43" s="10" t="s">
        <v>71</v>
      </c>
      <c r="D43" s="63">
        <v>30</v>
      </c>
      <c r="L43" s="10"/>
    </row>
    <row r="44" spans="2:20" hidden="1" outlineLevel="1" x14ac:dyDescent="0.25">
      <c r="B44" t="s">
        <v>72</v>
      </c>
      <c r="C44" s="10" t="s">
        <v>73</v>
      </c>
      <c r="D44" s="62">
        <f>(D37-D36)*D42*D43*365/1000</f>
        <v>563.89231042842107</v>
      </c>
      <c r="E44" t="s">
        <v>854</v>
      </c>
      <c r="F44" s="8"/>
      <c r="G44" s="8"/>
      <c r="H44" s="8"/>
      <c r="I44" s="8"/>
      <c r="J44" s="8"/>
    </row>
    <row r="45" spans="2:20" hidden="1" outlineLevel="1" x14ac:dyDescent="0.25">
      <c r="B45" t="s">
        <v>72</v>
      </c>
      <c r="C45" s="10" t="s">
        <v>73</v>
      </c>
      <c r="D45" s="62">
        <v>400</v>
      </c>
      <c r="E45" t="s">
        <v>855</v>
      </c>
      <c r="F45" s="8"/>
      <c r="G45" s="8"/>
      <c r="H45" s="8"/>
      <c r="I45" s="8"/>
      <c r="J45" s="8"/>
    </row>
    <row r="46" spans="2:20" hidden="1" outlineLevel="1" x14ac:dyDescent="0.25">
      <c r="B46" t="s">
        <v>72</v>
      </c>
      <c r="C46" s="10" t="s">
        <v>73</v>
      </c>
      <c r="D46" s="70">
        <f>IF(Übersicht!$H$4=Übersicht!$M$4,MIN(IF(Übersicht!$H$6=Übersicht!$L$6,Daten_ALLG!O42,Daten_ALLG!T42)*D44,Daten_ALLG!D45),IF(Übersicht!$H$6=Übersicht!$L$6,Daten_ALLG!O42,Daten_ALLG!T42)*D44)</f>
        <v>563.89231042842107</v>
      </c>
    </row>
    <row r="47" spans="2:20" s="55" customFormat="1" hidden="1" outlineLevel="1" x14ac:dyDescent="0.25">
      <c r="B47" s="55" t="s">
        <v>134</v>
      </c>
      <c r="D47" s="56" t="s">
        <v>170</v>
      </c>
      <c r="E47" s="58"/>
      <c r="F47" s="58"/>
      <c r="L47" s="56" t="s">
        <v>208</v>
      </c>
      <c r="Q47" s="55" t="s">
        <v>856</v>
      </c>
    </row>
    <row r="48" spans="2:20" s="50" customFormat="1" hidden="1" outlineLevel="1" x14ac:dyDescent="0.25">
      <c r="C48" s="51"/>
      <c r="D48" s="51"/>
      <c r="E48" s="52"/>
      <c r="L48" s="51">
        <v>2020</v>
      </c>
      <c r="M48" s="51">
        <v>2035</v>
      </c>
      <c r="N48" s="51">
        <v>2050</v>
      </c>
      <c r="O48" s="51" t="s">
        <v>223</v>
      </c>
      <c r="Q48" s="51">
        <v>2020</v>
      </c>
      <c r="R48" s="51">
        <v>2030</v>
      </c>
      <c r="S48" s="51">
        <v>2050</v>
      </c>
      <c r="T48" s="51" t="s">
        <v>223</v>
      </c>
    </row>
    <row r="49" spans="1:20" hidden="1" outlineLevel="1" x14ac:dyDescent="0.25">
      <c r="B49" t="s">
        <v>135</v>
      </c>
      <c r="C49" s="10" t="s">
        <v>136</v>
      </c>
      <c r="D49" s="63">
        <v>1250</v>
      </c>
      <c r="E49" s="4" t="s">
        <v>224</v>
      </c>
      <c r="F49" s="8"/>
      <c r="G49" s="8"/>
      <c r="H49" s="8"/>
      <c r="I49" s="8"/>
      <c r="J49" s="8"/>
      <c r="L49" s="75">
        <v>1</v>
      </c>
      <c r="M49" s="81">
        <v>1</v>
      </c>
      <c r="N49" s="81">
        <v>1</v>
      </c>
      <c r="O49" s="67">
        <f>IF(Übersicht!$H$3=2020,L49,IF(Übersicht!$H$3=2035,M49,N49))</f>
        <v>1</v>
      </c>
      <c r="Q49" s="75">
        <v>1</v>
      </c>
      <c r="R49" s="81">
        <v>0.85</v>
      </c>
      <c r="S49" s="81">
        <v>0.7</v>
      </c>
      <c r="T49" s="67">
        <f>IF(Übersicht!$H$3=2020,Q49,IF(Übersicht!$H$3=2035,R49,S49))</f>
        <v>1</v>
      </c>
    </row>
    <row r="50" spans="1:20" hidden="1" outlineLevel="1" x14ac:dyDescent="0.25">
      <c r="B50" t="s">
        <v>135</v>
      </c>
      <c r="C50" s="10" t="s">
        <v>136</v>
      </c>
      <c r="D50" s="70">
        <f>IF(Übersicht!$H$6=Übersicht!$L$6,Daten_ALLG!O49,Daten_ALLG!T49)*D49</f>
        <v>1250</v>
      </c>
      <c r="E50" s="4"/>
      <c r="F50" s="8"/>
      <c r="G50" s="8"/>
      <c r="H50" s="8"/>
      <c r="I50" s="8"/>
      <c r="J50" s="8"/>
    </row>
    <row r="51" spans="1:20" s="55" customFormat="1" hidden="1" outlineLevel="1" x14ac:dyDescent="0.25">
      <c r="B51" s="55" t="s">
        <v>148</v>
      </c>
      <c r="D51" s="56" t="s">
        <v>627</v>
      </c>
      <c r="E51" s="58"/>
    </row>
    <row r="52" spans="1:20" s="50" customFormat="1" hidden="1" outlineLevel="1" x14ac:dyDescent="0.25">
      <c r="D52" s="52"/>
      <c r="E52" s="52"/>
    </row>
    <row r="53" spans="1:20" hidden="1" outlineLevel="1" x14ac:dyDescent="0.25">
      <c r="B53" t="s">
        <v>135</v>
      </c>
      <c r="C53" s="10" t="s">
        <v>149</v>
      </c>
      <c r="D53" s="61">
        <f>D50/8760*0.7</f>
        <v>9.9885844748858449E-2</v>
      </c>
      <c r="E53" s="4" t="s">
        <v>805</v>
      </c>
      <c r="F53" s="8"/>
      <c r="G53" s="8"/>
      <c r="H53" s="8"/>
      <c r="I53" s="8"/>
      <c r="J53" s="8"/>
    </row>
    <row r="54" spans="1:20" hidden="1" outlineLevel="1" x14ac:dyDescent="0.25">
      <c r="B54" t="s">
        <v>150</v>
      </c>
      <c r="C54" s="10" t="s">
        <v>149</v>
      </c>
      <c r="D54" s="61">
        <f>80*15/24/1000</f>
        <v>0.05</v>
      </c>
      <c r="E54" s="4"/>
      <c r="F54" s="8"/>
      <c r="G54" s="8"/>
      <c r="H54" s="8"/>
      <c r="I54" s="8"/>
      <c r="J54" s="8"/>
    </row>
    <row r="55" spans="1:20" hidden="1" outlineLevel="1" x14ac:dyDescent="0.25">
      <c r="B55" t="s">
        <v>44</v>
      </c>
      <c r="C55" s="10" t="s">
        <v>149</v>
      </c>
      <c r="D55" s="59">
        <f>SUM(D53:D54)</f>
        <v>0.14988584474885847</v>
      </c>
    </row>
    <row r="56" spans="1:20" s="22" customFormat="1" collapsed="1" x14ac:dyDescent="0.25">
      <c r="A56" s="21" t="s">
        <v>256</v>
      </c>
      <c r="C56" s="23"/>
      <c r="D56" s="24"/>
    </row>
    <row r="57" spans="1:20" s="55" customFormat="1" hidden="1" outlineLevel="1" x14ac:dyDescent="0.25">
      <c r="B57" s="55" t="s">
        <v>214</v>
      </c>
      <c r="C57" s="56"/>
      <c r="D57" s="55" t="s">
        <v>166</v>
      </c>
      <c r="E57" s="58"/>
    </row>
    <row r="58" spans="1:20" s="50" customFormat="1" hidden="1" outlineLevel="1" x14ac:dyDescent="0.25">
      <c r="C58" s="51"/>
      <c r="D58" s="51"/>
      <c r="E58" s="51"/>
      <c r="F58" s="51"/>
    </row>
    <row r="59" spans="1:20" hidden="1" outlineLevel="1" x14ac:dyDescent="0.25">
      <c r="B59" t="s">
        <v>217</v>
      </c>
      <c r="C59" s="10" t="s">
        <v>13</v>
      </c>
      <c r="D59" s="69">
        <v>0.10037813681677556</v>
      </c>
      <c r="E59" s="10" t="s">
        <v>218</v>
      </c>
      <c r="F59" s="69">
        <v>0.42411137848057734</v>
      </c>
    </row>
    <row r="60" spans="1:20" hidden="1" outlineLevel="1" x14ac:dyDescent="0.25">
      <c r="B60" t="s">
        <v>215</v>
      </c>
      <c r="C60" s="10" t="s">
        <v>13</v>
      </c>
      <c r="D60" s="71">
        <v>0.4</v>
      </c>
      <c r="E60" s="4" t="s">
        <v>216</v>
      </c>
    </row>
    <row r="61" spans="1:20" s="55" customFormat="1" hidden="1" outlineLevel="1" x14ac:dyDescent="0.25">
      <c r="B61" s="55" t="s">
        <v>314</v>
      </c>
      <c r="C61" s="56"/>
      <c r="D61" s="55" t="s">
        <v>167</v>
      </c>
      <c r="E61" s="58"/>
    </row>
    <row r="62" spans="1:20" s="50" customFormat="1" hidden="1" outlineLevel="1" x14ac:dyDescent="0.25">
      <c r="C62" s="51"/>
      <c r="D62" s="51"/>
      <c r="E62" s="51"/>
      <c r="F62" s="51"/>
    </row>
    <row r="63" spans="1:20" hidden="1" outlineLevel="1" x14ac:dyDescent="0.25">
      <c r="B63" t="s">
        <v>315</v>
      </c>
      <c r="C63" s="10" t="s">
        <v>316</v>
      </c>
      <c r="D63" s="71">
        <v>3.5000000000000003E-2</v>
      </c>
    </row>
    <row r="64" spans="1:20" s="55" customFormat="1" hidden="1" outlineLevel="1" x14ac:dyDescent="0.25">
      <c r="B64" s="55" t="s">
        <v>629</v>
      </c>
      <c r="C64" s="56"/>
      <c r="D64" s="55" t="s">
        <v>167</v>
      </c>
      <c r="E64" s="58"/>
    </row>
    <row r="65" spans="1:13" s="50" customFormat="1" hidden="1" outlineLevel="1" x14ac:dyDescent="0.25">
      <c r="C65" s="51"/>
      <c r="D65" s="51"/>
      <c r="E65" s="51"/>
      <c r="F65" s="51"/>
    </row>
    <row r="66" spans="1:13" hidden="1" outlineLevel="1" x14ac:dyDescent="0.25">
      <c r="B66" t="s">
        <v>630</v>
      </c>
      <c r="C66" s="10" t="s">
        <v>13</v>
      </c>
      <c r="D66" s="71">
        <v>0.5</v>
      </c>
    </row>
    <row r="67" spans="1:13" hidden="1" outlineLevel="1" x14ac:dyDescent="0.25">
      <c r="B67" t="s">
        <v>631</v>
      </c>
      <c r="C67" s="10" t="s">
        <v>13</v>
      </c>
      <c r="D67" s="71">
        <v>0.9</v>
      </c>
      <c r="E67" t="s">
        <v>632</v>
      </c>
    </row>
    <row r="68" spans="1:13" s="55" customFormat="1" hidden="1" outlineLevel="1" x14ac:dyDescent="0.25">
      <c r="B68" s="55" t="s">
        <v>141</v>
      </c>
      <c r="E68" s="58"/>
      <c r="L68" s="55" t="s">
        <v>166</v>
      </c>
    </row>
    <row r="69" spans="1:13" s="50" customFormat="1" hidden="1" outlineLevel="1" x14ac:dyDescent="0.25">
      <c r="C69" s="51"/>
      <c r="D69" s="51"/>
      <c r="E69" s="51"/>
      <c r="F69" s="51"/>
      <c r="L69" s="51" t="s">
        <v>115</v>
      </c>
      <c r="M69" s="51" t="s">
        <v>114</v>
      </c>
    </row>
    <row r="70" spans="1:13" hidden="1" outlineLevel="1" x14ac:dyDescent="0.25">
      <c r="B70" t="s">
        <v>322</v>
      </c>
      <c r="C70" s="10" t="s">
        <v>63</v>
      </c>
      <c r="L70" s="77">
        <v>-0.02</v>
      </c>
      <c r="M70" s="77">
        <v>-0.05</v>
      </c>
    </row>
    <row r="71" spans="1:13" hidden="1" outlineLevel="1" x14ac:dyDescent="0.25">
      <c r="C71" s="10"/>
      <c r="L71" s="10" t="s">
        <v>320</v>
      </c>
      <c r="M71" s="10" t="s">
        <v>320</v>
      </c>
    </row>
    <row r="72" spans="1:13" hidden="1" outlineLevel="1" x14ac:dyDescent="0.25">
      <c r="C72" s="10"/>
      <c r="E72" s="10"/>
      <c r="L72" s="77">
        <v>2.6000000000000002E-2</v>
      </c>
      <c r="M72" s="77">
        <v>6.5000000000000002E-2</v>
      </c>
    </row>
    <row r="73" spans="1:13" s="22" customFormat="1" collapsed="1" x14ac:dyDescent="0.25">
      <c r="A73" s="21" t="s">
        <v>249</v>
      </c>
      <c r="C73" s="23"/>
      <c r="D73" s="24"/>
    </row>
    <row r="74" spans="1:13" s="55" customFormat="1" hidden="1" outlineLevel="1" x14ac:dyDescent="0.25">
      <c r="B74" s="55" t="s">
        <v>408</v>
      </c>
      <c r="C74" s="56"/>
      <c r="D74" s="55" t="s">
        <v>166</v>
      </c>
      <c r="E74" s="58"/>
    </row>
    <row r="75" spans="1:13" s="50" customFormat="1" hidden="1" outlineLevel="1" x14ac:dyDescent="0.25">
      <c r="C75" s="51"/>
      <c r="D75" s="51"/>
      <c r="E75" s="51"/>
      <c r="F75" s="51"/>
    </row>
    <row r="76" spans="1:13" hidden="1" outlineLevel="1" x14ac:dyDescent="0.25">
      <c r="B76" t="s">
        <v>173</v>
      </c>
      <c r="C76" s="10" t="s">
        <v>64</v>
      </c>
      <c r="D76" s="68">
        <v>23.769886363636367</v>
      </c>
      <c r="E76" s="16" t="s">
        <v>175</v>
      </c>
      <c r="F76" s="68">
        <v>8.0113636363636331</v>
      </c>
    </row>
    <row r="77" spans="1:13" hidden="1" outlineLevel="1" x14ac:dyDescent="0.25">
      <c r="B77" t="s">
        <v>174</v>
      </c>
      <c r="C77" s="10" t="s">
        <v>64</v>
      </c>
      <c r="D77" s="68">
        <v>23.407670454545457</v>
      </c>
      <c r="E77" s="16" t="s">
        <v>175</v>
      </c>
      <c r="F77" s="68">
        <v>3.0965909090909083</v>
      </c>
    </row>
    <row r="78" spans="1:13" s="55" customFormat="1" hidden="1" outlineLevel="1" x14ac:dyDescent="0.25">
      <c r="B78" s="55" t="s">
        <v>409</v>
      </c>
      <c r="C78" s="56"/>
      <c r="D78" s="55" t="s">
        <v>166</v>
      </c>
      <c r="E78" s="58"/>
    </row>
    <row r="79" spans="1:13" s="50" customFormat="1" hidden="1" outlineLevel="1" x14ac:dyDescent="0.25">
      <c r="C79" s="51"/>
      <c r="D79" s="51"/>
      <c r="E79" s="51"/>
      <c r="F79" s="51"/>
    </row>
    <row r="80" spans="1:13" hidden="1" outlineLevel="1" x14ac:dyDescent="0.25">
      <c r="B80" t="s">
        <v>173</v>
      </c>
      <c r="C80" s="10" t="s">
        <v>64</v>
      </c>
      <c r="D80" s="68">
        <v>30.000000000000004</v>
      </c>
      <c r="E80" s="16" t="s">
        <v>175</v>
      </c>
      <c r="F80" s="68">
        <v>19.999999999999996</v>
      </c>
    </row>
    <row r="81" spans="2:6" hidden="1" outlineLevel="1" x14ac:dyDescent="0.25">
      <c r="B81" t="s">
        <v>174</v>
      </c>
      <c r="C81" s="10" t="s">
        <v>64</v>
      </c>
      <c r="D81" s="68">
        <v>29.750000000000004</v>
      </c>
      <c r="E81" s="16" t="s">
        <v>175</v>
      </c>
      <c r="F81" s="68">
        <v>7</v>
      </c>
    </row>
    <row r="82" spans="2:6" s="55" customFormat="1" hidden="1" outlineLevel="1" x14ac:dyDescent="0.25">
      <c r="B82" s="55" t="s">
        <v>421</v>
      </c>
      <c r="C82" s="56"/>
      <c r="D82" s="55" t="s">
        <v>166</v>
      </c>
      <c r="E82" s="58"/>
    </row>
    <row r="83" spans="2:6" s="50" customFormat="1" hidden="1" outlineLevel="1" x14ac:dyDescent="0.25">
      <c r="C83" s="51"/>
      <c r="D83" s="51"/>
      <c r="E83" s="51"/>
      <c r="F83" s="51"/>
    </row>
    <row r="84" spans="2:6" hidden="1" outlineLevel="1" x14ac:dyDescent="0.25">
      <c r="B84" t="s">
        <v>173</v>
      </c>
      <c r="C84" s="10" t="s">
        <v>64</v>
      </c>
      <c r="D84" s="68">
        <v>25.090909090909093</v>
      </c>
      <c r="E84" s="16" t="s">
        <v>175</v>
      </c>
      <c r="F84" s="68">
        <v>9.0909090909090899</v>
      </c>
    </row>
    <row r="85" spans="2:6" hidden="1" outlineLevel="1" x14ac:dyDescent="0.25">
      <c r="B85" t="s">
        <v>174</v>
      </c>
      <c r="C85" s="10" t="s">
        <v>64</v>
      </c>
      <c r="D85" s="68">
        <v>24.977272727272734</v>
      </c>
      <c r="E85" s="16" t="s">
        <v>175</v>
      </c>
      <c r="F85" s="68">
        <v>3.1818181818181803</v>
      </c>
    </row>
    <row r="86" spans="2:6" s="55" customFormat="1" hidden="1" outlineLevel="1" x14ac:dyDescent="0.25">
      <c r="B86" s="55" t="s">
        <v>182</v>
      </c>
      <c r="C86" s="56"/>
      <c r="D86" s="55" t="s">
        <v>186</v>
      </c>
      <c r="E86" s="58"/>
    </row>
    <row r="87" spans="2:6" s="50" customFormat="1" hidden="1" outlineLevel="1" x14ac:dyDescent="0.25">
      <c r="C87" s="51"/>
      <c r="D87" s="51"/>
      <c r="E87" s="51"/>
    </row>
    <row r="88" spans="2:6" hidden="1" outlineLevel="1" x14ac:dyDescent="0.25">
      <c r="B88" t="s">
        <v>176</v>
      </c>
      <c r="C88" s="10" t="s">
        <v>177</v>
      </c>
      <c r="D88" s="69">
        <v>0.25</v>
      </c>
      <c r="E88" s="10" t="s">
        <v>183</v>
      </c>
    </row>
    <row r="89" spans="2:6" hidden="1" outlineLevel="1" x14ac:dyDescent="0.25">
      <c r="B89" t="s">
        <v>184</v>
      </c>
      <c r="C89" s="10" t="s">
        <v>185</v>
      </c>
      <c r="D89" s="69">
        <v>0.15</v>
      </c>
      <c r="E89" s="10" t="s">
        <v>183</v>
      </c>
    </row>
    <row r="90" spans="2:6" s="55" customFormat="1" hidden="1" outlineLevel="1" x14ac:dyDescent="0.25">
      <c r="B90" s="55" t="s">
        <v>187</v>
      </c>
      <c r="C90" s="56"/>
      <c r="D90" s="55" t="s">
        <v>186</v>
      </c>
      <c r="E90" s="58"/>
    </row>
    <row r="91" spans="2:6" s="50" customFormat="1" hidden="1" outlineLevel="1" x14ac:dyDescent="0.25">
      <c r="D91" s="53"/>
      <c r="E91" s="52"/>
    </row>
    <row r="92" spans="2:6" hidden="1" outlineLevel="1" x14ac:dyDescent="0.25">
      <c r="B92" t="s">
        <v>176</v>
      </c>
      <c r="C92" s="10" t="s">
        <v>177</v>
      </c>
      <c r="D92" s="69">
        <v>0.2</v>
      </c>
      <c r="E92" s="10" t="s">
        <v>188</v>
      </c>
      <c r="F92" s="10" t="s">
        <v>196</v>
      </c>
    </row>
    <row r="93" spans="2:6" hidden="1" outlineLevel="1" x14ac:dyDescent="0.25">
      <c r="B93" t="s">
        <v>192</v>
      </c>
      <c r="C93" s="10" t="s">
        <v>185</v>
      </c>
      <c r="D93" s="69">
        <v>0.1</v>
      </c>
      <c r="E93" s="10"/>
      <c r="F93" s="10" t="s">
        <v>13</v>
      </c>
    </row>
    <row r="94" spans="2:6" hidden="1" outlineLevel="1" x14ac:dyDescent="0.25">
      <c r="B94" t="s">
        <v>193</v>
      </c>
      <c r="C94" s="10" t="s">
        <v>185</v>
      </c>
      <c r="D94" s="69">
        <v>0.2</v>
      </c>
      <c r="E94" s="10"/>
      <c r="F94" s="68">
        <v>1.3</v>
      </c>
    </row>
    <row r="95" spans="2:6" hidden="1" outlineLevel="1" x14ac:dyDescent="0.25">
      <c r="B95" t="s">
        <v>197</v>
      </c>
      <c r="C95" s="10" t="s">
        <v>185</v>
      </c>
      <c r="D95" s="69">
        <v>0.05</v>
      </c>
      <c r="E95" s="10"/>
      <c r="F95" s="68">
        <v>2</v>
      </c>
    </row>
    <row r="96" spans="2:6" s="55" customFormat="1" hidden="1" outlineLevel="1" x14ac:dyDescent="0.25">
      <c r="B96" s="55" t="s">
        <v>205</v>
      </c>
      <c r="C96" s="56"/>
      <c r="D96" s="55" t="s">
        <v>208</v>
      </c>
      <c r="E96" s="58"/>
    </row>
    <row r="97" spans="1:13" s="50" customFormat="1" hidden="1" outlineLevel="1" x14ac:dyDescent="0.25">
      <c r="C97" s="51"/>
      <c r="D97" s="51"/>
      <c r="E97" s="52"/>
    </row>
    <row r="98" spans="1:13" hidden="1" outlineLevel="1" x14ac:dyDescent="0.25">
      <c r="B98" t="s">
        <v>220</v>
      </c>
      <c r="C98" s="10" t="s">
        <v>206</v>
      </c>
      <c r="D98" s="71">
        <v>50</v>
      </c>
    </row>
    <row r="99" spans="1:13" s="55" customFormat="1" hidden="1" outlineLevel="1" x14ac:dyDescent="0.25">
      <c r="B99" s="55" t="s">
        <v>198</v>
      </c>
      <c r="C99" s="56"/>
      <c r="D99" s="55" t="s">
        <v>166</v>
      </c>
      <c r="E99" s="58"/>
    </row>
    <row r="100" spans="1:13" s="50" customFormat="1" hidden="1" outlineLevel="1" x14ac:dyDescent="0.25">
      <c r="C100" s="51"/>
      <c r="D100" s="51"/>
      <c r="E100" s="51"/>
      <c r="F100" s="51"/>
    </row>
    <row r="101" spans="1:13" hidden="1" outlineLevel="1" x14ac:dyDescent="0.25">
      <c r="B101" t="s">
        <v>463</v>
      </c>
      <c r="C101" s="10" t="s">
        <v>202</v>
      </c>
      <c r="D101" s="71">
        <v>20</v>
      </c>
      <c r="E101" s="10" t="s">
        <v>203</v>
      </c>
      <c r="F101" s="71">
        <v>60</v>
      </c>
    </row>
    <row r="102" spans="1:13" hidden="1" outlineLevel="1" x14ac:dyDescent="0.25">
      <c r="B102" t="s">
        <v>204</v>
      </c>
      <c r="C102" s="10" t="s">
        <v>628</v>
      </c>
      <c r="D102" s="71">
        <v>60</v>
      </c>
      <c r="E102" s="10"/>
      <c r="F102" s="10"/>
    </row>
    <row r="103" spans="1:13" s="55" customFormat="1" hidden="1" outlineLevel="1" x14ac:dyDescent="0.25">
      <c r="B103" s="55" t="s">
        <v>210</v>
      </c>
      <c r="C103" s="56"/>
      <c r="D103" s="56"/>
      <c r="E103" s="58"/>
      <c r="L103" s="55" t="s">
        <v>219</v>
      </c>
    </row>
    <row r="104" spans="1:13" s="50" customFormat="1" hidden="1" outlineLevel="1" x14ac:dyDescent="0.25">
      <c r="C104" s="51"/>
      <c r="D104" s="51"/>
      <c r="E104" s="51"/>
      <c r="F104" s="51"/>
      <c r="L104" s="51" t="s">
        <v>115</v>
      </c>
      <c r="M104" s="51" t="s">
        <v>114</v>
      </c>
    </row>
    <row r="105" spans="1:13" hidden="1" outlineLevel="1" x14ac:dyDescent="0.25">
      <c r="B105" t="s">
        <v>633</v>
      </c>
      <c r="C105" s="10" t="s">
        <v>806</v>
      </c>
      <c r="L105" s="77">
        <v>7.0000000000000007E-2</v>
      </c>
      <c r="M105" s="77">
        <v>0.105</v>
      </c>
    </row>
    <row r="106" spans="1:13" hidden="1" outlineLevel="1" x14ac:dyDescent="0.25">
      <c r="C106" s="10"/>
      <c r="L106" s="10" t="s">
        <v>209</v>
      </c>
      <c r="M106" s="10" t="s">
        <v>209</v>
      </c>
    </row>
    <row r="107" spans="1:13" hidden="1" outlineLevel="1" x14ac:dyDescent="0.25">
      <c r="C107" s="10"/>
      <c r="E107" s="10"/>
      <c r="L107" s="76">
        <v>0.57399999999999995</v>
      </c>
      <c r="M107" s="76">
        <v>0.57399999999999995</v>
      </c>
    </row>
    <row r="108" spans="1:13" s="22" customFormat="1" collapsed="1" x14ac:dyDescent="0.25">
      <c r="A108" s="21" t="s">
        <v>250</v>
      </c>
      <c r="C108" s="23"/>
      <c r="D108" s="24"/>
    </row>
    <row r="109" spans="1:13" s="55" customFormat="1" hidden="1" outlineLevel="1" x14ac:dyDescent="0.25">
      <c r="B109" s="55" t="s">
        <v>430</v>
      </c>
      <c r="C109" s="56"/>
      <c r="D109" s="55" t="s">
        <v>208</v>
      </c>
      <c r="E109" s="58"/>
    </row>
    <row r="110" spans="1:13" s="50" customFormat="1" hidden="1" outlineLevel="1" x14ac:dyDescent="0.25">
      <c r="D110" s="51"/>
      <c r="E110" s="51"/>
      <c r="F110" s="51"/>
    </row>
    <row r="111" spans="1:13" hidden="1" outlineLevel="1" x14ac:dyDescent="0.25">
      <c r="B111" t="s">
        <v>21</v>
      </c>
      <c r="C111" s="10" t="s">
        <v>368</v>
      </c>
      <c r="D111" s="71">
        <v>6</v>
      </c>
    </row>
    <row r="112" spans="1:13" hidden="1" outlineLevel="1" x14ac:dyDescent="0.25">
      <c r="B112" t="s">
        <v>402</v>
      </c>
      <c r="C112" s="10" t="s">
        <v>368</v>
      </c>
      <c r="D112" s="70">
        <v>10</v>
      </c>
    </row>
    <row r="113" spans="2:13" hidden="1" outlineLevel="1" x14ac:dyDescent="0.25">
      <c r="B113" t="s">
        <v>403</v>
      </c>
      <c r="C113" s="10" t="s">
        <v>368</v>
      </c>
      <c r="D113" s="70">
        <v>10</v>
      </c>
    </row>
    <row r="114" spans="2:13" s="55" customFormat="1" hidden="1" outlineLevel="1" x14ac:dyDescent="0.25">
      <c r="B114" s="55" t="s">
        <v>222</v>
      </c>
      <c r="C114" s="56"/>
      <c r="D114" s="56"/>
      <c r="E114" s="58"/>
      <c r="L114" s="55" t="s">
        <v>208</v>
      </c>
    </row>
    <row r="115" spans="2:13" s="50" customFormat="1" hidden="1" outlineLevel="1" x14ac:dyDescent="0.25">
      <c r="L115" s="51" t="s">
        <v>115</v>
      </c>
      <c r="M115" s="51" t="s">
        <v>114</v>
      </c>
    </row>
    <row r="116" spans="2:13" hidden="1" outlineLevel="1" x14ac:dyDescent="0.25">
      <c r="B116" t="s">
        <v>21</v>
      </c>
      <c r="C116" s="10" t="s">
        <v>13</v>
      </c>
      <c r="L116" s="75">
        <v>0.75</v>
      </c>
      <c r="M116" s="75">
        <v>0.7</v>
      </c>
    </row>
    <row r="117" spans="2:13" hidden="1" outlineLevel="1" x14ac:dyDescent="0.25">
      <c r="B117" t="s">
        <v>402</v>
      </c>
      <c r="C117" s="10" t="s">
        <v>13</v>
      </c>
      <c r="L117" s="75">
        <v>0.8</v>
      </c>
      <c r="M117" s="75">
        <v>0.75</v>
      </c>
    </row>
    <row r="118" spans="2:13" hidden="1" outlineLevel="1" x14ac:dyDescent="0.25">
      <c r="B118" t="s">
        <v>403</v>
      </c>
      <c r="C118" s="10" t="s">
        <v>13</v>
      </c>
      <c r="L118" s="75">
        <v>0.93</v>
      </c>
      <c r="M118" s="75">
        <v>0.88</v>
      </c>
    </row>
    <row r="119" spans="2:13" hidden="1" outlineLevel="1" x14ac:dyDescent="0.25">
      <c r="B119" t="s">
        <v>8</v>
      </c>
      <c r="C119" s="10" t="s">
        <v>13</v>
      </c>
      <c r="L119" s="75">
        <v>0.99</v>
      </c>
      <c r="M119" s="75">
        <v>0.98</v>
      </c>
    </row>
    <row r="120" spans="2:13" hidden="1" outlineLevel="1" x14ac:dyDescent="0.25">
      <c r="B120" t="s">
        <v>7</v>
      </c>
      <c r="C120" s="10" t="s">
        <v>13</v>
      </c>
      <c r="L120" s="75">
        <v>1</v>
      </c>
      <c r="M120" s="75">
        <v>1</v>
      </c>
    </row>
    <row r="121" spans="2:13" s="55" customFormat="1" hidden="1" outlineLevel="1" x14ac:dyDescent="0.25">
      <c r="B121" s="55" t="s">
        <v>232</v>
      </c>
      <c r="C121" s="56"/>
      <c r="D121" s="55" t="s">
        <v>166</v>
      </c>
      <c r="E121" s="58"/>
    </row>
    <row r="122" spans="2:13" s="50" customFormat="1" hidden="1" outlineLevel="1" x14ac:dyDescent="0.25">
      <c r="D122" s="53"/>
      <c r="E122" s="52"/>
    </row>
    <row r="123" spans="2:13" hidden="1" outlineLevel="1" x14ac:dyDescent="0.25">
      <c r="B123" t="s">
        <v>235</v>
      </c>
      <c r="C123" s="10" t="s">
        <v>13</v>
      </c>
      <c r="D123" s="71">
        <v>-2</v>
      </c>
    </row>
    <row r="124" spans="2:13" hidden="1" outlineLevel="1" x14ac:dyDescent="0.25">
      <c r="B124" t="s">
        <v>234</v>
      </c>
      <c r="C124" s="10" t="s">
        <v>13</v>
      </c>
      <c r="D124" s="71">
        <f>F124*D123^2+H124*D123+J124</f>
        <v>0.88800000000000001</v>
      </c>
      <c r="F124" s="63">
        <v>-1.6000000000000001E-3</v>
      </c>
      <c r="G124" t="s">
        <v>233</v>
      </c>
      <c r="H124" s="63">
        <v>-3.5299999999999998E-2</v>
      </c>
      <c r="I124" t="s">
        <v>233</v>
      </c>
      <c r="J124" s="63">
        <v>0.82379999999999998</v>
      </c>
    </row>
    <row r="125" spans="2:13" s="55" customFormat="1" hidden="1" outlineLevel="1" x14ac:dyDescent="0.25">
      <c r="B125" s="55" t="s">
        <v>236</v>
      </c>
      <c r="C125" s="56"/>
      <c r="D125" s="55" t="s">
        <v>208</v>
      </c>
      <c r="E125" s="58"/>
    </row>
    <row r="126" spans="2:13" s="50" customFormat="1" hidden="1" outlineLevel="1" x14ac:dyDescent="0.25">
      <c r="D126" s="53"/>
      <c r="E126" s="52"/>
    </row>
    <row r="127" spans="2:13" hidden="1" outlineLevel="1" x14ac:dyDescent="0.25">
      <c r="B127" t="s">
        <v>237</v>
      </c>
      <c r="C127" s="10" t="s">
        <v>153</v>
      </c>
      <c r="D127" s="71">
        <v>-6</v>
      </c>
    </row>
    <row r="128" spans="2:13" hidden="1" outlineLevel="1" x14ac:dyDescent="0.25">
      <c r="B128" t="s">
        <v>238</v>
      </c>
      <c r="C128" s="10" t="s">
        <v>153</v>
      </c>
      <c r="D128" s="71">
        <v>2</v>
      </c>
      <c r="F128" s="10"/>
      <c r="H128" s="10"/>
      <c r="J128" s="10"/>
    </row>
    <row r="129" spans="1:13" hidden="1" outlineLevel="1" x14ac:dyDescent="0.25">
      <c r="B129" t="s">
        <v>239</v>
      </c>
      <c r="C129" s="10" t="s">
        <v>64</v>
      </c>
      <c r="D129" s="71">
        <v>35</v>
      </c>
    </row>
    <row r="130" spans="1:13" hidden="1" outlineLevel="1" x14ac:dyDescent="0.25">
      <c r="B130" t="s">
        <v>240</v>
      </c>
      <c r="C130" s="10" t="s">
        <v>64</v>
      </c>
      <c r="D130" s="71">
        <v>0</v>
      </c>
    </row>
    <row r="131" spans="1:13" hidden="1" outlineLevel="1" x14ac:dyDescent="0.25">
      <c r="B131" t="s">
        <v>241</v>
      </c>
      <c r="C131" s="10" t="s">
        <v>64</v>
      </c>
      <c r="D131" s="71">
        <v>2</v>
      </c>
    </row>
    <row r="132" spans="1:13" hidden="1" outlineLevel="1" x14ac:dyDescent="0.25">
      <c r="B132" t="s">
        <v>242</v>
      </c>
      <c r="C132" s="10" t="s">
        <v>13</v>
      </c>
      <c r="D132" s="59">
        <v>0.36363636363636409</v>
      </c>
      <c r="E132" s="16" t="s">
        <v>243</v>
      </c>
      <c r="F132" s="59">
        <v>1.8181818181818167E-2</v>
      </c>
    </row>
    <row r="133" spans="1:13" s="55" customFormat="1" hidden="1" outlineLevel="1" x14ac:dyDescent="0.25">
      <c r="B133" s="55" t="s">
        <v>244</v>
      </c>
      <c r="C133" s="56"/>
      <c r="D133" s="56"/>
      <c r="E133" s="58"/>
      <c r="L133" s="55" t="s">
        <v>208</v>
      </c>
    </row>
    <row r="134" spans="1:13" s="50" customFormat="1" hidden="1" outlineLevel="1" x14ac:dyDescent="0.25">
      <c r="D134" s="51"/>
      <c r="E134" s="51"/>
      <c r="F134" s="51"/>
      <c r="L134" s="51" t="s">
        <v>115</v>
      </c>
      <c r="M134" s="51" t="s">
        <v>114</v>
      </c>
    </row>
    <row r="135" spans="1:13" hidden="1" outlineLevel="1" x14ac:dyDescent="0.25">
      <c r="B135" t="s">
        <v>277</v>
      </c>
      <c r="C135" s="10" t="s">
        <v>13</v>
      </c>
      <c r="L135" s="75">
        <v>0.35</v>
      </c>
      <c r="M135" s="75">
        <v>0.3</v>
      </c>
    </row>
    <row r="136" spans="1:13" hidden="1" outlineLevel="1" x14ac:dyDescent="0.25">
      <c r="B136" t="s">
        <v>278</v>
      </c>
      <c r="C136" s="10" t="s">
        <v>13</v>
      </c>
      <c r="L136" s="75">
        <v>0.39</v>
      </c>
      <c r="M136" s="75">
        <v>0.34</v>
      </c>
    </row>
    <row r="137" spans="1:13" s="55" customFormat="1" hidden="1" outlineLevel="1" x14ac:dyDescent="0.25">
      <c r="B137" s="55" t="s">
        <v>634</v>
      </c>
      <c r="C137" s="56"/>
      <c r="E137" s="58"/>
      <c r="L137" s="55" t="s">
        <v>208</v>
      </c>
    </row>
    <row r="138" spans="1:13" s="50" customFormat="1" hidden="1" outlineLevel="1" x14ac:dyDescent="0.25">
      <c r="E138" s="51"/>
      <c r="F138" s="51"/>
      <c r="L138" s="51" t="s">
        <v>115</v>
      </c>
      <c r="M138" s="51" t="s">
        <v>114</v>
      </c>
    </row>
    <row r="139" spans="1:13" hidden="1" outlineLevel="1" x14ac:dyDescent="0.25">
      <c r="B139" t="s">
        <v>277</v>
      </c>
      <c r="C139" s="10" t="s">
        <v>13</v>
      </c>
      <c r="L139" s="75">
        <f>L135*(273+D129+D128)/(D129-D131+D128-D127)</f>
        <v>2.6463414634146343</v>
      </c>
      <c r="M139" s="75">
        <f>M135*(273+D129+D128)/(D129-D131+D128-D127)</f>
        <v>2.2682926829268291</v>
      </c>
    </row>
    <row r="140" spans="1:13" hidden="1" outlineLevel="1" x14ac:dyDescent="0.25">
      <c r="B140" t="s">
        <v>278</v>
      </c>
      <c r="C140" s="10" t="s">
        <v>13</v>
      </c>
      <c r="L140" s="75">
        <f>L136*(273+D129+D128)/(D129-D130+D128-D127)</f>
        <v>2.8116279069767445</v>
      </c>
      <c r="M140" s="75">
        <f>M136*(273+D129+D128)/(D129-D130+D128-D127)</f>
        <v>2.4511627906976745</v>
      </c>
    </row>
    <row r="141" spans="1:13" s="22" customFormat="1" collapsed="1" x14ac:dyDescent="0.25">
      <c r="A141" s="21" t="s">
        <v>251</v>
      </c>
      <c r="C141" s="23"/>
      <c r="D141" s="24"/>
    </row>
    <row r="142" spans="1:13" s="55" customFormat="1" hidden="1" outlineLevel="1" x14ac:dyDescent="0.25">
      <c r="B142" s="55" t="s">
        <v>146</v>
      </c>
      <c r="D142" s="55" t="s">
        <v>167</v>
      </c>
      <c r="E142" s="58"/>
    </row>
    <row r="143" spans="1:13" s="50" customFormat="1" hidden="1" outlineLevel="1" x14ac:dyDescent="0.25">
      <c r="C143" s="51"/>
      <c r="D143" s="51"/>
    </row>
    <row r="144" spans="1:13" hidden="1" outlineLevel="1" x14ac:dyDescent="0.25">
      <c r="B144" t="s">
        <v>116</v>
      </c>
      <c r="C144" s="10" t="s">
        <v>61</v>
      </c>
      <c r="D144" s="71">
        <v>1.5</v>
      </c>
    </row>
    <row r="145" spans="2:13" s="55" customFormat="1" hidden="1" outlineLevel="1" x14ac:dyDescent="0.25">
      <c r="B145" s="55" t="s">
        <v>112</v>
      </c>
      <c r="D145" s="56"/>
      <c r="E145" s="58"/>
      <c r="L145" s="55" t="s">
        <v>167</v>
      </c>
    </row>
    <row r="146" spans="2:13" s="50" customFormat="1" hidden="1" outlineLevel="1" x14ac:dyDescent="0.25">
      <c r="L146" s="51" t="s">
        <v>115</v>
      </c>
      <c r="M146" s="51" t="s">
        <v>114</v>
      </c>
    </row>
    <row r="147" spans="2:13" hidden="1" outlineLevel="1" x14ac:dyDescent="0.25">
      <c r="B147" t="s">
        <v>113</v>
      </c>
      <c r="C147" s="4" t="s">
        <v>58</v>
      </c>
      <c r="L147" s="76">
        <v>360</v>
      </c>
      <c r="M147" s="76">
        <v>320</v>
      </c>
    </row>
    <row r="148" spans="2:13" s="55" customFormat="1" hidden="1" outlineLevel="1" x14ac:dyDescent="0.25">
      <c r="B148" s="55" t="s">
        <v>252</v>
      </c>
      <c r="D148" s="55" t="s">
        <v>167</v>
      </c>
      <c r="E148" s="58"/>
    </row>
    <row r="149" spans="2:13" s="50" customFormat="1" hidden="1" outlineLevel="1" x14ac:dyDescent="0.25">
      <c r="C149" s="51"/>
      <c r="D149" s="51"/>
    </row>
    <row r="150" spans="2:13" hidden="1" outlineLevel="1" x14ac:dyDescent="0.25">
      <c r="B150" t="s">
        <v>306</v>
      </c>
      <c r="C150" s="10" t="s">
        <v>307</v>
      </c>
      <c r="D150" s="71">
        <v>0.36</v>
      </c>
    </row>
    <row r="151" spans="2:13" hidden="1" outlineLevel="1" x14ac:dyDescent="0.25">
      <c r="B151" t="s">
        <v>253</v>
      </c>
      <c r="C151" s="10" t="s">
        <v>254</v>
      </c>
      <c r="D151" s="71">
        <f>1/0.2</f>
        <v>5</v>
      </c>
    </row>
    <row r="152" spans="2:13" s="55" customFormat="1" hidden="1" outlineLevel="1" x14ac:dyDescent="0.25">
      <c r="B152" s="55" t="s">
        <v>120</v>
      </c>
      <c r="D152" s="55" t="s">
        <v>167</v>
      </c>
      <c r="E152" s="58"/>
    </row>
    <row r="153" spans="2:13" s="50" customFormat="1" hidden="1" outlineLevel="1" x14ac:dyDescent="0.25">
      <c r="C153" s="51"/>
      <c r="D153" s="51"/>
    </row>
    <row r="154" spans="2:13" hidden="1" outlineLevel="1" x14ac:dyDescent="0.25">
      <c r="B154" t="s">
        <v>121</v>
      </c>
      <c r="C154" s="10" t="s">
        <v>122</v>
      </c>
      <c r="D154" s="71">
        <v>1000</v>
      </c>
    </row>
    <row r="155" spans="2:13" s="55" customFormat="1" hidden="1" outlineLevel="1" x14ac:dyDescent="0.25">
      <c r="B155" s="55" t="s">
        <v>695</v>
      </c>
      <c r="D155" s="55" t="s">
        <v>166</v>
      </c>
      <c r="E155" s="58"/>
    </row>
    <row r="156" spans="2:13" s="50" customFormat="1" hidden="1" outlineLevel="1" x14ac:dyDescent="0.25">
      <c r="C156" s="51"/>
      <c r="D156" s="51"/>
    </row>
    <row r="157" spans="2:13" hidden="1" outlineLevel="1" x14ac:dyDescent="0.25">
      <c r="B157" t="s">
        <v>696</v>
      </c>
      <c r="C157" s="10" t="s">
        <v>13</v>
      </c>
      <c r="D157" s="69">
        <v>-0.23929197662446444</v>
      </c>
      <c r="E157" t="s">
        <v>697</v>
      </c>
      <c r="F157" s="69">
        <v>-1.3162499838620114</v>
      </c>
    </row>
    <row r="158" spans="2:13" s="55" customFormat="1" hidden="1" outlineLevel="1" x14ac:dyDescent="0.25">
      <c r="B158" s="55" t="s">
        <v>129</v>
      </c>
      <c r="D158" s="55" t="s">
        <v>167</v>
      </c>
      <c r="E158" s="58"/>
    </row>
    <row r="159" spans="2:13" s="50" customFormat="1" hidden="1" outlineLevel="1" x14ac:dyDescent="0.25">
      <c r="D159" s="52"/>
      <c r="E159" s="52"/>
    </row>
    <row r="160" spans="2:13" hidden="1" outlineLevel="1" x14ac:dyDescent="0.25">
      <c r="B160" t="s">
        <v>335</v>
      </c>
      <c r="C160" s="10" t="s">
        <v>326</v>
      </c>
      <c r="D160" s="71">
        <v>0.1</v>
      </c>
    </row>
    <row r="161" spans="1:20" hidden="1" outlineLevel="1" x14ac:dyDescent="0.25">
      <c r="B161" t="s">
        <v>130</v>
      </c>
      <c r="C161" s="10" t="s">
        <v>13</v>
      </c>
      <c r="D161" s="71">
        <v>0.85</v>
      </c>
    </row>
    <row r="162" spans="1:20" hidden="1" outlineLevel="1" x14ac:dyDescent="0.25">
      <c r="B162" t="s">
        <v>131</v>
      </c>
      <c r="C162" s="10" t="s">
        <v>132</v>
      </c>
      <c r="D162" s="69">
        <f>0.25+0.15</f>
        <v>0.4</v>
      </c>
    </row>
    <row r="163" spans="1:20" s="22" customFormat="1" collapsed="1" x14ac:dyDescent="0.25">
      <c r="A163" s="21" t="s">
        <v>248</v>
      </c>
      <c r="C163" s="23"/>
      <c r="D163" s="24"/>
    </row>
    <row r="164" spans="1:20" s="55" customFormat="1" hidden="1" outlineLevel="1" x14ac:dyDescent="0.25">
      <c r="B164" s="55" t="s">
        <v>190</v>
      </c>
      <c r="C164" s="56"/>
      <c r="D164" s="56"/>
      <c r="E164" s="58"/>
      <c r="L164" s="55" t="s">
        <v>166</v>
      </c>
    </row>
    <row r="165" spans="1:20" s="50" customFormat="1" hidden="1" outlineLevel="1" x14ac:dyDescent="0.25">
      <c r="C165" s="51"/>
      <c r="D165" s="51"/>
      <c r="E165" s="51"/>
      <c r="F165" s="51"/>
      <c r="L165" s="51" t="s">
        <v>115</v>
      </c>
      <c r="M165" s="51" t="s">
        <v>114</v>
      </c>
    </row>
    <row r="166" spans="1:20" hidden="1" outlineLevel="1" x14ac:dyDescent="0.25">
      <c r="B166" t="s">
        <v>635</v>
      </c>
      <c r="C166" s="10" t="s">
        <v>58</v>
      </c>
      <c r="L166" s="73">
        <v>2.8</v>
      </c>
      <c r="M166" s="73">
        <v>9.1999999999999993</v>
      </c>
    </row>
    <row r="167" spans="1:20" hidden="1" outlineLevel="1" x14ac:dyDescent="0.25">
      <c r="C167" s="10"/>
      <c r="L167" s="16" t="s">
        <v>625</v>
      </c>
      <c r="M167" s="16" t="s">
        <v>625</v>
      </c>
    </row>
    <row r="168" spans="1:20" hidden="1" outlineLevel="1" x14ac:dyDescent="0.25">
      <c r="C168" s="10"/>
      <c r="E168" s="16"/>
      <c r="L168" s="75">
        <v>-1.5</v>
      </c>
      <c r="M168" s="75">
        <v>-1.8</v>
      </c>
    </row>
    <row r="169" spans="1:20" s="55" customFormat="1" hidden="1" outlineLevel="1" x14ac:dyDescent="0.25">
      <c r="B169" s="55" t="s">
        <v>653</v>
      </c>
      <c r="C169" s="56"/>
      <c r="D169" s="56"/>
      <c r="E169" s="58"/>
      <c r="L169" s="55" t="s">
        <v>208</v>
      </c>
      <c r="Q169" s="55" t="s">
        <v>856</v>
      </c>
    </row>
    <row r="170" spans="1:20" s="50" customFormat="1" hidden="1" outlineLevel="1" x14ac:dyDescent="0.25">
      <c r="C170" s="51"/>
      <c r="D170" s="51" t="s">
        <v>223</v>
      </c>
      <c r="E170" s="51"/>
      <c r="F170" s="51"/>
      <c r="L170" s="51">
        <v>2020</v>
      </c>
      <c r="M170" s="51">
        <v>2030</v>
      </c>
      <c r="N170" s="51">
        <v>2050</v>
      </c>
      <c r="O170" s="51" t="s">
        <v>223</v>
      </c>
      <c r="Q170" s="51">
        <v>2020</v>
      </c>
      <c r="R170" s="51">
        <v>2030</v>
      </c>
      <c r="S170" s="51">
        <v>2050</v>
      </c>
      <c r="T170" s="51" t="s">
        <v>223</v>
      </c>
    </row>
    <row r="171" spans="1:20" hidden="1" outlineLevel="1" x14ac:dyDescent="0.25">
      <c r="B171" t="s">
        <v>42</v>
      </c>
      <c r="D171" s="69">
        <f>IF(Übersicht!$H$6=Übersicht!$L$6,Daten_ALLG!O171,Daten_ALLG!T171)</f>
        <v>0.15</v>
      </c>
      <c r="E171" s="60">
        <f>1-D171</f>
        <v>0.85</v>
      </c>
      <c r="L171" s="75">
        <v>0.15</v>
      </c>
      <c r="M171" s="75">
        <v>0.3</v>
      </c>
      <c r="N171" s="75">
        <v>0.6</v>
      </c>
      <c r="O171" s="97">
        <f>IF(Übersicht!$H$3=2020,L171,IF(Übersicht!$H$3=2035,M171,N171))</f>
        <v>0.15</v>
      </c>
      <c r="Q171" s="75">
        <v>0.15</v>
      </c>
      <c r="R171" s="75">
        <v>0.85</v>
      </c>
      <c r="S171" s="75">
        <v>1</v>
      </c>
      <c r="T171" s="97">
        <f>IF(Übersicht!$H$3=2020,Q171,IF(Übersicht!$H$3=2035,R171,S171))</f>
        <v>0.15</v>
      </c>
    </row>
    <row r="172" spans="1:20" hidden="1" outlineLevel="1" x14ac:dyDescent="0.25">
      <c r="B172" t="s">
        <v>43</v>
      </c>
      <c r="D172" s="69">
        <f>IF(Übersicht!$H$6=Übersicht!$L$6,Daten_ALLG!O172,Daten_ALLG!T172)</f>
        <v>0.15</v>
      </c>
      <c r="E172" s="60">
        <f>1-D172</f>
        <v>0.85</v>
      </c>
      <c r="L172" s="75">
        <v>0.15</v>
      </c>
      <c r="M172" s="75">
        <v>0.3</v>
      </c>
      <c r="N172" s="75">
        <v>0.6</v>
      </c>
      <c r="O172" s="97">
        <f>IF(Übersicht!$H$3=2020,L172,IF(Übersicht!$H$3=2035,M172,N172))</f>
        <v>0.15</v>
      </c>
      <c r="Q172" s="75">
        <v>0.15</v>
      </c>
      <c r="R172" s="75">
        <v>0.85</v>
      </c>
      <c r="S172" s="75">
        <v>1</v>
      </c>
      <c r="T172" s="97">
        <f>IF(Übersicht!$H$3=2020,Q172,IF(Übersicht!$H$3=2035,R172,S172))</f>
        <v>0.15</v>
      </c>
    </row>
    <row r="173" spans="1:20" s="22" customFormat="1" collapsed="1" x14ac:dyDescent="0.25">
      <c r="A173" s="21" t="s">
        <v>247</v>
      </c>
      <c r="C173" s="23"/>
      <c r="D173" s="24"/>
    </row>
    <row r="174" spans="1:20" s="55" customFormat="1" hidden="1" outlineLevel="1" x14ac:dyDescent="0.25">
      <c r="B174" s="55" t="s">
        <v>145</v>
      </c>
      <c r="C174" s="56"/>
      <c r="D174" s="58"/>
    </row>
    <row r="175" spans="1:20" s="50" customFormat="1" hidden="1" outlineLevel="1" x14ac:dyDescent="0.25">
      <c r="C175" s="51"/>
      <c r="D175" s="51"/>
    </row>
    <row r="176" spans="1:20" hidden="1" outlineLevel="1" x14ac:dyDescent="0.25">
      <c r="B176" t="s">
        <v>33</v>
      </c>
      <c r="C176" s="10" t="s">
        <v>58</v>
      </c>
      <c r="D176" s="79">
        <v>20</v>
      </c>
      <c r="E176" t="s">
        <v>574</v>
      </c>
    </row>
    <row r="177" spans="1:20" hidden="1" outlineLevel="1" x14ac:dyDescent="0.25">
      <c r="B177" t="s">
        <v>39</v>
      </c>
      <c r="C177" s="10" t="s">
        <v>13</v>
      </c>
      <c r="D177" s="79">
        <v>7.0000000000000007E-2</v>
      </c>
      <c r="E177" t="s">
        <v>41</v>
      </c>
    </row>
    <row r="178" spans="1:20" hidden="1" outlineLevel="1" x14ac:dyDescent="0.25">
      <c r="B178" t="s">
        <v>304</v>
      </c>
      <c r="C178" s="10" t="s">
        <v>13</v>
      </c>
      <c r="D178" s="80">
        <v>0.5</v>
      </c>
      <c r="E178" t="s">
        <v>41</v>
      </c>
    </row>
    <row r="179" spans="1:20" s="22" customFormat="1" collapsed="1" x14ac:dyDescent="0.25">
      <c r="A179" s="21" t="s">
        <v>296</v>
      </c>
      <c r="C179" s="23"/>
      <c r="D179" s="24"/>
    </row>
    <row r="180" spans="1:20" s="55" customFormat="1" hidden="1" outlineLevel="1" x14ac:dyDescent="0.25">
      <c r="B180" s="55" t="s">
        <v>297</v>
      </c>
      <c r="L180" s="56" t="s">
        <v>300</v>
      </c>
      <c r="Q180" s="55" t="s">
        <v>856</v>
      </c>
    </row>
    <row r="181" spans="1:20" s="50" customFormat="1" hidden="1" outlineLevel="1" x14ac:dyDescent="0.25">
      <c r="B181" s="51"/>
      <c r="D181" s="45" t="s">
        <v>223</v>
      </c>
      <c r="H181" s="51"/>
      <c r="I181" s="51"/>
      <c r="J181" s="51"/>
      <c r="K181" s="45"/>
      <c r="L181" s="51">
        <v>2020</v>
      </c>
      <c r="M181" s="51">
        <v>2035</v>
      </c>
      <c r="N181" s="51">
        <v>2050</v>
      </c>
      <c r="O181" s="51" t="s">
        <v>223</v>
      </c>
      <c r="Q181" s="51">
        <v>2020</v>
      </c>
      <c r="R181" s="51">
        <v>2030</v>
      </c>
      <c r="S181" s="51">
        <v>2050</v>
      </c>
      <c r="T181" s="51" t="s">
        <v>223</v>
      </c>
    </row>
    <row r="182" spans="1:20" hidden="1" outlineLevel="1" x14ac:dyDescent="0.25">
      <c r="B182" t="s">
        <v>2</v>
      </c>
      <c r="C182" s="10" t="s">
        <v>13</v>
      </c>
      <c r="D182" s="69">
        <f>IF(Übersicht!$H$6=Übersicht!$L$6,Daten_ALLG!O182,Daten_ALLG!T182)</f>
        <v>1.1000000000000001</v>
      </c>
      <c r="L182" s="75">
        <v>1.1000000000000001</v>
      </c>
      <c r="M182" s="81">
        <v>1</v>
      </c>
      <c r="N182" s="81">
        <v>0.6</v>
      </c>
      <c r="O182" s="67">
        <f>IF(Übersicht!$H$3=2020,L182,IF(Übersicht!$H$3=2035,M182,N182))</f>
        <v>1.1000000000000001</v>
      </c>
      <c r="Q182" s="75">
        <v>1.1000000000000001</v>
      </c>
      <c r="R182" s="81">
        <v>0.6</v>
      </c>
      <c r="S182" s="81">
        <v>0.3</v>
      </c>
      <c r="T182" s="67">
        <f>IF(Übersicht!$H$3=2020,Q182,IF(Übersicht!$H$3=2035,R182,S182))</f>
        <v>1.1000000000000001</v>
      </c>
    </row>
    <row r="183" spans="1:20" ht="15.75" hidden="1" customHeight="1" outlineLevel="1" x14ac:dyDescent="0.25">
      <c r="B183" t="s">
        <v>3</v>
      </c>
      <c r="C183" s="10" t="s">
        <v>13</v>
      </c>
      <c r="D183" s="69">
        <f>IF(Übersicht!$H$6=Übersicht!$L$6,Daten_ALLG!O183,Daten_ALLG!T183)</f>
        <v>1.1000000000000001</v>
      </c>
      <c r="L183" s="75">
        <v>1.1000000000000001</v>
      </c>
      <c r="M183" s="81">
        <v>1.05</v>
      </c>
      <c r="N183" s="81">
        <v>0.75</v>
      </c>
      <c r="O183" s="67">
        <f>IF(Übersicht!$H$3=2020,L183,IF(Übersicht!$H$3=2035,M183,N183))</f>
        <v>1.1000000000000001</v>
      </c>
      <c r="Q183" s="75">
        <v>1.1000000000000001</v>
      </c>
      <c r="R183" s="81">
        <v>0.7</v>
      </c>
      <c r="S183" s="81">
        <v>0.4</v>
      </c>
      <c r="T183" s="67">
        <f>IF(Übersicht!$H$3=2020,Q183,IF(Übersicht!$H$3=2035,R183,S183))</f>
        <v>1.1000000000000001</v>
      </c>
    </row>
    <row r="184" spans="1:20" hidden="1" outlineLevel="1" x14ac:dyDescent="0.25">
      <c r="B184" t="s">
        <v>4</v>
      </c>
      <c r="C184" s="10" t="s">
        <v>13</v>
      </c>
      <c r="D184" s="80">
        <f>IF(Übersicht!$H$6=Übersicht!$L$6,Daten_ALLG!O184,Daten_ALLG!T184)</f>
        <v>1.2</v>
      </c>
      <c r="L184" s="80">
        <v>1.2</v>
      </c>
      <c r="M184" s="80">
        <v>1.2</v>
      </c>
      <c r="N184" s="80">
        <v>1.2</v>
      </c>
      <c r="O184" s="80">
        <f>IF(Übersicht!$H$3=2020,L184,IF(Übersicht!$H$3=2035,M184,N184))</f>
        <v>1.2</v>
      </c>
      <c r="Q184" s="80">
        <v>1.2</v>
      </c>
      <c r="R184" s="80">
        <v>1.2</v>
      </c>
      <c r="S184" s="80">
        <v>1.2</v>
      </c>
      <c r="T184" s="80">
        <f>IF(Übersicht!$H$3=2020,Q184,IF(Übersicht!$H$3=2035,R184,S184))</f>
        <v>1.2</v>
      </c>
    </row>
    <row r="185" spans="1:20" hidden="1" outlineLevel="1" x14ac:dyDescent="0.25">
      <c r="B185" t="s">
        <v>5</v>
      </c>
      <c r="C185" s="10" t="s">
        <v>13</v>
      </c>
      <c r="D185" s="80">
        <f>IF(Übersicht!$H$6=Übersicht!$L$6,Daten_ALLG!O185,Daten_ALLG!T185)</f>
        <v>1.2</v>
      </c>
      <c r="L185" s="80">
        <v>1.2</v>
      </c>
      <c r="M185" s="80">
        <v>1.2</v>
      </c>
      <c r="N185" s="80">
        <v>1.2</v>
      </c>
      <c r="O185" s="80">
        <f>IF(Übersicht!$H$3=2020,L185,IF(Übersicht!$H$3=2035,M185,N185))</f>
        <v>1.2</v>
      </c>
      <c r="Q185" s="80">
        <v>1.2</v>
      </c>
      <c r="R185" s="80">
        <v>1.2</v>
      </c>
      <c r="S185" s="80">
        <v>1.2</v>
      </c>
      <c r="T185" s="80">
        <f>IF(Übersicht!$H$3=2020,Q185,IF(Übersicht!$H$3=2035,R185,S185))</f>
        <v>1.2</v>
      </c>
    </row>
    <row r="186" spans="1:20" hidden="1" outlineLevel="1" x14ac:dyDescent="0.25">
      <c r="B186" t="s">
        <v>6</v>
      </c>
      <c r="C186" s="10" t="s">
        <v>13</v>
      </c>
      <c r="D186" s="69">
        <f>IF(Übersicht!$H$6=Übersicht!$L$6,Daten_ALLG!O186,Daten_ALLG!T186)</f>
        <v>0.2</v>
      </c>
      <c r="L186" s="75">
        <v>0.2</v>
      </c>
      <c r="M186" s="81">
        <v>0.1</v>
      </c>
      <c r="N186" s="81">
        <v>0</v>
      </c>
      <c r="O186" s="67">
        <f>IF(Übersicht!$H$3=2020,L186,IF(Übersicht!$H$3=2035,M186,N186))</f>
        <v>0.2</v>
      </c>
      <c r="Q186" s="75">
        <v>0.2</v>
      </c>
      <c r="R186" s="81">
        <v>0.1</v>
      </c>
      <c r="S186" s="81">
        <v>0</v>
      </c>
      <c r="T186" s="67">
        <f>IF(Übersicht!$H$3=2020,Q186,IF(Übersicht!$H$3=2035,R186,S186))</f>
        <v>0.2</v>
      </c>
    </row>
    <row r="187" spans="1:20" hidden="1" outlineLevel="1" x14ac:dyDescent="0.25">
      <c r="B187" t="s">
        <v>7</v>
      </c>
      <c r="C187" s="10" t="s">
        <v>13</v>
      </c>
      <c r="D187" s="69">
        <f>IF(Übersicht!$H$6=Übersicht!$L$6,Daten_ALLG!O187,Daten_ALLG!T187)</f>
        <v>1.8</v>
      </c>
      <c r="L187" s="75">
        <v>1.8</v>
      </c>
      <c r="M187" s="81">
        <v>1</v>
      </c>
      <c r="N187" s="81">
        <v>0.2</v>
      </c>
      <c r="O187" s="67">
        <f>IF(Übersicht!$H$3=2020,L187,IF(Übersicht!$H$3=2035,M187,N187))</f>
        <v>1.8</v>
      </c>
      <c r="Q187" s="75">
        <v>1.8</v>
      </c>
      <c r="R187" s="81">
        <v>0.1</v>
      </c>
      <c r="S187" s="81">
        <v>0</v>
      </c>
      <c r="T187" s="67">
        <f>IF(Übersicht!$H$3=2020,Q187,IF(Übersicht!$H$3=2035,R187,S187))</f>
        <v>1.8</v>
      </c>
    </row>
    <row r="188" spans="1:20" hidden="1" outlineLevel="1" x14ac:dyDescent="0.25">
      <c r="B188" t="s">
        <v>8</v>
      </c>
      <c r="C188" s="10" t="s">
        <v>13</v>
      </c>
      <c r="D188" s="69">
        <f>IF(Übersicht!$H$6=Übersicht!$L$6,Daten_ALLG!O188,Daten_ALLG!T188)</f>
        <v>0.8</v>
      </c>
      <c r="L188" s="75">
        <v>0.8</v>
      </c>
      <c r="M188" s="81">
        <v>0.5</v>
      </c>
      <c r="N188" s="81">
        <v>0.2</v>
      </c>
      <c r="O188" s="67">
        <f>IF(Übersicht!$H$3=2020,L188,IF(Übersicht!$H$3=2035,M188,N188))</f>
        <v>0.8</v>
      </c>
      <c r="Q188" s="75">
        <v>0.8</v>
      </c>
      <c r="R188" s="81">
        <v>0.5</v>
      </c>
      <c r="S188" s="81">
        <v>0.2</v>
      </c>
      <c r="T188" s="67">
        <f>IF(Übersicht!$H$3=2020,Q188,IF(Übersicht!$H$3=2035,R188,S188))</f>
        <v>0.8</v>
      </c>
    </row>
    <row r="189" spans="1:20" hidden="1" outlineLevel="1" x14ac:dyDescent="0.25">
      <c r="B189" t="s">
        <v>9</v>
      </c>
      <c r="C189" s="10" t="s">
        <v>13</v>
      </c>
      <c r="D189" s="69">
        <f>IF(Übersicht!$H$6=Übersicht!$L$6,Daten_ALLG!O189,Daten_ALLG!T189)</f>
        <v>0</v>
      </c>
      <c r="L189" s="75">
        <v>0</v>
      </c>
      <c r="M189" s="81">
        <v>0</v>
      </c>
      <c r="N189" s="81">
        <v>0</v>
      </c>
      <c r="O189" s="67">
        <f>IF(Übersicht!$H$3=2020,L189,IF(Übersicht!$H$3=2035,M189,N189))</f>
        <v>0</v>
      </c>
      <c r="Q189" s="75">
        <v>0</v>
      </c>
      <c r="R189" s="81">
        <v>0</v>
      </c>
      <c r="S189" s="81">
        <v>0</v>
      </c>
      <c r="T189" s="67">
        <f>IF(Übersicht!$H$3=2020,Q189,IF(Übersicht!$H$3=2035,R189,S189))</f>
        <v>0</v>
      </c>
    </row>
    <row r="190" spans="1:20" hidden="1" outlineLevel="1" x14ac:dyDescent="0.25">
      <c r="B190" t="s">
        <v>10</v>
      </c>
      <c r="C190" s="10" t="s">
        <v>13</v>
      </c>
      <c r="D190" s="80">
        <f>IF(Übersicht!$H$6=Übersicht!$L$6,Daten_ALLG!O190,Daten_ALLG!T190)</f>
        <v>0</v>
      </c>
      <c r="L190" s="80">
        <v>0</v>
      </c>
      <c r="M190" s="80">
        <v>0</v>
      </c>
      <c r="N190" s="80">
        <v>0</v>
      </c>
      <c r="O190" s="80">
        <f>IF(Übersicht!$H$3=2020,L190,IF(Übersicht!$H$3=2035,M190,N190))</f>
        <v>0</v>
      </c>
      <c r="Q190" s="80">
        <v>0</v>
      </c>
      <c r="R190" s="80">
        <v>0</v>
      </c>
      <c r="S190" s="80">
        <v>0</v>
      </c>
      <c r="T190" s="80">
        <f>IF(Übersicht!$H$3=2020,Q190,IF(Übersicht!$H$3=2035,R190,S190))</f>
        <v>0</v>
      </c>
    </row>
    <row r="191" spans="1:20" s="55" customFormat="1" hidden="1" outlineLevel="1" x14ac:dyDescent="0.25">
      <c r="B191" s="55" t="s">
        <v>298</v>
      </c>
      <c r="L191" s="56" t="s">
        <v>300</v>
      </c>
      <c r="Q191" s="55" t="s">
        <v>856</v>
      </c>
    </row>
    <row r="192" spans="1:20" s="50" customFormat="1" hidden="1" outlineLevel="1" x14ac:dyDescent="0.25">
      <c r="B192" s="51"/>
      <c r="D192" s="45" t="s">
        <v>223</v>
      </c>
      <c r="H192" s="51"/>
      <c r="I192" s="51"/>
      <c r="J192" s="51"/>
      <c r="K192" s="45"/>
      <c r="L192" s="51">
        <v>2020</v>
      </c>
      <c r="M192" s="51">
        <v>2035</v>
      </c>
      <c r="N192" s="51">
        <v>2050</v>
      </c>
      <c r="O192" s="51" t="s">
        <v>223</v>
      </c>
      <c r="Q192" s="51">
        <v>2020</v>
      </c>
      <c r="R192" s="51">
        <v>2035</v>
      </c>
      <c r="S192" s="51">
        <v>2050</v>
      </c>
      <c r="T192" s="51" t="s">
        <v>223</v>
      </c>
    </row>
    <row r="193" spans="2:20" hidden="1" outlineLevel="1" x14ac:dyDescent="0.25">
      <c r="B193" t="s">
        <v>2</v>
      </c>
      <c r="C193" s="10" t="s">
        <v>13</v>
      </c>
      <c r="D193" s="80">
        <f>IF(Übersicht!$H$6=Übersicht!$L$6,Daten_ALLG!O193,Daten_ALLG!T193)</f>
        <v>1.1000000000000001</v>
      </c>
      <c r="L193" s="80">
        <v>1.1000000000000001</v>
      </c>
      <c r="M193" s="80">
        <v>1.1000000000000001</v>
      </c>
      <c r="N193" s="80">
        <v>1.1000000000000001</v>
      </c>
      <c r="O193" s="80">
        <f>IF(Übersicht!$H$3=2020,L193,IF(Übersicht!$H$3=2035,M193,N193))</f>
        <v>1.1000000000000001</v>
      </c>
      <c r="Q193" s="80">
        <v>1.1000000000000001</v>
      </c>
      <c r="R193" s="80">
        <v>1.1000000000000001</v>
      </c>
      <c r="S193" s="80">
        <v>1.1000000000000001</v>
      </c>
      <c r="T193" s="80">
        <f>IF(Übersicht!$H$3=2020,Q193,IF(Übersicht!$H$3=2035,R193,S193))</f>
        <v>1.1000000000000001</v>
      </c>
    </row>
    <row r="194" spans="2:20" hidden="1" outlineLevel="1" x14ac:dyDescent="0.25">
      <c r="B194" t="s">
        <v>3</v>
      </c>
      <c r="C194" s="10" t="s">
        <v>13</v>
      </c>
      <c r="D194" s="80">
        <f>IF(Übersicht!$H$6=Übersicht!$L$6,Daten_ALLG!O194,Daten_ALLG!T194)</f>
        <v>1.1000000000000001</v>
      </c>
      <c r="L194" s="80">
        <v>1.1000000000000001</v>
      </c>
      <c r="M194" s="80">
        <v>1.1000000000000001</v>
      </c>
      <c r="N194" s="80">
        <v>1.1000000000000001</v>
      </c>
      <c r="O194" s="80">
        <f>IF(Übersicht!$H$3=2020,L194,IF(Übersicht!$H$3=2035,M194,N194))</f>
        <v>1.1000000000000001</v>
      </c>
      <c r="Q194" s="80">
        <v>1.1000000000000001</v>
      </c>
      <c r="R194" s="80">
        <v>1.1000000000000001</v>
      </c>
      <c r="S194" s="80">
        <v>1.1000000000000001</v>
      </c>
      <c r="T194" s="80">
        <f>IF(Übersicht!$H$3=2020,Q194,IF(Übersicht!$H$3=2035,R194,S194))</f>
        <v>1.1000000000000001</v>
      </c>
    </row>
    <row r="195" spans="2:20" hidden="1" outlineLevel="1" x14ac:dyDescent="0.25">
      <c r="B195" t="s">
        <v>4</v>
      </c>
      <c r="C195" s="10" t="s">
        <v>13</v>
      </c>
      <c r="D195" s="80">
        <f>IF(Übersicht!$H$6=Übersicht!$L$6,Daten_ALLG!O195,Daten_ALLG!T195)</f>
        <v>1.1000000000000001</v>
      </c>
      <c r="L195" s="80">
        <v>1.1000000000000001</v>
      </c>
      <c r="M195" s="80">
        <v>1.1000000000000001</v>
      </c>
      <c r="N195" s="80">
        <v>1.1000000000000001</v>
      </c>
      <c r="O195" s="80">
        <f>IF(Übersicht!$H$3=2020,L195,IF(Übersicht!$H$3=2035,M195,N195))</f>
        <v>1.1000000000000001</v>
      </c>
      <c r="Q195" s="80">
        <v>1.1000000000000001</v>
      </c>
      <c r="R195" s="80">
        <v>1.1000000000000001</v>
      </c>
      <c r="S195" s="80">
        <v>1.1000000000000001</v>
      </c>
      <c r="T195" s="80">
        <f>IF(Übersicht!$H$3=2020,Q195,IF(Übersicht!$H$3=2035,R195,S195))</f>
        <v>1.1000000000000001</v>
      </c>
    </row>
    <row r="196" spans="2:20" hidden="1" outlineLevel="1" x14ac:dyDescent="0.25">
      <c r="B196" t="s">
        <v>5</v>
      </c>
      <c r="C196" s="10" t="s">
        <v>13</v>
      </c>
      <c r="D196" s="80">
        <f>IF(Übersicht!$H$6=Übersicht!$L$6,Daten_ALLG!O196,Daten_ALLG!T196)</f>
        <v>1.2</v>
      </c>
      <c r="L196" s="80">
        <v>1.2</v>
      </c>
      <c r="M196" s="80">
        <v>1.2</v>
      </c>
      <c r="N196" s="80">
        <v>1.2</v>
      </c>
      <c r="O196" s="80">
        <f>IF(Übersicht!$H$3=2020,L196,IF(Übersicht!$H$3=2035,M196,N196))</f>
        <v>1.2</v>
      </c>
      <c r="Q196" s="80">
        <v>1.2</v>
      </c>
      <c r="R196" s="80">
        <v>1.2</v>
      </c>
      <c r="S196" s="80">
        <v>1.2</v>
      </c>
      <c r="T196" s="80">
        <f>IF(Übersicht!$H$3=2020,Q196,IF(Übersicht!$H$3=2035,R196,S196))</f>
        <v>1.2</v>
      </c>
    </row>
    <row r="197" spans="2:20" hidden="1" outlineLevel="1" x14ac:dyDescent="0.25">
      <c r="B197" t="s">
        <v>6</v>
      </c>
      <c r="C197" s="10" t="s">
        <v>13</v>
      </c>
      <c r="D197" s="80">
        <f>IF(Übersicht!$H$6=Übersicht!$L$6,Daten_ALLG!O197,Daten_ALLG!T197)</f>
        <v>1.2</v>
      </c>
      <c r="L197" s="80">
        <v>1.2</v>
      </c>
      <c r="M197" s="80">
        <v>1.2</v>
      </c>
      <c r="N197" s="80">
        <v>1.2</v>
      </c>
      <c r="O197" s="80">
        <f>IF(Übersicht!$H$3=2020,L197,IF(Übersicht!$H$3=2035,M197,N197))</f>
        <v>1.2</v>
      </c>
      <c r="Q197" s="80">
        <v>1.2</v>
      </c>
      <c r="R197" s="80">
        <v>1.2</v>
      </c>
      <c r="S197" s="80">
        <v>1.2</v>
      </c>
      <c r="T197" s="80">
        <f>IF(Übersicht!$H$3=2020,Q197,IF(Übersicht!$H$3=2035,R197,S197))</f>
        <v>1.2</v>
      </c>
    </row>
    <row r="198" spans="2:20" hidden="1" outlineLevel="1" x14ac:dyDescent="0.25">
      <c r="B198" t="s">
        <v>7</v>
      </c>
      <c r="C198" s="10" t="s">
        <v>13</v>
      </c>
      <c r="D198" s="80">
        <f>IF(Übersicht!$H$6=Übersicht!$L$6,Daten_ALLG!O198,Daten_ALLG!T198)</f>
        <v>2.8</v>
      </c>
      <c r="L198" s="80">
        <v>2.8</v>
      </c>
      <c r="M198" s="80">
        <v>2</v>
      </c>
      <c r="N198" s="80">
        <v>1.2</v>
      </c>
      <c r="O198" s="80">
        <f>IF(Übersicht!$H$3=2020,L198,IF(Übersicht!$H$3=2035,M198,N198))</f>
        <v>2.8</v>
      </c>
      <c r="Q198" s="80">
        <v>2.8</v>
      </c>
      <c r="R198" s="80">
        <v>2</v>
      </c>
      <c r="S198" s="80">
        <v>1.2</v>
      </c>
      <c r="T198" s="80">
        <f>IF(Übersicht!$H$3=2020,Q198,IF(Übersicht!$H$3=2035,R198,S198))</f>
        <v>2.8</v>
      </c>
    </row>
    <row r="199" spans="2:20" hidden="1" outlineLevel="1" x14ac:dyDescent="0.25">
      <c r="B199" t="s">
        <v>8</v>
      </c>
      <c r="C199" s="10" t="s">
        <v>13</v>
      </c>
      <c r="D199" s="80">
        <f>IF(Übersicht!$H$6=Übersicht!$L$6,Daten_ALLG!O199,Daten_ALLG!T199)</f>
        <v>1.1000000000000001</v>
      </c>
      <c r="L199" s="80">
        <v>1.1000000000000001</v>
      </c>
      <c r="M199" s="80">
        <v>1.1000000000000001</v>
      </c>
      <c r="N199" s="80">
        <v>1.1000000000000001</v>
      </c>
      <c r="O199" s="80">
        <f>IF(Übersicht!$H$3=2020,L199,IF(Übersicht!$H$3=2035,M199,N199))</f>
        <v>1.1000000000000001</v>
      </c>
      <c r="Q199" s="80">
        <v>1.1000000000000001</v>
      </c>
      <c r="R199" s="80">
        <v>1.1000000000000001</v>
      </c>
      <c r="S199" s="80">
        <v>1.1000000000000001</v>
      </c>
      <c r="T199" s="80">
        <f>IF(Übersicht!$H$3=2020,Q199,IF(Übersicht!$H$3=2035,R199,S199))</f>
        <v>1.1000000000000001</v>
      </c>
    </row>
    <row r="200" spans="2:20" hidden="1" outlineLevel="1" x14ac:dyDescent="0.25">
      <c r="B200" t="s">
        <v>9</v>
      </c>
      <c r="C200" s="10" t="s">
        <v>13</v>
      </c>
      <c r="D200" s="80">
        <f>IF(Übersicht!$H$6=Übersicht!$L$6,Daten_ALLG!O200,Daten_ALLG!T200)</f>
        <v>1</v>
      </c>
      <c r="L200" s="80">
        <v>1</v>
      </c>
      <c r="M200" s="80">
        <v>1</v>
      </c>
      <c r="N200" s="80">
        <v>1</v>
      </c>
      <c r="O200" s="80">
        <f>IF(Übersicht!$H$3=2020,L200,IF(Übersicht!$H$3=2035,M200,N200))</f>
        <v>1</v>
      </c>
      <c r="Q200" s="80">
        <v>1</v>
      </c>
      <c r="R200" s="80">
        <v>1</v>
      </c>
      <c r="S200" s="80">
        <v>1</v>
      </c>
      <c r="T200" s="80">
        <f>IF(Übersicht!$H$3=2020,Q200,IF(Übersicht!$H$3=2035,R200,S200))</f>
        <v>1</v>
      </c>
    </row>
    <row r="201" spans="2:20" hidden="1" outlineLevel="1" x14ac:dyDescent="0.25">
      <c r="B201" t="s">
        <v>10</v>
      </c>
      <c r="C201" s="10" t="s">
        <v>13</v>
      </c>
      <c r="D201" s="80">
        <f>IF(Übersicht!$H$6=Übersicht!$L$6,Daten_ALLG!O201,Daten_ALLG!T201)</f>
        <v>1</v>
      </c>
      <c r="L201" s="80">
        <v>1</v>
      </c>
      <c r="M201" s="80">
        <v>1</v>
      </c>
      <c r="N201" s="80">
        <v>1</v>
      </c>
      <c r="O201" s="80">
        <f>IF(Übersicht!$H$3=2020,L201,IF(Übersicht!$H$3=2035,M201,N201))</f>
        <v>1</v>
      </c>
      <c r="Q201" s="80">
        <v>1</v>
      </c>
      <c r="R201" s="80">
        <v>1</v>
      </c>
      <c r="S201" s="80">
        <v>1</v>
      </c>
      <c r="T201" s="80">
        <f>IF(Übersicht!$H$3=2020,Q201,IF(Übersicht!$H$3=2035,R201,S201))</f>
        <v>1</v>
      </c>
    </row>
    <row r="202" spans="2:20" s="55" customFormat="1" hidden="1" outlineLevel="1" x14ac:dyDescent="0.25">
      <c r="B202" s="55" t="s">
        <v>299</v>
      </c>
      <c r="E202" s="57"/>
      <c r="F202" s="57"/>
      <c r="L202" s="56" t="s">
        <v>300</v>
      </c>
      <c r="Q202" s="55" t="s">
        <v>856</v>
      </c>
    </row>
    <row r="203" spans="2:20" s="50" customFormat="1" hidden="1" outlineLevel="1" x14ac:dyDescent="0.25">
      <c r="D203" s="45" t="s">
        <v>223</v>
      </c>
      <c r="L203" s="51">
        <v>2020</v>
      </c>
      <c r="M203" s="51">
        <v>2035</v>
      </c>
      <c r="N203" s="51">
        <v>2050</v>
      </c>
      <c r="O203" s="51" t="s">
        <v>223</v>
      </c>
      <c r="Q203" s="51">
        <v>2020</v>
      </c>
      <c r="R203" s="51">
        <v>2035</v>
      </c>
      <c r="S203" s="51">
        <v>2050</v>
      </c>
      <c r="T203" s="51" t="s">
        <v>223</v>
      </c>
    </row>
    <row r="204" spans="2:20" hidden="1" outlineLevel="1" x14ac:dyDescent="0.25">
      <c r="B204" t="s">
        <v>2</v>
      </c>
      <c r="C204" s="10" t="s">
        <v>227</v>
      </c>
      <c r="D204" s="70">
        <f>IF(Übersicht!$H$6=Übersicht!$L$6,Daten_ALLG!O204,Daten_ALLG!T204)</f>
        <v>208</v>
      </c>
      <c r="L204" s="76">
        <v>208</v>
      </c>
      <c r="M204" s="83">
        <v>190</v>
      </c>
      <c r="N204" s="83">
        <v>110</v>
      </c>
      <c r="O204" s="66">
        <f>IF(Übersicht!$H$3=2020,L204,IF(Übersicht!$H$3=2035,M204,N204))</f>
        <v>208</v>
      </c>
      <c r="Q204" s="76">
        <v>208</v>
      </c>
      <c r="R204" s="83">
        <v>104</v>
      </c>
      <c r="S204" s="83">
        <v>52</v>
      </c>
      <c r="T204" s="66">
        <f>IF(Übersicht!$H$3=2020,Q204,IF(Übersicht!$H$3=2035,R204,S204))</f>
        <v>208</v>
      </c>
    </row>
    <row r="205" spans="2:20" hidden="1" outlineLevel="1" x14ac:dyDescent="0.25">
      <c r="B205" t="s">
        <v>3</v>
      </c>
      <c r="C205" s="10" t="s">
        <v>227</v>
      </c>
      <c r="D205" s="70">
        <f>IF(Übersicht!$H$6=Übersicht!$L$6,Daten_ALLG!O205,Daten_ALLG!T205)</f>
        <v>292</v>
      </c>
      <c r="L205" s="76">
        <v>292</v>
      </c>
      <c r="M205" s="83">
        <v>275</v>
      </c>
      <c r="N205" s="83">
        <v>160</v>
      </c>
      <c r="O205" s="66">
        <f>IF(Übersicht!$H$3=2020,L205,IF(Übersicht!$H$3=2035,M205,N205))</f>
        <v>292</v>
      </c>
      <c r="Q205" s="76">
        <v>292</v>
      </c>
      <c r="R205" s="83">
        <v>146</v>
      </c>
      <c r="S205" s="83">
        <v>73</v>
      </c>
      <c r="T205" s="66">
        <f>IF(Übersicht!$H$3=2020,Q205,IF(Übersicht!$H$3=2035,R205,S205))</f>
        <v>292</v>
      </c>
    </row>
    <row r="206" spans="2:20" hidden="1" outlineLevel="1" x14ac:dyDescent="0.25">
      <c r="B206" t="s">
        <v>4</v>
      </c>
      <c r="C206" s="10" t="s">
        <v>227</v>
      </c>
      <c r="D206" s="85">
        <f>IF(Übersicht!$H$6=Übersicht!$L$6,Daten_ALLG!O206,Daten_ALLG!T206)</f>
        <v>429</v>
      </c>
      <c r="L206" s="51">
        <v>429</v>
      </c>
      <c r="M206" s="54">
        <v>429</v>
      </c>
      <c r="N206" s="54">
        <v>429</v>
      </c>
      <c r="O206" s="85">
        <f>IF(Übersicht!$H$3=2020,L206,IF(Übersicht!$H$3=2035,M206,N206))</f>
        <v>429</v>
      </c>
      <c r="Q206" s="51">
        <v>429</v>
      </c>
      <c r="R206" s="54">
        <v>429</v>
      </c>
      <c r="S206" s="54">
        <v>429</v>
      </c>
      <c r="T206" s="85">
        <f>IF(Übersicht!$H$3=2020,Q206,IF(Übersicht!$H$3=2035,R206,S206))</f>
        <v>429</v>
      </c>
    </row>
    <row r="207" spans="2:20" hidden="1" outlineLevel="1" x14ac:dyDescent="0.25">
      <c r="B207" t="s">
        <v>5</v>
      </c>
      <c r="C207" s="10" t="s">
        <v>227</v>
      </c>
      <c r="D207" s="85">
        <f>IF(Übersicht!$H$6=Übersicht!$L$6,Daten_ALLG!O207,Daten_ALLG!T207)</f>
        <v>421</v>
      </c>
      <c r="L207" s="51">
        <v>421</v>
      </c>
      <c r="M207" s="54">
        <v>421</v>
      </c>
      <c r="N207" s="54">
        <v>421</v>
      </c>
      <c r="O207" s="85">
        <f>IF(Übersicht!$H$3=2020,L207,IF(Übersicht!$H$3=2035,M207,N207))</f>
        <v>421</v>
      </c>
      <c r="Q207" s="51">
        <v>421</v>
      </c>
      <c r="R207" s="54">
        <v>421</v>
      </c>
      <c r="S207" s="54">
        <v>421</v>
      </c>
      <c r="T207" s="85">
        <f>IF(Übersicht!$H$3=2020,Q207,IF(Übersicht!$H$3=2035,R207,S207))</f>
        <v>421</v>
      </c>
    </row>
    <row r="208" spans="2:20" hidden="1" outlineLevel="1" x14ac:dyDescent="0.25">
      <c r="B208" t="s">
        <v>6</v>
      </c>
      <c r="C208" s="10" t="s">
        <v>227</v>
      </c>
      <c r="D208" s="70">
        <f>IF(Übersicht!$H$6=Übersicht!$L$6,Daten_ALLG!O208,Daten_ALLG!T208)</f>
        <v>15</v>
      </c>
      <c r="L208" s="76">
        <v>15</v>
      </c>
      <c r="M208" s="83">
        <v>15</v>
      </c>
      <c r="N208" s="83">
        <v>15</v>
      </c>
      <c r="O208" s="66">
        <f>IF(Übersicht!$H$3=2020,L208,IF(Übersicht!$H$3=2035,M208,N208))</f>
        <v>15</v>
      </c>
      <c r="Q208" s="76">
        <v>15</v>
      </c>
      <c r="R208" s="83">
        <v>15</v>
      </c>
      <c r="S208" s="83">
        <v>15</v>
      </c>
      <c r="T208" s="66">
        <f>IF(Übersicht!$H$3=2020,Q208,IF(Übersicht!$H$3=2035,R208,S208))</f>
        <v>15</v>
      </c>
    </row>
    <row r="209" spans="1:20" hidden="1" outlineLevel="1" x14ac:dyDescent="0.25">
      <c r="B209" t="s">
        <v>7</v>
      </c>
      <c r="C209" s="10" t="s">
        <v>227</v>
      </c>
      <c r="D209" s="70">
        <f>IF(Übersicht!$H$6=Übersicht!$L$6,Daten_ALLG!O209,Daten_ALLG!T209)</f>
        <v>444</v>
      </c>
      <c r="L209" s="76">
        <v>444</v>
      </c>
      <c r="M209" s="83">
        <v>250</v>
      </c>
      <c r="N209" s="83">
        <v>50</v>
      </c>
      <c r="O209" s="66">
        <f>IF(Übersicht!$H$3=2020,L209,IF(Übersicht!$H$3=2035,M209,N209))</f>
        <v>444</v>
      </c>
      <c r="Q209" s="76">
        <v>444</v>
      </c>
      <c r="R209" s="83">
        <v>22</v>
      </c>
      <c r="S209" s="83">
        <v>1</v>
      </c>
      <c r="T209" s="66">
        <f>IF(Übersicht!$H$3=2020,Q209,IF(Übersicht!$H$3=2035,R209,S209))</f>
        <v>444</v>
      </c>
    </row>
    <row r="210" spans="1:20" hidden="1" outlineLevel="1" x14ac:dyDescent="0.25">
      <c r="B210" t="s">
        <v>8</v>
      </c>
      <c r="C210" s="10" t="s">
        <v>227</v>
      </c>
      <c r="D210" s="70">
        <f>IF(Übersicht!$H$6=Übersicht!$L$6,Daten_ALLG!O210,Daten_ALLG!T210)</f>
        <v>240</v>
      </c>
      <c r="L210" s="76">
        <v>240</v>
      </c>
      <c r="M210" s="83">
        <v>150</v>
      </c>
      <c r="N210" s="83">
        <v>60</v>
      </c>
      <c r="O210" s="66">
        <f>IF(Übersicht!$H$3=2020,L210,IF(Übersicht!$H$3=2035,M210,N210))</f>
        <v>240</v>
      </c>
      <c r="Q210" s="76">
        <v>240</v>
      </c>
      <c r="R210" s="83">
        <v>60</v>
      </c>
      <c r="S210" s="83">
        <v>15</v>
      </c>
      <c r="T210" s="66">
        <f>IF(Übersicht!$H$3=2020,Q210,IF(Übersicht!$H$3=2035,R210,S210))</f>
        <v>240</v>
      </c>
    </row>
    <row r="211" spans="1:20" hidden="1" outlineLevel="1" x14ac:dyDescent="0.25">
      <c r="B211" t="s">
        <v>9</v>
      </c>
      <c r="C211" s="10" t="s">
        <v>227</v>
      </c>
      <c r="D211" s="70">
        <f>IF(Übersicht!$H$6=Übersicht!$L$6,Daten_ALLG!O211,Daten_ALLG!T211)</f>
        <v>0</v>
      </c>
      <c r="L211" s="76">
        <v>0</v>
      </c>
      <c r="M211" s="83">
        <v>0</v>
      </c>
      <c r="N211" s="83">
        <v>0</v>
      </c>
      <c r="O211" s="66">
        <f>IF(Übersicht!$H$3=2020,L211,IF(Übersicht!$H$3=2035,M211,N211))</f>
        <v>0</v>
      </c>
      <c r="Q211" s="76">
        <v>0</v>
      </c>
      <c r="R211" s="83">
        <v>0</v>
      </c>
      <c r="S211" s="83">
        <v>0</v>
      </c>
      <c r="T211" s="66">
        <f>IF(Übersicht!$H$3=2020,Q211,IF(Übersicht!$H$3=2035,R211,S211))</f>
        <v>0</v>
      </c>
    </row>
    <row r="212" spans="1:20" hidden="1" outlineLevel="1" x14ac:dyDescent="0.25">
      <c r="B212" t="s">
        <v>10</v>
      </c>
      <c r="C212" s="10" t="s">
        <v>227</v>
      </c>
      <c r="D212" s="85">
        <f>IF(Übersicht!$H$6=Übersicht!$L$6,Daten_ALLG!O212,Daten_ALLG!T212)</f>
        <v>0</v>
      </c>
      <c r="L212" s="51">
        <v>0</v>
      </c>
      <c r="M212" s="54">
        <v>0</v>
      </c>
      <c r="N212" s="54">
        <v>0</v>
      </c>
      <c r="O212" s="85">
        <f>IF(Übersicht!$H$3=2020,L212,IF(Übersicht!$H$3=2035,M212,N212))</f>
        <v>0</v>
      </c>
      <c r="Q212" s="51">
        <v>0</v>
      </c>
      <c r="R212" s="54">
        <v>0</v>
      </c>
      <c r="S212" s="54">
        <v>0</v>
      </c>
      <c r="T212" s="85">
        <f>IF(Übersicht!$H$3=2020,Q212,IF(Übersicht!$H$3=2035,R212,S212))</f>
        <v>0</v>
      </c>
    </row>
    <row r="213" spans="1:20" s="22" customFormat="1" collapsed="1" x14ac:dyDescent="0.25">
      <c r="A213" s="21" t="s">
        <v>36</v>
      </c>
      <c r="C213" s="23"/>
      <c r="D213" s="24"/>
    </row>
    <row r="214" spans="1:20" s="55" customFormat="1" hidden="1" outlineLevel="1" x14ac:dyDescent="0.25">
      <c r="B214" s="55" t="s">
        <v>36</v>
      </c>
      <c r="D214" s="55" t="s">
        <v>75</v>
      </c>
      <c r="E214" s="55" t="s">
        <v>208</v>
      </c>
      <c r="H214" s="55" t="s">
        <v>76</v>
      </c>
      <c r="I214" s="55" t="s">
        <v>208</v>
      </c>
    </row>
    <row r="215" spans="1:20" s="50" customFormat="1" hidden="1" outlineLevel="1" x14ac:dyDescent="0.25">
      <c r="D215" s="51"/>
      <c r="E215" s="51"/>
      <c r="F215" s="51"/>
      <c r="G215" s="51"/>
      <c r="H215" s="51"/>
      <c r="I215" s="51"/>
    </row>
    <row r="216" spans="1:20" hidden="1" outlineLevel="1" x14ac:dyDescent="0.25">
      <c r="B216" t="s">
        <v>16</v>
      </c>
      <c r="C216" s="10" t="s">
        <v>637</v>
      </c>
      <c r="D216" s="71">
        <v>90</v>
      </c>
      <c r="E216" s="10" t="s">
        <v>80</v>
      </c>
      <c r="F216" s="71">
        <v>2.9</v>
      </c>
      <c r="G216" s="10" t="s">
        <v>79</v>
      </c>
      <c r="H216" s="71">
        <v>60</v>
      </c>
      <c r="I216" s="10" t="s">
        <v>78</v>
      </c>
    </row>
    <row r="217" spans="1:20" hidden="1" outlineLevel="1" x14ac:dyDescent="0.25">
      <c r="B217" t="s">
        <v>19</v>
      </c>
      <c r="C217" s="10" t="s">
        <v>637</v>
      </c>
      <c r="D217" s="71">
        <v>100</v>
      </c>
      <c r="E217" s="10" t="s">
        <v>80</v>
      </c>
      <c r="F217" s="71">
        <v>4</v>
      </c>
      <c r="G217" s="10" t="s">
        <v>79</v>
      </c>
      <c r="H217" s="10"/>
      <c r="I217" s="10"/>
    </row>
    <row r="218" spans="1:20" hidden="1" outlineLevel="1" x14ac:dyDescent="0.25">
      <c r="B218" t="s">
        <v>17</v>
      </c>
      <c r="C218" s="10" t="s">
        <v>637</v>
      </c>
      <c r="D218" s="71">
        <v>155</v>
      </c>
      <c r="E218" s="10" t="s">
        <v>80</v>
      </c>
      <c r="F218" s="71">
        <v>2.2000000000000002</v>
      </c>
      <c r="G218" s="10" t="s">
        <v>79</v>
      </c>
      <c r="H218" s="71">
        <v>125</v>
      </c>
      <c r="I218" s="10" t="s">
        <v>78</v>
      </c>
    </row>
    <row r="219" spans="1:20" hidden="1" outlineLevel="1" x14ac:dyDescent="0.25">
      <c r="B219" t="s">
        <v>12</v>
      </c>
      <c r="C219" s="10" t="s">
        <v>637</v>
      </c>
      <c r="D219" s="71">
        <v>537</v>
      </c>
      <c r="E219" s="10" t="s">
        <v>80</v>
      </c>
      <c r="F219" s="10"/>
      <c r="G219" s="10"/>
      <c r="H219" s="71">
        <v>389</v>
      </c>
      <c r="I219" s="10" t="s">
        <v>78</v>
      </c>
    </row>
    <row r="220" spans="1:20" hidden="1" outlineLevel="1" x14ac:dyDescent="0.25">
      <c r="B220" t="s">
        <v>18</v>
      </c>
      <c r="C220" s="10" t="s">
        <v>637</v>
      </c>
      <c r="D220" s="71">
        <v>45</v>
      </c>
      <c r="E220" s="10" t="s">
        <v>80</v>
      </c>
      <c r="F220" s="71">
        <v>1.5</v>
      </c>
      <c r="G220" s="10" t="s">
        <v>79</v>
      </c>
    </row>
    <row r="221" spans="1:20" hidden="1" outlineLevel="1" x14ac:dyDescent="0.25">
      <c r="B221" t="s">
        <v>29</v>
      </c>
      <c r="C221" s="10" t="s">
        <v>637</v>
      </c>
      <c r="D221" s="71">
        <v>30</v>
      </c>
      <c r="E221" s="10" t="s">
        <v>80</v>
      </c>
      <c r="F221" s="71">
        <v>2</v>
      </c>
      <c r="G221" s="10" t="s">
        <v>79</v>
      </c>
    </row>
    <row r="222" spans="1:20" s="55" customFormat="1" hidden="1" outlineLevel="1" x14ac:dyDescent="0.25">
      <c r="B222" s="55" t="s">
        <v>36</v>
      </c>
      <c r="D222" s="55" t="s">
        <v>75</v>
      </c>
      <c r="E222" s="55" t="s">
        <v>208</v>
      </c>
      <c r="H222" s="55" t="s">
        <v>76</v>
      </c>
      <c r="I222" s="55" t="s">
        <v>208</v>
      </c>
    </row>
    <row r="223" spans="1:20" s="50" customFormat="1" hidden="1" outlineLevel="1" x14ac:dyDescent="0.25">
      <c r="D223" s="51"/>
      <c r="E223" s="51"/>
      <c r="F223" s="51"/>
      <c r="H223" s="51"/>
      <c r="I223" s="51"/>
      <c r="J223" s="51"/>
    </row>
    <row r="224" spans="1:20" hidden="1" outlineLevel="1" x14ac:dyDescent="0.25">
      <c r="B224" t="s">
        <v>83</v>
      </c>
      <c r="C224" s="10" t="s">
        <v>77</v>
      </c>
      <c r="D224" s="71">
        <v>4000</v>
      </c>
      <c r="E224" s="10" t="s">
        <v>81</v>
      </c>
      <c r="F224" s="69">
        <v>0.6</v>
      </c>
      <c r="H224" s="71">
        <v>1600</v>
      </c>
      <c r="I224" s="10" t="s">
        <v>81</v>
      </c>
      <c r="J224" s="71">
        <v>0.55000000000000004</v>
      </c>
    </row>
    <row r="225" spans="2:10" hidden="1" outlineLevel="1" x14ac:dyDescent="0.25">
      <c r="B225" t="s">
        <v>82</v>
      </c>
      <c r="C225" s="10" t="s">
        <v>77</v>
      </c>
      <c r="D225" s="71">
        <v>3800</v>
      </c>
      <c r="E225" s="10" t="s">
        <v>81</v>
      </c>
      <c r="F225" s="69">
        <v>0.8</v>
      </c>
      <c r="H225" s="71">
        <v>1600</v>
      </c>
      <c r="I225" s="10" t="s">
        <v>81</v>
      </c>
      <c r="J225" s="71">
        <v>0.55000000000000004</v>
      </c>
    </row>
    <row r="226" spans="2:10" hidden="1" outlineLevel="1" x14ac:dyDescent="0.25">
      <c r="B226" t="s">
        <v>22</v>
      </c>
      <c r="C226" s="10" t="s">
        <v>77</v>
      </c>
      <c r="D226" s="71">
        <v>1600</v>
      </c>
      <c r="E226" s="10" t="s">
        <v>81</v>
      </c>
      <c r="F226" s="71">
        <v>0.55000000000000004</v>
      </c>
      <c r="H226" s="71">
        <v>1600</v>
      </c>
      <c r="I226" s="10" t="s">
        <v>81</v>
      </c>
      <c r="J226" s="71">
        <v>0.55000000000000004</v>
      </c>
    </row>
    <row r="227" spans="2:10" hidden="1" outlineLevel="1" x14ac:dyDescent="0.25">
      <c r="B227" t="s">
        <v>21</v>
      </c>
      <c r="C227" s="10" t="s">
        <v>77</v>
      </c>
      <c r="D227" s="71">
        <v>4000</v>
      </c>
      <c r="E227" s="10" t="s">
        <v>81</v>
      </c>
      <c r="F227" s="71">
        <v>0.55000000000000004</v>
      </c>
      <c r="H227" s="71">
        <v>1600</v>
      </c>
      <c r="I227" s="10" t="s">
        <v>81</v>
      </c>
      <c r="J227" s="71">
        <v>0.55000000000000004</v>
      </c>
    </row>
    <row r="228" spans="2:10" hidden="1" outlineLevel="1" x14ac:dyDescent="0.25">
      <c r="B228" t="s">
        <v>15</v>
      </c>
      <c r="C228" s="10" t="s">
        <v>77</v>
      </c>
      <c r="D228" s="71">
        <v>1600</v>
      </c>
      <c r="E228" s="10" t="s">
        <v>81</v>
      </c>
      <c r="F228" s="71">
        <v>0.55000000000000004</v>
      </c>
      <c r="H228" s="71">
        <v>1600</v>
      </c>
      <c r="I228" s="10" t="s">
        <v>81</v>
      </c>
      <c r="J228" s="71">
        <v>0.55000000000000004</v>
      </c>
    </row>
    <row r="229" spans="2:10" hidden="1" outlineLevel="1" x14ac:dyDescent="0.25">
      <c r="B229" t="s">
        <v>26</v>
      </c>
      <c r="C229" s="10" t="s">
        <v>77</v>
      </c>
      <c r="D229" s="71">
        <v>1800</v>
      </c>
      <c r="E229" s="10" t="s">
        <v>81</v>
      </c>
      <c r="F229" s="71">
        <v>0.35</v>
      </c>
      <c r="H229" s="71">
        <v>1600</v>
      </c>
      <c r="I229" s="10" t="s">
        <v>81</v>
      </c>
      <c r="J229" s="71">
        <v>0.55000000000000004</v>
      </c>
    </row>
    <row r="230" spans="2:10" s="55" customFormat="1" hidden="1" outlineLevel="1" x14ac:dyDescent="0.25">
      <c r="B230" s="55" t="s">
        <v>36</v>
      </c>
      <c r="D230" s="55" t="s">
        <v>75</v>
      </c>
      <c r="E230" s="55" t="s">
        <v>208</v>
      </c>
      <c r="H230" s="55" t="s">
        <v>76</v>
      </c>
      <c r="I230" s="55" t="s">
        <v>208</v>
      </c>
    </row>
    <row r="231" spans="2:10" s="50" customFormat="1" hidden="1" outlineLevel="1" x14ac:dyDescent="0.25">
      <c r="D231" s="51"/>
      <c r="E231" s="51"/>
      <c r="F231" s="51"/>
    </row>
    <row r="232" spans="2:10" hidden="1" outlineLevel="1" x14ac:dyDescent="0.25">
      <c r="B232" t="s">
        <v>30</v>
      </c>
      <c r="C232" s="10" t="s">
        <v>77</v>
      </c>
      <c r="D232" s="85">
        <v>22</v>
      </c>
      <c r="E232" s="10" t="s">
        <v>90</v>
      </c>
      <c r="F232" s="10"/>
    </row>
    <row r="233" spans="2:10" hidden="1" outlineLevel="1" x14ac:dyDescent="0.25">
      <c r="B233" t="s">
        <v>20</v>
      </c>
      <c r="C233" s="10" t="s">
        <v>77</v>
      </c>
      <c r="D233" s="85">
        <v>9000</v>
      </c>
      <c r="E233" s="10" t="s">
        <v>89</v>
      </c>
      <c r="F233" s="84">
        <v>0.6</v>
      </c>
    </row>
    <row r="234" spans="2:10" hidden="1" outlineLevel="1" x14ac:dyDescent="0.25">
      <c r="B234" t="s">
        <v>25</v>
      </c>
      <c r="C234" s="10" t="s">
        <v>77</v>
      </c>
      <c r="D234" s="85">
        <v>450</v>
      </c>
      <c r="E234" s="10" t="s">
        <v>93</v>
      </c>
      <c r="F234" s="10"/>
    </row>
    <row r="235" spans="2:10" hidden="1" outlineLevel="1" x14ac:dyDescent="0.25">
      <c r="B235" t="s">
        <v>24</v>
      </c>
      <c r="C235" s="10" t="s">
        <v>77</v>
      </c>
      <c r="D235" s="71">
        <v>75</v>
      </c>
      <c r="E235" s="10" t="s">
        <v>90</v>
      </c>
      <c r="F235" s="10"/>
    </row>
    <row r="236" spans="2:10" hidden="1" outlineLevel="1" x14ac:dyDescent="0.25">
      <c r="B236" t="s">
        <v>9</v>
      </c>
      <c r="C236" s="10" t="s">
        <v>77</v>
      </c>
      <c r="D236" s="71">
        <v>1200</v>
      </c>
      <c r="E236" s="10" t="s">
        <v>92</v>
      </c>
      <c r="F236" s="10"/>
    </row>
    <row r="237" spans="2:10" hidden="1" outlineLevel="1" x14ac:dyDescent="0.25">
      <c r="B237" t="s">
        <v>23</v>
      </c>
      <c r="C237" s="10" t="s">
        <v>77</v>
      </c>
      <c r="D237" s="71">
        <v>900</v>
      </c>
      <c r="E237" s="10" t="s">
        <v>91</v>
      </c>
      <c r="F237" s="10"/>
    </row>
    <row r="238" spans="2:10" hidden="1" outlineLevel="1" x14ac:dyDescent="0.25">
      <c r="B238" t="s">
        <v>28</v>
      </c>
      <c r="C238" s="10" t="s">
        <v>77</v>
      </c>
      <c r="D238" s="71">
        <v>1000</v>
      </c>
      <c r="E238" s="10" t="s">
        <v>88</v>
      </c>
      <c r="F238" s="10"/>
    </row>
    <row r="239" spans="2:10" ht="15.75" hidden="1" customHeight="1" outlineLevel="1" x14ac:dyDescent="0.25">
      <c r="B239" t="s">
        <v>27</v>
      </c>
      <c r="C239" s="10" t="s">
        <v>77</v>
      </c>
      <c r="D239" s="71">
        <v>3.5</v>
      </c>
      <c r="E239" s="10" t="s">
        <v>87</v>
      </c>
      <c r="F239" s="71">
        <v>1000</v>
      </c>
    </row>
    <row r="240" spans="2:10" s="55" customFormat="1" hidden="1" outlineLevel="1" x14ac:dyDescent="0.25">
      <c r="B240" s="55" t="s">
        <v>36</v>
      </c>
      <c r="D240" s="55" t="s">
        <v>75</v>
      </c>
      <c r="E240" s="55" t="s">
        <v>208</v>
      </c>
      <c r="H240" s="55" t="s">
        <v>76</v>
      </c>
      <c r="I240" s="55" t="s">
        <v>208</v>
      </c>
    </row>
    <row r="241" spans="2:14" s="50" customFormat="1" hidden="1" outlineLevel="1" x14ac:dyDescent="0.25">
      <c r="E241" s="51"/>
      <c r="F241" s="51"/>
    </row>
    <row r="242" spans="2:14" hidden="1" outlineLevel="1" x14ac:dyDescent="0.25">
      <c r="B242" t="s">
        <v>84</v>
      </c>
      <c r="C242" s="10" t="s">
        <v>77</v>
      </c>
      <c r="D242" s="85">
        <v>25</v>
      </c>
      <c r="E242" s="10" t="s">
        <v>86</v>
      </c>
      <c r="F242" s="80">
        <v>0.7</v>
      </c>
    </row>
    <row r="243" spans="2:14" hidden="1" outlineLevel="1" x14ac:dyDescent="0.25">
      <c r="B243" t="s">
        <v>85</v>
      </c>
      <c r="C243" s="10" t="s">
        <v>77</v>
      </c>
      <c r="D243" s="85">
        <v>70</v>
      </c>
      <c r="E243" s="10" t="s">
        <v>86</v>
      </c>
      <c r="F243" s="80">
        <v>0.45</v>
      </c>
    </row>
    <row r="244" spans="2:14" s="55" customFormat="1" hidden="1" outlineLevel="1" x14ac:dyDescent="0.25">
      <c r="B244" s="55" t="s">
        <v>94</v>
      </c>
      <c r="E244" s="55" t="s">
        <v>208</v>
      </c>
    </row>
    <row r="245" spans="2:14" s="50" customFormat="1" hidden="1" outlineLevel="1" x14ac:dyDescent="0.25"/>
    <row r="246" spans="2:14" hidden="1" outlineLevel="1" x14ac:dyDescent="0.25">
      <c r="B246" t="s">
        <v>47</v>
      </c>
      <c r="C246" s="10" t="s">
        <v>13</v>
      </c>
      <c r="D246" s="71">
        <v>1.3</v>
      </c>
    </row>
    <row r="247" spans="2:14" s="55" customFormat="1" hidden="1" outlineLevel="1" x14ac:dyDescent="0.25">
      <c r="B247" s="55" t="s">
        <v>11</v>
      </c>
      <c r="L247" s="55" t="s">
        <v>208</v>
      </c>
    </row>
    <row r="248" spans="2:14" s="50" customFormat="1" hidden="1" outlineLevel="1" x14ac:dyDescent="0.25">
      <c r="D248" s="51" t="s">
        <v>223</v>
      </c>
      <c r="L248" s="51">
        <v>2020</v>
      </c>
      <c r="M248" s="51">
        <v>2035</v>
      </c>
      <c r="N248" s="51">
        <v>2050</v>
      </c>
    </row>
    <row r="249" spans="2:14" hidden="1" outlineLevel="1" x14ac:dyDescent="0.25">
      <c r="B249" t="s">
        <v>30</v>
      </c>
      <c r="C249" s="10" t="s">
        <v>13</v>
      </c>
      <c r="D249" s="85">
        <f>IF(Übersicht!$H$3=2020,L249,IF(Übersicht!$H$3=2035,M249,N249))</f>
        <v>1</v>
      </c>
      <c r="L249" s="85">
        <v>1</v>
      </c>
      <c r="M249" s="85">
        <v>1</v>
      </c>
      <c r="N249" s="85">
        <v>1</v>
      </c>
    </row>
    <row r="250" spans="2:14" hidden="1" outlineLevel="1" x14ac:dyDescent="0.25">
      <c r="B250" t="s">
        <v>16</v>
      </c>
      <c r="C250" s="10" t="s">
        <v>13</v>
      </c>
      <c r="D250" s="72">
        <f>IF(Übersicht!$H$3=2020,L250,IF(Übersicht!$H$3=2035,M250,N250))</f>
        <v>1</v>
      </c>
      <c r="L250" s="86">
        <v>1</v>
      </c>
      <c r="M250" s="86">
        <v>1</v>
      </c>
      <c r="N250" s="86">
        <v>1</v>
      </c>
    </row>
    <row r="251" spans="2:14" hidden="1" outlineLevel="1" x14ac:dyDescent="0.25">
      <c r="B251" t="s">
        <v>83</v>
      </c>
      <c r="C251" s="10" t="s">
        <v>13</v>
      </c>
      <c r="D251" s="72">
        <f>IF(Übersicht!$H$3=2020,L251,IF(Übersicht!$H$3=2035,M251,N251))</f>
        <v>1</v>
      </c>
      <c r="L251" s="86">
        <v>1</v>
      </c>
      <c r="M251" s="86">
        <v>1</v>
      </c>
      <c r="N251" s="86">
        <v>1</v>
      </c>
    </row>
    <row r="252" spans="2:14" hidden="1" outlineLevel="1" x14ac:dyDescent="0.25">
      <c r="B252" t="s">
        <v>20</v>
      </c>
      <c r="C252" s="10" t="s">
        <v>13</v>
      </c>
      <c r="D252" s="85">
        <f>IF(Übersicht!$H$3=2020,L252,IF(Übersicht!$H$3=2035,M252,N252))</f>
        <v>1</v>
      </c>
      <c r="L252" s="85">
        <v>1</v>
      </c>
      <c r="M252" s="85">
        <v>1</v>
      </c>
      <c r="N252" s="85">
        <v>1</v>
      </c>
    </row>
    <row r="253" spans="2:14" hidden="1" outlineLevel="1" x14ac:dyDescent="0.25">
      <c r="B253" t="s">
        <v>19</v>
      </c>
      <c r="C253" s="10" t="s">
        <v>13</v>
      </c>
      <c r="D253" s="72">
        <f>IF(Übersicht!$H$3=2020,L253,IF(Übersicht!$H$3=2035,M253,N253))</f>
        <v>1</v>
      </c>
      <c r="L253" s="86">
        <v>1</v>
      </c>
      <c r="M253" s="86">
        <v>1</v>
      </c>
      <c r="N253" s="86">
        <v>1</v>
      </c>
    </row>
    <row r="254" spans="2:14" hidden="1" outlineLevel="1" x14ac:dyDescent="0.25">
      <c r="B254" t="s">
        <v>17</v>
      </c>
      <c r="C254" s="10" t="s">
        <v>13</v>
      </c>
      <c r="D254" s="72">
        <f>IF(Übersicht!$H$3=2020,L254,IF(Übersicht!$H$3=2035,M254,N254))</f>
        <v>1</v>
      </c>
      <c r="L254" s="86">
        <v>1</v>
      </c>
      <c r="M254" s="86">
        <v>1</v>
      </c>
      <c r="N254" s="86">
        <v>1</v>
      </c>
    </row>
    <row r="255" spans="2:14" hidden="1" outlineLevel="1" x14ac:dyDescent="0.25">
      <c r="B255" t="s">
        <v>28</v>
      </c>
      <c r="C255" s="10" t="s">
        <v>13</v>
      </c>
      <c r="D255" s="72">
        <f>IF(Übersicht!$H$3=2020,L255,IF(Übersicht!$H$3=2035,M255,N255))</f>
        <v>1</v>
      </c>
      <c r="L255" s="86">
        <v>1</v>
      </c>
      <c r="M255" s="86">
        <v>1</v>
      </c>
      <c r="N255" s="86">
        <v>1</v>
      </c>
    </row>
    <row r="256" spans="2:14" hidden="1" outlineLevel="1" x14ac:dyDescent="0.25">
      <c r="B256" t="s">
        <v>82</v>
      </c>
      <c r="C256" s="10" t="s">
        <v>13</v>
      </c>
      <c r="D256" s="72">
        <f>IF(Übersicht!$H$3=2020,L256,IF(Übersicht!$H$3=2035,M256,N256))</f>
        <v>1</v>
      </c>
      <c r="L256" s="86">
        <v>1</v>
      </c>
      <c r="M256" s="86">
        <v>1</v>
      </c>
      <c r="N256" s="86">
        <v>1</v>
      </c>
    </row>
    <row r="257" spans="1:14" hidden="1" outlineLevel="1" x14ac:dyDescent="0.25">
      <c r="B257" t="s">
        <v>12</v>
      </c>
      <c r="C257" s="10" t="s">
        <v>13</v>
      </c>
      <c r="D257" s="72">
        <f>IF(Übersicht!$H$3=2020,L257,IF(Übersicht!$H$3=2035,M257,N257))</f>
        <v>1</v>
      </c>
      <c r="L257" s="86">
        <v>1</v>
      </c>
      <c r="M257" s="86">
        <v>1</v>
      </c>
      <c r="N257" s="86">
        <v>1</v>
      </c>
    </row>
    <row r="258" spans="1:14" hidden="1" outlineLevel="1" x14ac:dyDescent="0.25">
      <c r="B258" t="s">
        <v>22</v>
      </c>
      <c r="C258" s="10" t="s">
        <v>13</v>
      </c>
      <c r="D258" s="72">
        <f>IF(Übersicht!$H$3=2020,L258,IF(Übersicht!$H$3=2035,M258,N258))</f>
        <v>1</v>
      </c>
      <c r="L258" s="86">
        <v>1</v>
      </c>
      <c r="M258" s="86">
        <v>1</v>
      </c>
      <c r="N258" s="86">
        <v>1</v>
      </c>
    </row>
    <row r="259" spans="1:14" hidden="1" outlineLevel="1" x14ac:dyDescent="0.25">
      <c r="B259" t="s">
        <v>21</v>
      </c>
      <c r="C259" s="10" t="s">
        <v>13</v>
      </c>
      <c r="D259" s="72">
        <f>IF(Übersicht!$H$3=2020,L259,IF(Übersicht!$H$3=2035,M259,N259))</f>
        <v>1</v>
      </c>
      <c r="L259" s="86">
        <v>1</v>
      </c>
      <c r="M259" s="86">
        <v>1</v>
      </c>
      <c r="N259" s="86">
        <v>1</v>
      </c>
    </row>
    <row r="260" spans="1:14" hidden="1" outlineLevel="1" x14ac:dyDescent="0.25">
      <c r="B260" t="s">
        <v>18</v>
      </c>
      <c r="C260" s="10" t="s">
        <v>13</v>
      </c>
      <c r="D260" s="72">
        <f>IF(Übersicht!$H$3=2020,L260,IF(Übersicht!$H$3=2035,M260,N260))</f>
        <v>1</v>
      </c>
      <c r="L260" s="86">
        <v>1</v>
      </c>
      <c r="M260" s="86">
        <v>1</v>
      </c>
      <c r="N260" s="86">
        <v>1</v>
      </c>
    </row>
    <row r="261" spans="1:14" hidden="1" outlineLevel="1" x14ac:dyDescent="0.25">
      <c r="B261" t="s">
        <v>25</v>
      </c>
      <c r="C261" s="10" t="s">
        <v>13</v>
      </c>
      <c r="D261" s="85">
        <f>IF(Übersicht!$H$3=2020,L261,IF(Übersicht!$H$3=2035,M261,N261))</f>
        <v>1</v>
      </c>
      <c r="L261" s="85">
        <v>1</v>
      </c>
      <c r="M261" s="85">
        <v>1</v>
      </c>
      <c r="N261" s="85">
        <v>1</v>
      </c>
    </row>
    <row r="262" spans="1:14" hidden="1" outlineLevel="1" x14ac:dyDescent="0.25">
      <c r="B262" t="s">
        <v>26</v>
      </c>
      <c r="C262" s="10" t="s">
        <v>13</v>
      </c>
      <c r="D262" s="72">
        <f>IF(Übersicht!$H$3=2020,L262,IF(Übersicht!$H$3=2035,M262,N262))</f>
        <v>1</v>
      </c>
      <c r="L262" s="86">
        <v>1</v>
      </c>
      <c r="M262" s="86">
        <v>1</v>
      </c>
      <c r="N262" s="86">
        <v>1</v>
      </c>
    </row>
    <row r="263" spans="1:14" hidden="1" outlineLevel="1" x14ac:dyDescent="0.25">
      <c r="B263" t="s">
        <v>29</v>
      </c>
      <c r="C263" s="10" t="s">
        <v>13</v>
      </c>
      <c r="D263" s="72">
        <f>IF(Übersicht!$H$3=2020,L263,IF(Übersicht!$H$3=2035,M263,N263))</f>
        <v>1</v>
      </c>
      <c r="L263" s="86">
        <v>1</v>
      </c>
      <c r="M263" s="86">
        <v>1</v>
      </c>
      <c r="N263" s="86">
        <v>1</v>
      </c>
    </row>
    <row r="264" spans="1:14" hidden="1" outlineLevel="1" x14ac:dyDescent="0.25">
      <c r="B264" t="s">
        <v>15</v>
      </c>
      <c r="C264" s="10" t="s">
        <v>13</v>
      </c>
      <c r="D264" s="72">
        <f>IF(Übersicht!$H$3=2020,L264,IF(Übersicht!$H$3=2035,M264,N264))</f>
        <v>1</v>
      </c>
      <c r="L264" s="86">
        <v>1</v>
      </c>
      <c r="M264" s="86">
        <v>1</v>
      </c>
      <c r="N264" s="86">
        <v>1</v>
      </c>
    </row>
    <row r="265" spans="1:14" hidden="1" outlineLevel="1" x14ac:dyDescent="0.25">
      <c r="B265" t="s">
        <v>9</v>
      </c>
      <c r="C265" s="10" t="s">
        <v>13</v>
      </c>
      <c r="D265" s="72">
        <f>IF(Übersicht!$H$3=2020,L265,IF(Übersicht!$H$3=2035,M265,N265))</f>
        <v>1</v>
      </c>
      <c r="L265" s="86">
        <v>1</v>
      </c>
      <c r="M265" s="86">
        <v>1</v>
      </c>
      <c r="N265" s="86">
        <v>1</v>
      </c>
    </row>
    <row r="266" spans="1:14" hidden="1" outlineLevel="1" x14ac:dyDescent="0.25">
      <c r="B266" t="s">
        <v>23</v>
      </c>
      <c r="C266" s="10" t="s">
        <v>13</v>
      </c>
      <c r="D266" s="72">
        <f>IF(Übersicht!$H$3=2020,L266,IF(Übersicht!$H$3=2035,M266,N266))</f>
        <v>1</v>
      </c>
      <c r="L266" s="86">
        <v>1</v>
      </c>
      <c r="M266" s="86">
        <v>1</v>
      </c>
      <c r="N266" s="86">
        <v>1</v>
      </c>
    </row>
    <row r="267" spans="1:14" hidden="1" outlineLevel="1" x14ac:dyDescent="0.25">
      <c r="B267" t="s">
        <v>27</v>
      </c>
      <c r="C267" s="10" t="s">
        <v>13</v>
      </c>
      <c r="D267" s="72">
        <f>IF(Übersicht!$H$3=2020,L267,IF(Übersicht!$H$3=2035,M267,N267))</f>
        <v>1</v>
      </c>
      <c r="L267" s="86">
        <v>1</v>
      </c>
      <c r="M267" s="86">
        <v>1</v>
      </c>
      <c r="N267" s="86">
        <v>1</v>
      </c>
    </row>
    <row r="268" spans="1:14" hidden="1" outlineLevel="1" x14ac:dyDescent="0.25">
      <c r="B268" t="s">
        <v>24</v>
      </c>
      <c r="C268" s="10" t="s">
        <v>13</v>
      </c>
      <c r="D268" s="72">
        <f>IF(Übersicht!$H$3=2020,L268,IF(Übersicht!$H$3=2035,M268,N268))</f>
        <v>1</v>
      </c>
      <c r="L268" s="86">
        <v>1</v>
      </c>
      <c r="M268" s="86">
        <v>1</v>
      </c>
      <c r="N268" s="86">
        <v>1</v>
      </c>
    </row>
    <row r="269" spans="1:14" s="22" customFormat="1" collapsed="1" x14ac:dyDescent="0.25">
      <c r="A269" s="21" t="s">
        <v>301</v>
      </c>
      <c r="C269" s="23"/>
      <c r="D269" s="24"/>
    </row>
    <row r="270" spans="1:14" s="55" customFormat="1" hidden="1" outlineLevel="1" x14ac:dyDescent="0.25">
      <c r="B270" s="55" t="s">
        <v>663</v>
      </c>
      <c r="D270" s="55" t="s">
        <v>208</v>
      </c>
    </row>
    <row r="271" spans="1:14" s="50" customFormat="1" hidden="1" outlineLevel="1" x14ac:dyDescent="0.25">
      <c r="D271" s="51"/>
    </row>
    <row r="272" spans="1:14" hidden="1" outlineLevel="1" x14ac:dyDescent="0.25">
      <c r="B272" t="s">
        <v>37</v>
      </c>
      <c r="C272" s="10" t="s">
        <v>38</v>
      </c>
      <c r="D272" s="59">
        <v>0.02</v>
      </c>
      <c r="E272" s="3"/>
    </row>
    <row r="273" spans="2:20" hidden="1" outlineLevel="1" x14ac:dyDescent="0.25">
      <c r="B273" t="s">
        <v>664</v>
      </c>
      <c r="C273" s="10" t="s">
        <v>34</v>
      </c>
      <c r="D273" s="70">
        <v>30</v>
      </c>
      <c r="E273" s="3"/>
    </row>
    <row r="274" spans="2:20" s="55" customFormat="1" hidden="1" outlineLevel="1" x14ac:dyDescent="0.25">
      <c r="B274" s="55" t="s">
        <v>0</v>
      </c>
      <c r="D274" s="55" t="s">
        <v>1</v>
      </c>
      <c r="L274" s="55" t="s">
        <v>208</v>
      </c>
      <c r="Q274" s="55" t="s">
        <v>860</v>
      </c>
    </row>
    <row r="275" spans="2:20" s="50" customFormat="1" hidden="1" outlineLevel="1" x14ac:dyDescent="0.25">
      <c r="D275" s="51" t="s">
        <v>223</v>
      </c>
      <c r="L275" s="51">
        <v>2020</v>
      </c>
      <c r="M275" s="51">
        <v>2035</v>
      </c>
      <c r="N275" s="51">
        <v>2050</v>
      </c>
      <c r="O275" s="51" t="s">
        <v>223</v>
      </c>
      <c r="Q275" s="51">
        <v>2020</v>
      </c>
      <c r="R275" s="51">
        <v>2035</v>
      </c>
      <c r="S275" s="51">
        <v>2050</v>
      </c>
      <c r="T275" s="51" t="s">
        <v>223</v>
      </c>
    </row>
    <row r="276" spans="2:20" hidden="1" outlineLevel="1" x14ac:dyDescent="0.25">
      <c r="B276" t="s">
        <v>2</v>
      </c>
      <c r="C276" s="10" t="s">
        <v>31</v>
      </c>
      <c r="D276" s="98">
        <f>IF(Übersicht!$H$7=Übersicht!$L$7,Daten_ALLG!O276,Daten_ALLG!T276)</f>
        <v>8.6999999999999994E-2</v>
      </c>
      <c r="L276" s="75">
        <v>0.06</v>
      </c>
      <c r="M276" s="81">
        <v>0.1</v>
      </c>
      <c r="N276" s="81">
        <v>0.18</v>
      </c>
      <c r="O276" s="97">
        <f>IF(Übersicht!$H$3=2020,L276,IF(Übersicht!$H$3=2035,M276,N276))</f>
        <v>0.06</v>
      </c>
      <c r="Q276" s="77">
        <v>8.6999999999999994E-2</v>
      </c>
      <c r="R276" s="87">
        <v>0.1212</v>
      </c>
      <c r="S276" s="87">
        <v>0.15739999999999998</v>
      </c>
      <c r="T276" s="97">
        <f>IF(Übersicht!$H$3=2020,Q276,IF(Übersicht!$H$3=2035,R276,S276))</f>
        <v>8.6999999999999994E-2</v>
      </c>
    </row>
    <row r="277" spans="2:20" hidden="1" outlineLevel="1" x14ac:dyDescent="0.25">
      <c r="B277" t="s">
        <v>3</v>
      </c>
      <c r="C277" s="10" t="s">
        <v>31</v>
      </c>
      <c r="D277" s="98">
        <f>IF(Übersicht!$H$7=Übersicht!$L$7,Daten_ALLG!O277,Daten_ALLG!T277)</f>
        <v>0.122</v>
      </c>
      <c r="L277" s="75">
        <v>0.06</v>
      </c>
      <c r="M277" s="81">
        <v>0.12</v>
      </c>
      <c r="N277" s="81">
        <v>0.24</v>
      </c>
      <c r="O277" s="97">
        <f>IF(Übersicht!$H$3=2020,L277,IF(Übersicht!$H$3=2035,M277,N277))</f>
        <v>0.06</v>
      </c>
      <c r="Q277" s="77">
        <v>0.122</v>
      </c>
      <c r="R277" s="87">
        <v>0.17149999999999999</v>
      </c>
      <c r="S277" s="87">
        <v>0.22439999999999999</v>
      </c>
      <c r="T277" s="97">
        <f>IF(Übersicht!$H$3=2020,Q277,IF(Übersicht!$H$3=2035,R277,S277))</f>
        <v>0.122</v>
      </c>
    </row>
    <row r="278" spans="2:20" hidden="1" outlineLevel="1" x14ac:dyDescent="0.25">
      <c r="B278" t="s">
        <v>7</v>
      </c>
      <c r="C278" s="10" t="s">
        <v>31</v>
      </c>
      <c r="D278" s="98">
        <f>IF(Übersicht!$H$7=Übersicht!$L$7,Daten_ALLG!O278,Daten_ALLG!T278)</f>
        <v>0.186</v>
      </c>
      <c r="L278" s="75">
        <v>0.31</v>
      </c>
      <c r="M278" s="81">
        <v>0.18</v>
      </c>
      <c r="N278" s="81">
        <v>0.24</v>
      </c>
      <c r="O278" s="97">
        <f>IF(Übersicht!$H$3=2020,L278,IF(Übersicht!$H$3=2035,M278,N278))</f>
        <v>0.31</v>
      </c>
      <c r="Q278" s="77">
        <v>0.186</v>
      </c>
      <c r="R278" s="87">
        <v>0.23099999999999998</v>
      </c>
      <c r="S278" s="87">
        <v>0.218</v>
      </c>
      <c r="T278" s="97">
        <f>IF(Übersicht!$H$3=2020,Q278,IF(Übersicht!$H$3=2035,R278,S278))</f>
        <v>0.186</v>
      </c>
    </row>
    <row r="279" spans="2:20" hidden="1" outlineLevel="1" x14ac:dyDescent="0.25">
      <c r="B279" t="s">
        <v>817</v>
      </c>
      <c r="C279" s="10" t="s">
        <v>31</v>
      </c>
      <c r="D279" s="98">
        <f>IF(Übersicht!$H$7=Übersicht!$L$7,Daten_ALLG!O279,Daten_ALLG!T279)</f>
        <v>0.186</v>
      </c>
      <c r="L279" s="75">
        <v>0.22</v>
      </c>
      <c r="M279" s="81">
        <v>0.18</v>
      </c>
      <c r="N279" s="81">
        <v>0.18</v>
      </c>
      <c r="O279" s="97">
        <f>IF(Übersicht!$H$3=2020,L279,IF(Übersicht!$H$3=2035,M279,N279))</f>
        <v>0.22</v>
      </c>
      <c r="Q279" s="77">
        <v>0.186</v>
      </c>
      <c r="R279" s="87">
        <v>0.23099999999999998</v>
      </c>
      <c r="S279" s="87">
        <v>0.218</v>
      </c>
      <c r="T279" s="97">
        <f>IF(Übersicht!$H$3=2020,Q279,IF(Übersicht!$H$3=2035,R279,S279))</f>
        <v>0.186</v>
      </c>
    </row>
    <row r="280" spans="2:20" hidden="1" outlineLevel="1" x14ac:dyDescent="0.25">
      <c r="B280" t="s">
        <v>8</v>
      </c>
      <c r="C280" s="10" t="s">
        <v>31</v>
      </c>
      <c r="D280" s="98">
        <f>IF(Übersicht!$H$7=Übersicht!$L$7,Daten_ALLG!O280,Daten_ALLG!T280)</f>
        <v>0.10199999999999999</v>
      </c>
      <c r="L280" s="75">
        <v>0.09</v>
      </c>
      <c r="M280" s="81">
        <v>0.15</v>
      </c>
      <c r="N280" s="81">
        <v>0.2</v>
      </c>
      <c r="O280" s="97">
        <f>IF(Übersicht!$H$3=2020,L280,IF(Übersicht!$H$3=2035,M280,N280))</f>
        <v>0.09</v>
      </c>
      <c r="Q280" s="77">
        <v>0.10199999999999999</v>
      </c>
      <c r="R280" s="87">
        <v>0.129</v>
      </c>
      <c r="S280" s="87">
        <v>0.1404</v>
      </c>
      <c r="T280" s="97">
        <f>IF(Übersicht!$H$3=2020,Q280,IF(Übersicht!$H$3=2035,R280,S280))</f>
        <v>0.10199999999999999</v>
      </c>
    </row>
    <row r="281" spans="2:20" hidden="1" outlineLevel="1" x14ac:dyDescent="0.25">
      <c r="B281" t="s">
        <v>6</v>
      </c>
      <c r="C281" s="10" t="s">
        <v>31</v>
      </c>
      <c r="D281" s="98">
        <f>IF(Übersicht!$H$7=Übersicht!$L$7,Daten_ALLG!O281,Daten_ALLG!T281)</f>
        <v>0.05</v>
      </c>
      <c r="L281" s="75">
        <v>0.05</v>
      </c>
      <c r="M281" s="81">
        <v>0.06</v>
      </c>
      <c r="N281" s="81">
        <v>7.0000000000000007E-2</v>
      </c>
      <c r="O281" s="97">
        <f>IF(Übersicht!$H$3=2020,L281,IF(Übersicht!$H$3=2035,M281,N281))</f>
        <v>0.05</v>
      </c>
      <c r="Q281" s="77">
        <v>0.05</v>
      </c>
      <c r="R281" s="87">
        <v>5.2700000000000004E-2</v>
      </c>
      <c r="S281" s="87">
        <v>5.96E-2</v>
      </c>
      <c r="T281" s="97">
        <f>IF(Übersicht!$H$3=2020,Q281,IF(Übersicht!$H$3=2035,R281,S281))</f>
        <v>0.05</v>
      </c>
    </row>
    <row r="282" spans="2:20" s="55" customFormat="1" hidden="1" outlineLevel="1" x14ac:dyDescent="0.25">
      <c r="B282" s="55" t="s">
        <v>707</v>
      </c>
      <c r="L282" s="55" t="s">
        <v>208</v>
      </c>
      <c r="Q282" s="55" t="s">
        <v>860</v>
      </c>
    </row>
    <row r="283" spans="2:20" s="50" customFormat="1" hidden="1" outlineLevel="1" x14ac:dyDescent="0.25">
      <c r="D283" s="51" t="s">
        <v>223</v>
      </c>
      <c r="L283" s="51">
        <v>2020</v>
      </c>
      <c r="M283" s="51">
        <v>2035</v>
      </c>
      <c r="N283" s="51">
        <v>2050</v>
      </c>
      <c r="O283" s="51" t="s">
        <v>223</v>
      </c>
      <c r="Q283" s="51">
        <v>2020</v>
      </c>
      <c r="R283" s="51">
        <v>2035</v>
      </c>
      <c r="S283" s="51">
        <v>2050</v>
      </c>
    </row>
    <row r="284" spans="2:20" hidden="1" outlineLevel="1" x14ac:dyDescent="0.25">
      <c r="B284" t="s">
        <v>708</v>
      </c>
      <c r="C284" s="10" t="s">
        <v>31</v>
      </c>
      <c r="D284" s="98">
        <f>IF(Übersicht!$H$7=Übersicht!$L$7,Daten_ALLG!O284,Daten_ALLG!T284)</f>
        <v>6.6000000000000003E-2</v>
      </c>
      <c r="L284" s="77">
        <v>0.09</v>
      </c>
      <c r="M284" s="83">
        <v>7.0000000000000007E-2</v>
      </c>
      <c r="N284" s="87">
        <v>0.05</v>
      </c>
      <c r="O284" s="97">
        <f>IF(Übersicht!$H$3=2020,L284,IF(Übersicht!$H$3=2035,M284,N284))</f>
        <v>0.09</v>
      </c>
      <c r="Q284" s="77">
        <v>6.6000000000000003E-2</v>
      </c>
      <c r="R284" s="83">
        <v>6.6000000000000003E-2</v>
      </c>
      <c r="S284" s="87">
        <v>6.6000000000000003E-2</v>
      </c>
      <c r="T284" s="97">
        <f>IF(Übersicht!$H$3=2020,Q284,IF(Übersicht!$H$3=2035,R284,S284))</f>
        <v>6.6000000000000003E-2</v>
      </c>
    </row>
    <row r="285" spans="2:20" s="55" customFormat="1" hidden="1" outlineLevel="1" x14ac:dyDescent="0.25">
      <c r="B285" s="55" t="s">
        <v>14</v>
      </c>
      <c r="D285" s="55" t="s">
        <v>208</v>
      </c>
    </row>
    <row r="286" spans="2:20" s="50" customFormat="1" hidden="1" outlineLevel="1" x14ac:dyDescent="0.25">
      <c r="B286" s="51"/>
      <c r="D286" s="51"/>
      <c r="G286" s="51"/>
    </row>
    <row r="287" spans="2:20" hidden="1" outlineLevel="1" x14ac:dyDescent="0.25">
      <c r="B287" t="s">
        <v>30</v>
      </c>
      <c r="C287" s="10" t="s">
        <v>13</v>
      </c>
      <c r="D287" s="88">
        <v>0.03</v>
      </c>
      <c r="E287" s="3"/>
      <c r="F287" s="3"/>
    </row>
    <row r="288" spans="2:20" hidden="1" outlineLevel="1" x14ac:dyDescent="0.25">
      <c r="B288" t="s">
        <v>16</v>
      </c>
      <c r="C288" s="10" t="s">
        <v>13</v>
      </c>
      <c r="D288" s="59">
        <v>0.01</v>
      </c>
      <c r="E288" s="3"/>
      <c r="F288" s="3"/>
    </row>
    <row r="289" spans="2:6" hidden="1" outlineLevel="1" x14ac:dyDescent="0.25">
      <c r="B289" t="s">
        <v>83</v>
      </c>
      <c r="C289" s="10" t="s">
        <v>13</v>
      </c>
      <c r="D289" s="59">
        <v>0.02</v>
      </c>
      <c r="E289" s="3"/>
      <c r="F289" s="3"/>
    </row>
    <row r="290" spans="2:6" hidden="1" outlineLevel="1" x14ac:dyDescent="0.25">
      <c r="B290" t="s">
        <v>20</v>
      </c>
      <c r="C290" s="10" t="s">
        <v>13</v>
      </c>
      <c r="D290" s="88">
        <v>0.05</v>
      </c>
      <c r="E290" s="3"/>
      <c r="F290" s="3"/>
    </row>
    <row r="291" spans="2:6" hidden="1" outlineLevel="1" x14ac:dyDescent="0.25">
      <c r="B291" t="s">
        <v>19</v>
      </c>
      <c r="C291" s="10" t="s">
        <v>13</v>
      </c>
      <c r="D291" s="59">
        <v>0</v>
      </c>
      <c r="E291" s="3"/>
      <c r="F291" s="3"/>
    </row>
    <row r="292" spans="2:6" hidden="1" outlineLevel="1" x14ac:dyDescent="0.25">
      <c r="B292" t="s">
        <v>17</v>
      </c>
      <c r="C292" s="10" t="s">
        <v>13</v>
      </c>
      <c r="D292" s="59">
        <v>0.01</v>
      </c>
      <c r="E292" s="3"/>
      <c r="F292" s="3"/>
    </row>
    <row r="293" spans="2:6" hidden="1" outlineLevel="1" x14ac:dyDescent="0.25">
      <c r="B293" t="s">
        <v>28</v>
      </c>
      <c r="C293" s="10" t="s">
        <v>13</v>
      </c>
      <c r="D293" s="59">
        <v>0</v>
      </c>
      <c r="E293" s="3"/>
      <c r="F293" s="3"/>
    </row>
    <row r="294" spans="2:6" hidden="1" outlineLevel="1" x14ac:dyDescent="0.25">
      <c r="B294" t="s">
        <v>82</v>
      </c>
      <c r="C294" s="10" t="s">
        <v>13</v>
      </c>
      <c r="D294" s="59">
        <v>0.02</v>
      </c>
      <c r="E294" s="3"/>
      <c r="F294" s="3"/>
    </row>
    <row r="295" spans="2:6" hidden="1" outlineLevel="1" x14ac:dyDescent="0.25">
      <c r="B295" t="s">
        <v>12</v>
      </c>
      <c r="C295" s="10" t="s">
        <v>13</v>
      </c>
      <c r="D295" s="59">
        <v>0.01</v>
      </c>
      <c r="E295" s="3"/>
      <c r="F295" s="3"/>
    </row>
    <row r="296" spans="2:6" hidden="1" outlineLevel="1" x14ac:dyDescent="0.25">
      <c r="B296" t="s">
        <v>22</v>
      </c>
      <c r="C296" s="10" t="s">
        <v>13</v>
      </c>
      <c r="D296" s="59">
        <v>0.02</v>
      </c>
      <c r="E296" s="3"/>
      <c r="F296" s="3"/>
    </row>
    <row r="297" spans="2:6" hidden="1" outlineLevel="1" x14ac:dyDescent="0.25">
      <c r="B297" t="s">
        <v>21</v>
      </c>
      <c r="C297" s="10" t="s">
        <v>13</v>
      </c>
      <c r="D297" s="59">
        <v>0.05</v>
      </c>
      <c r="E297" s="3"/>
      <c r="F297" s="3"/>
    </row>
    <row r="298" spans="2:6" hidden="1" outlineLevel="1" x14ac:dyDescent="0.25">
      <c r="B298" t="s">
        <v>18</v>
      </c>
      <c r="C298" s="10" t="s">
        <v>13</v>
      </c>
      <c r="D298" s="59">
        <v>0</v>
      </c>
      <c r="E298" s="3"/>
      <c r="F298" s="3"/>
    </row>
    <row r="299" spans="2:6" hidden="1" outlineLevel="1" x14ac:dyDescent="0.25">
      <c r="B299" t="s">
        <v>25</v>
      </c>
      <c r="C299" s="10" t="s">
        <v>13</v>
      </c>
      <c r="D299" s="88">
        <v>0.01</v>
      </c>
      <c r="E299" s="3"/>
      <c r="F299" s="3"/>
    </row>
    <row r="300" spans="2:6" hidden="1" outlineLevel="1" x14ac:dyDescent="0.25">
      <c r="B300" t="s">
        <v>26</v>
      </c>
      <c r="C300" s="10" t="s">
        <v>13</v>
      </c>
      <c r="D300" s="59">
        <v>1.4999999999999999E-2</v>
      </c>
      <c r="E300" s="3"/>
      <c r="F300" s="3"/>
    </row>
    <row r="301" spans="2:6" hidden="1" outlineLevel="1" x14ac:dyDescent="0.25">
      <c r="B301" t="s">
        <v>29</v>
      </c>
      <c r="C301" s="10" t="s">
        <v>13</v>
      </c>
      <c r="D301" s="59">
        <v>0</v>
      </c>
      <c r="E301" s="3"/>
      <c r="F301" s="3"/>
    </row>
    <row r="302" spans="2:6" hidden="1" outlineLevel="1" x14ac:dyDescent="0.25">
      <c r="B302" t="s">
        <v>15</v>
      </c>
      <c r="C302" s="10" t="s">
        <v>13</v>
      </c>
      <c r="D302" s="59">
        <v>0.02</v>
      </c>
      <c r="E302" s="3"/>
      <c r="F302" s="3"/>
    </row>
    <row r="303" spans="2:6" hidden="1" outlineLevel="1" x14ac:dyDescent="0.25">
      <c r="B303" t="s">
        <v>9</v>
      </c>
      <c r="C303" s="10" t="s">
        <v>13</v>
      </c>
      <c r="D303" s="59">
        <v>0.02</v>
      </c>
      <c r="E303" s="3"/>
      <c r="F303" s="3"/>
    </row>
    <row r="304" spans="2:6" hidden="1" outlineLevel="1" x14ac:dyDescent="0.25">
      <c r="B304" t="s">
        <v>23</v>
      </c>
      <c r="C304" s="10" t="s">
        <v>13</v>
      </c>
      <c r="D304" s="59">
        <v>1.4999999999999999E-2</v>
      </c>
      <c r="E304" s="3"/>
      <c r="F304" s="3"/>
    </row>
    <row r="305" spans="2:6" hidden="1" outlineLevel="1" x14ac:dyDescent="0.25">
      <c r="B305" t="s">
        <v>27</v>
      </c>
      <c r="C305" s="10" t="s">
        <v>13</v>
      </c>
      <c r="D305" s="59">
        <v>0</v>
      </c>
      <c r="E305" s="3"/>
      <c r="F305" s="3"/>
    </row>
    <row r="306" spans="2:6" hidden="1" outlineLevel="1" x14ac:dyDescent="0.25">
      <c r="B306" t="s">
        <v>24</v>
      </c>
      <c r="C306" s="10" t="s">
        <v>13</v>
      </c>
      <c r="D306" s="59">
        <v>0.05</v>
      </c>
      <c r="E306" s="3"/>
      <c r="F306" s="3"/>
    </row>
    <row r="307" spans="2:6" s="55" customFormat="1" hidden="1" outlineLevel="1" x14ac:dyDescent="0.25">
      <c r="B307" s="55" t="s">
        <v>35</v>
      </c>
      <c r="D307" s="55" t="s">
        <v>208</v>
      </c>
    </row>
    <row r="308" spans="2:6" s="50" customFormat="1" hidden="1" outlineLevel="1" x14ac:dyDescent="0.25">
      <c r="E308" s="51"/>
    </row>
    <row r="309" spans="2:6" hidden="1" outlineLevel="1" x14ac:dyDescent="0.25">
      <c r="B309" t="s">
        <v>30</v>
      </c>
      <c r="C309" s="10" t="s">
        <v>34</v>
      </c>
      <c r="D309" s="85">
        <v>25</v>
      </c>
    </row>
    <row r="310" spans="2:6" hidden="1" outlineLevel="1" x14ac:dyDescent="0.25">
      <c r="B310" t="s">
        <v>16</v>
      </c>
      <c r="C310" s="10" t="s">
        <v>34</v>
      </c>
      <c r="D310" s="71">
        <v>45</v>
      </c>
    </row>
    <row r="311" spans="2:6" hidden="1" outlineLevel="1" x14ac:dyDescent="0.25">
      <c r="B311" t="s">
        <v>83</v>
      </c>
      <c r="C311" s="10" t="s">
        <v>34</v>
      </c>
      <c r="D311" s="71">
        <v>25</v>
      </c>
    </row>
    <row r="312" spans="2:6" hidden="1" outlineLevel="1" x14ac:dyDescent="0.25">
      <c r="B312" t="s">
        <v>20</v>
      </c>
      <c r="C312" s="10" t="s">
        <v>34</v>
      </c>
      <c r="D312" s="85">
        <v>15</v>
      </c>
    </row>
    <row r="313" spans="2:6" hidden="1" outlineLevel="1" x14ac:dyDescent="0.25">
      <c r="B313" t="s">
        <v>19</v>
      </c>
      <c r="C313" s="10" t="s">
        <v>34</v>
      </c>
      <c r="D313" s="71">
        <v>75</v>
      </c>
    </row>
    <row r="314" spans="2:6" hidden="1" outlineLevel="1" x14ac:dyDescent="0.25">
      <c r="B314" t="s">
        <v>17</v>
      </c>
      <c r="C314" s="10" t="s">
        <v>34</v>
      </c>
      <c r="D314" s="71">
        <v>45</v>
      </c>
    </row>
    <row r="315" spans="2:6" hidden="1" outlineLevel="1" x14ac:dyDescent="0.25">
      <c r="B315" t="s">
        <v>28</v>
      </c>
      <c r="C315" s="10" t="s">
        <v>34</v>
      </c>
      <c r="D315" s="71">
        <v>15</v>
      </c>
    </row>
    <row r="316" spans="2:6" hidden="1" outlineLevel="1" x14ac:dyDescent="0.25">
      <c r="B316" t="s">
        <v>82</v>
      </c>
      <c r="C316" s="10" t="s">
        <v>34</v>
      </c>
      <c r="D316" s="71">
        <v>25</v>
      </c>
    </row>
    <row r="317" spans="2:6" hidden="1" outlineLevel="1" x14ac:dyDescent="0.25">
      <c r="B317" t="s">
        <v>12</v>
      </c>
      <c r="C317" s="10" t="s">
        <v>34</v>
      </c>
      <c r="D317" s="71">
        <v>35</v>
      </c>
    </row>
    <row r="318" spans="2:6" hidden="1" outlineLevel="1" x14ac:dyDescent="0.25">
      <c r="B318" t="s">
        <v>22</v>
      </c>
      <c r="C318" s="10" t="s">
        <v>34</v>
      </c>
      <c r="D318" s="71">
        <v>25</v>
      </c>
    </row>
    <row r="319" spans="2:6" hidden="1" outlineLevel="1" x14ac:dyDescent="0.25">
      <c r="B319" t="s">
        <v>21</v>
      </c>
      <c r="C319" s="10" t="s">
        <v>34</v>
      </c>
      <c r="D319" s="71">
        <v>25</v>
      </c>
    </row>
    <row r="320" spans="2:6" hidden="1" outlineLevel="1" x14ac:dyDescent="0.25">
      <c r="B320" t="s">
        <v>18</v>
      </c>
      <c r="C320" s="10" t="s">
        <v>34</v>
      </c>
      <c r="D320" s="71">
        <v>60</v>
      </c>
    </row>
    <row r="321" spans="2:4" hidden="1" outlineLevel="1" x14ac:dyDescent="0.25">
      <c r="B321" t="s">
        <v>25</v>
      </c>
      <c r="C321" s="10" t="s">
        <v>34</v>
      </c>
      <c r="D321" s="85">
        <v>40</v>
      </c>
    </row>
    <row r="322" spans="2:4" hidden="1" outlineLevel="1" x14ac:dyDescent="0.25">
      <c r="B322" t="s">
        <v>26</v>
      </c>
      <c r="C322" s="10" t="s">
        <v>34</v>
      </c>
      <c r="D322" s="71">
        <v>40</v>
      </c>
    </row>
    <row r="323" spans="2:4" hidden="1" outlineLevel="1" x14ac:dyDescent="0.25">
      <c r="B323" t="s">
        <v>29</v>
      </c>
      <c r="C323" s="10" t="s">
        <v>34</v>
      </c>
      <c r="D323" s="71">
        <v>60</v>
      </c>
    </row>
    <row r="324" spans="2:4" hidden="1" outlineLevel="1" x14ac:dyDescent="0.25">
      <c r="B324" t="s">
        <v>15</v>
      </c>
      <c r="C324" s="10" t="s">
        <v>34</v>
      </c>
      <c r="D324" s="71">
        <v>25</v>
      </c>
    </row>
    <row r="325" spans="2:4" hidden="1" outlineLevel="1" x14ac:dyDescent="0.25">
      <c r="B325" t="s">
        <v>9</v>
      </c>
      <c r="C325" s="10" t="s">
        <v>34</v>
      </c>
      <c r="D325" s="71">
        <v>25</v>
      </c>
    </row>
    <row r="326" spans="2:4" hidden="1" outlineLevel="1" x14ac:dyDescent="0.25">
      <c r="B326" t="s">
        <v>23</v>
      </c>
      <c r="C326" s="10" t="s">
        <v>34</v>
      </c>
      <c r="D326" s="71">
        <v>25</v>
      </c>
    </row>
    <row r="327" spans="2:4" hidden="1" outlineLevel="1" x14ac:dyDescent="0.25">
      <c r="B327" t="s">
        <v>27</v>
      </c>
      <c r="C327" s="10" t="s">
        <v>34</v>
      </c>
      <c r="D327" s="71">
        <v>30</v>
      </c>
    </row>
    <row r="328" spans="2:4" hidden="1" outlineLevel="1" x14ac:dyDescent="0.25">
      <c r="B328" t="s">
        <v>24</v>
      </c>
      <c r="C328" s="10" t="s">
        <v>34</v>
      </c>
      <c r="D328" s="71">
        <v>25</v>
      </c>
    </row>
  </sheetData>
  <sheetProtection formatCells="0" formatColumns="0" formatRows="0" insertColumns="0" insertRows="0" insertHyperlinks="0" deleteColumns="0" deleteRows="0" selectLockedCells="1" sort="0" autoFilter="0" pivotTables="0" selectUnlockedCells="1"/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>
    <outlinePr summaryBelow="0" summaryRight="0"/>
  </sheetPr>
  <dimension ref="A1:Q113"/>
  <sheetViews>
    <sheetView showGridLines="0" zoomScale="85" zoomScaleNormal="85" workbookViewId="0"/>
  </sheetViews>
  <sheetFormatPr baseColWidth="10" defaultRowHeight="15" outlineLevelRow="1" x14ac:dyDescent="0.25"/>
  <cols>
    <col min="1" max="3" width="11.42578125" style="9"/>
    <col min="4" max="4" width="14" style="9" customWidth="1"/>
    <col min="5" max="5" width="12.7109375" style="9" bestFit="1" customWidth="1"/>
    <col min="6" max="6" width="12.7109375" style="9" customWidth="1"/>
    <col min="7" max="7" width="12.7109375" style="9" bestFit="1" customWidth="1"/>
    <col min="8" max="8" width="11.42578125" style="9"/>
    <col min="9" max="12" width="12.7109375" style="9" bestFit="1" customWidth="1"/>
    <col min="13" max="13" width="11.42578125" style="9"/>
    <col min="14" max="15" width="12.7109375" style="9" bestFit="1" customWidth="1"/>
    <col min="16" max="16" width="13.42578125" style="9" customWidth="1"/>
    <col min="17" max="18" width="12.7109375" style="9" bestFit="1" customWidth="1"/>
    <col min="19" max="16384" width="11.42578125" style="9"/>
  </cols>
  <sheetData>
    <row r="1" spans="1:17" s="22" customFormat="1" collapsed="1" x14ac:dyDescent="0.25">
      <c r="A1" s="21" t="s">
        <v>59</v>
      </c>
      <c r="C1" s="23"/>
      <c r="D1" s="24"/>
    </row>
    <row r="2" spans="1:17" s="46" customFormat="1" hidden="1" outlineLevel="1" x14ac:dyDescent="0.25">
      <c r="A2" s="47"/>
      <c r="B2" s="47" t="s">
        <v>59</v>
      </c>
      <c r="C2" s="47"/>
      <c r="I2" s="46" t="s">
        <v>168</v>
      </c>
      <c r="J2" s="47" t="s">
        <v>798</v>
      </c>
      <c r="N2" s="47" t="s">
        <v>856</v>
      </c>
      <c r="O2" s="47"/>
    </row>
    <row r="3" spans="1:17" s="45" customFormat="1" hidden="1" outlineLevel="1" x14ac:dyDescent="0.25">
      <c r="A3" s="48"/>
      <c r="B3" s="48"/>
      <c r="C3" s="48"/>
      <c r="D3" s="45" t="s">
        <v>223</v>
      </c>
      <c r="I3" s="45">
        <v>2020</v>
      </c>
      <c r="J3" s="45">
        <v>2035</v>
      </c>
      <c r="K3" s="45">
        <v>2050</v>
      </c>
      <c r="L3" s="45" t="s">
        <v>223</v>
      </c>
      <c r="N3" s="45">
        <v>2020</v>
      </c>
      <c r="O3" s="45">
        <v>2035</v>
      </c>
      <c r="P3" s="45">
        <v>2050</v>
      </c>
      <c r="Q3" s="45" t="s">
        <v>223</v>
      </c>
    </row>
    <row r="4" spans="1:17" hidden="1" outlineLevel="1" x14ac:dyDescent="0.25">
      <c r="B4" s="9" t="s">
        <v>804</v>
      </c>
      <c r="C4" s="18" t="s">
        <v>13</v>
      </c>
      <c r="D4" s="18"/>
      <c r="I4" s="95">
        <v>0.53100000000000003</v>
      </c>
      <c r="J4" s="18"/>
      <c r="L4" s="18"/>
      <c r="N4" s="95">
        <v>0.53100000000000003</v>
      </c>
      <c r="O4" s="18"/>
      <c r="Q4" s="18"/>
    </row>
    <row r="5" spans="1:17" hidden="1" outlineLevel="1" x14ac:dyDescent="0.25">
      <c r="B5" s="9" t="s">
        <v>60</v>
      </c>
      <c r="C5" s="18" t="s">
        <v>61</v>
      </c>
      <c r="D5" s="102">
        <f>IF(Übersicht!$H$6=Übersicht!$L$6,L5,Q5)</f>
        <v>51.612389302800509</v>
      </c>
      <c r="I5" s="96">
        <f>I11/I10</f>
        <v>51.612389302800509</v>
      </c>
      <c r="J5" s="96">
        <f>I5+0.3*(J3-I3)</f>
        <v>56.112389302800509</v>
      </c>
      <c r="K5" s="96">
        <f>J5+0.3*(K3-J3)</f>
        <v>60.612389302800509</v>
      </c>
      <c r="L5" s="65">
        <f>IF(Übersicht!$H$3=2020,I5,IF(Übersicht!$H$3=2035,J5,K5))</f>
        <v>51.612389302800509</v>
      </c>
      <c r="N5" s="96">
        <f>I5</f>
        <v>51.612389302800509</v>
      </c>
      <c r="O5" s="96">
        <f>N5+0.1*(O3-N3)</f>
        <v>53.112389302800509</v>
      </c>
      <c r="P5" s="96">
        <f>O5+0.1*(P3-O3)</f>
        <v>54.612389302800509</v>
      </c>
      <c r="Q5" s="65">
        <f>IF(Übersicht!$H$3=2020,N5,IF(Übersicht!$H$3=2035,O5,P5))</f>
        <v>51.612389302800509</v>
      </c>
    </row>
    <row r="6" spans="1:17" hidden="1" outlineLevel="1" x14ac:dyDescent="0.25">
      <c r="B6" s="9" t="s">
        <v>799</v>
      </c>
      <c r="C6" s="18" t="s">
        <v>800</v>
      </c>
      <c r="D6" s="102">
        <f>IF(Übersicht!$H$6=Übersicht!$L$6,L6,Q6)</f>
        <v>2.7432287142603582</v>
      </c>
      <c r="I6" s="91">
        <f>$I$16/I5</f>
        <v>2.7432287142603582</v>
      </c>
      <c r="J6" s="91">
        <f>$J$16/J5</f>
        <v>2.5232322149568525</v>
      </c>
      <c r="K6" s="91">
        <f>$K$16/K5</f>
        <v>2.33590178469478</v>
      </c>
      <c r="L6" s="67">
        <f>IF(Übersicht!$H$3=2020,I6,IF(Übersicht!$H$3=2035,J6,K6))</f>
        <v>2.7432287142603582</v>
      </c>
      <c r="N6" s="91">
        <f>$I$16/N5</f>
        <v>2.7432287142603582</v>
      </c>
      <c r="O6" s="91">
        <f>$J$16/O5</f>
        <v>2.6657544540094911</v>
      </c>
      <c r="P6" s="91">
        <f>$K$16/P5</f>
        <v>2.5925360555460277</v>
      </c>
      <c r="Q6" s="67">
        <f>IF(Übersicht!$H$3=2020,N6,IF(Übersicht!$H$3=2035,O6,P6))</f>
        <v>2.7432287142603582</v>
      </c>
    </row>
    <row r="7" spans="1:17" s="22" customFormat="1" collapsed="1" x14ac:dyDescent="0.25">
      <c r="A7" s="21" t="s">
        <v>255</v>
      </c>
      <c r="C7" s="23"/>
      <c r="D7" s="24"/>
    </row>
    <row r="8" spans="1:17" s="46" customFormat="1" hidden="1" outlineLevel="1" x14ac:dyDescent="0.25">
      <c r="A8" s="47"/>
      <c r="B8" s="47" t="s">
        <v>96</v>
      </c>
      <c r="C8" s="47"/>
      <c r="I8" s="46" t="s">
        <v>168</v>
      </c>
      <c r="J8" s="47" t="s">
        <v>798</v>
      </c>
      <c r="N8" s="47" t="s">
        <v>856</v>
      </c>
    </row>
    <row r="9" spans="1:17" s="45" customFormat="1" hidden="1" outlineLevel="1" x14ac:dyDescent="0.25">
      <c r="A9" s="48"/>
      <c r="B9" s="48"/>
      <c r="C9" s="48"/>
      <c r="D9" s="45" t="s">
        <v>223</v>
      </c>
      <c r="I9" s="45">
        <v>2020</v>
      </c>
      <c r="J9" s="45">
        <v>2035</v>
      </c>
      <c r="K9" s="45">
        <v>2050</v>
      </c>
      <c r="L9" s="45" t="s">
        <v>223</v>
      </c>
      <c r="N9" s="45">
        <v>2020</v>
      </c>
      <c r="O9" s="45">
        <v>2035</v>
      </c>
      <c r="P9" s="45">
        <v>2050</v>
      </c>
      <c r="Q9" s="45" t="s">
        <v>223</v>
      </c>
    </row>
    <row r="10" spans="1:17" hidden="1" outlineLevel="1" x14ac:dyDescent="0.25">
      <c r="B10" s="9" t="s">
        <v>109</v>
      </c>
      <c r="C10" s="18" t="s">
        <v>110</v>
      </c>
      <c r="D10" s="90">
        <f>IF(Übersicht!$H$6=Übersicht!$L$6,L10,Q10)</f>
        <v>43445091.969000004</v>
      </c>
      <c r="I10" s="99">
        <f>$I$4*Daten_ALLG!$L$24</f>
        <v>43445091.969000004</v>
      </c>
      <c r="J10" s="99">
        <f>$I$4*Daten_ALLG!$M$24</f>
        <v>44019900</v>
      </c>
      <c r="K10" s="99">
        <f>$I$4*Daten_ALLG!$N$24</f>
        <v>42639300</v>
      </c>
      <c r="L10" s="93">
        <f>IF(Übersicht!$H$3=2020,I10,IF(Übersicht!$H$3=2035,J10,K10))</f>
        <v>43445091.969000004</v>
      </c>
      <c r="N10" s="99">
        <f>$I$4*Daten_ALLG!$L$24</f>
        <v>43445091.969000004</v>
      </c>
      <c r="O10" s="99">
        <f>$I$4*Daten_ALLG!$M$24</f>
        <v>44019900</v>
      </c>
      <c r="P10" s="99">
        <f>$I$4*Daten_ALLG!$N$24</f>
        <v>42639300</v>
      </c>
      <c r="Q10" s="93">
        <f>IF(Übersicht!$H$3=2020,N10,IF(Übersicht!$H$3=2035,O10,P10))</f>
        <v>43445091.969000004</v>
      </c>
    </row>
    <row r="11" spans="1:17" hidden="1" outlineLevel="1" x14ac:dyDescent="0.25">
      <c r="B11" s="9" t="s">
        <v>99</v>
      </c>
      <c r="C11" s="18" t="s">
        <v>50</v>
      </c>
      <c r="D11" s="90">
        <f>IF(Übersicht!$H$6=Übersicht!$L$6,L11,Q11)</f>
        <v>2242305000</v>
      </c>
      <c r="I11" s="99">
        <v>2242305000</v>
      </c>
      <c r="J11" s="100">
        <f>J5*J10</f>
        <v>2470061765.870348</v>
      </c>
      <c r="K11" s="100">
        <f>K5*K10</f>
        <v>2584469851.1989017</v>
      </c>
      <c r="L11" s="94">
        <f>IF(Übersicht!$H$3=2020,I11,IF(Übersicht!$H$3=2035,J11,K11))</f>
        <v>2242305000</v>
      </c>
      <c r="N11" s="99">
        <v>2242305000</v>
      </c>
      <c r="O11" s="100">
        <f>O5*O10</f>
        <v>2338002065.870348</v>
      </c>
      <c r="P11" s="100">
        <f>P5*P10</f>
        <v>2328634051.1989017</v>
      </c>
      <c r="Q11" s="94">
        <f>IF(Übersicht!$H$3=2020,N11,IF(Übersicht!$H$3=2035,O11,P11))</f>
        <v>2242305000</v>
      </c>
    </row>
    <row r="12" spans="1:17" hidden="1" outlineLevel="1" x14ac:dyDescent="0.25">
      <c r="B12" s="9" t="s">
        <v>97</v>
      </c>
      <c r="C12" s="18" t="s">
        <v>101</v>
      </c>
      <c r="D12" s="90">
        <f>IF(Übersicht!$H$6=Übersicht!$L$6,L12,Q12)</f>
        <v>18966444</v>
      </c>
      <c r="I12" s="99">
        <v>18966444</v>
      </c>
      <c r="J12" s="99">
        <f>$J$17*J13</f>
        <v>20892915.173859518</v>
      </c>
      <c r="K12" s="99">
        <f>$K$17*K13</f>
        <v>21860631.22655138</v>
      </c>
      <c r="L12" s="93">
        <f>IF(Übersicht!$H$3=2020,I12,IF(Übersicht!$H$3=2035,J12,K12))</f>
        <v>18966444</v>
      </c>
      <c r="N12" s="99">
        <v>18966444</v>
      </c>
      <c r="O12" s="99">
        <f>$J$17*O13</f>
        <v>19775893.669333238</v>
      </c>
      <c r="P12" s="99">
        <f>$K$17*P13</f>
        <v>19696654.705116875</v>
      </c>
      <c r="Q12" s="93">
        <f>IF(Übersicht!$H$3=2020,N12,IF(Übersicht!$H$3=2035,O12,P12))</f>
        <v>18966444</v>
      </c>
    </row>
    <row r="13" spans="1:17" hidden="1" outlineLevel="1" x14ac:dyDescent="0.25">
      <c r="B13" s="9" t="s">
        <v>98</v>
      </c>
      <c r="C13" s="18" t="s">
        <v>100</v>
      </c>
      <c r="D13" s="90">
        <f>IF(Übersicht!$H$6=Übersicht!$L$6,L13,Q13)</f>
        <v>15837211</v>
      </c>
      <c r="I13" s="99">
        <v>15837211</v>
      </c>
      <c r="J13" s="99">
        <f>J11/$J$16</f>
        <v>17445837.818281323</v>
      </c>
      <c r="K13" s="99">
        <f>K11/$K$16</f>
        <v>18253892.470727935</v>
      </c>
      <c r="L13" s="93">
        <f>IF(Übersicht!$H$3=2020,I13,IF(Übersicht!$H$3=2035,J13,K13))</f>
        <v>15837211</v>
      </c>
      <c r="N13" s="99">
        <v>15837211</v>
      </c>
      <c r="O13" s="99">
        <f>O11/$J$16</f>
        <v>16513111.300926769</v>
      </c>
      <c r="P13" s="99">
        <f>P11/$K$16</f>
        <v>16446945.803814292</v>
      </c>
      <c r="Q13" s="93">
        <f>IF(Übersicht!$H$3=2020,N13,IF(Übersicht!$H$3=2035,O13,P13))</f>
        <v>15837211</v>
      </c>
    </row>
    <row r="14" spans="1:17" s="46" customFormat="1" hidden="1" outlineLevel="1" x14ac:dyDescent="0.25">
      <c r="A14" s="47"/>
      <c r="B14" s="47" t="s">
        <v>102</v>
      </c>
      <c r="C14" s="47"/>
      <c r="E14" s="46" t="s">
        <v>172</v>
      </c>
      <c r="I14" s="46" t="s">
        <v>168</v>
      </c>
      <c r="J14" s="47" t="s">
        <v>798</v>
      </c>
      <c r="N14" s="47" t="s">
        <v>856</v>
      </c>
    </row>
    <row r="15" spans="1:17" s="45" customFormat="1" hidden="1" outlineLevel="1" x14ac:dyDescent="0.25">
      <c r="A15" s="48"/>
      <c r="B15" s="48"/>
      <c r="C15" s="48"/>
      <c r="D15" s="45" t="s">
        <v>223</v>
      </c>
      <c r="I15" s="45">
        <v>2020</v>
      </c>
      <c r="J15" s="45">
        <v>2035</v>
      </c>
      <c r="K15" s="45">
        <v>2050</v>
      </c>
      <c r="L15" s="45" t="s">
        <v>223</v>
      </c>
      <c r="N15" s="45">
        <v>2020</v>
      </c>
      <c r="O15" s="45">
        <v>2035</v>
      </c>
      <c r="P15" s="45">
        <v>2050</v>
      </c>
      <c r="Q15" s="45" t="s">
        <v>223</v>
      </c>
    </row>
    <row r="16" spans="1:17" hidden="1" outlineLevel="1" x14ac:dyDescent="0.25">
      <c r="B16" s="9" t="s">
        <v>95</v>
      </c>
      <c r="C16" s="18" t="s">
        <v>852</v>
      </c>
      <c r="D16" s="101">
        <f>IF(Übersicht!$H$6=Übersicht!$L$6,L16,Q16)</f>
        <v>141.58458834702651</v>
      </c>
      <c r="E16" s="65">
        <v>134.88992661774518</v>
      </c>
      <c r="I16" s="96">
        <f>I11/I13</f>
        <v>141.58458834702651</v>
      </c>
      <c r="J16" s="96">
        <f>I16</f>
        <v>141.58458834702651</v>
      </c>
      <c r="K16" s="96">
        <f>J16</f>
        <v>141.58458834702651</v>
      </c>
      <c r="L16" s="104">
        <f>IF(Übersicht!$H$3=2020,I16,IF(Übersicht!$H$3=2035,J16,K16))</f>
        <v>141.58458834702651</v>
      </c>
      <c r="N16" s="96">
        <f>N11/N13</f>
        <v>141.58458834702651</v>
      </c>
      <c r="O16" s="96">
        <f>N16</f>
        <v>141.58458834702651</v>
      </c>
      <c r="P16" s="96">
        <f>O16</f>
        <v>141.58458834702651</v>
      </c>
      <c r="Q16" s="104">
        <f>IF(Übersicht!$H$3=2020,N16,IF(Übersicht!$H$3=2035,O16,P16))</f>
        <v>141.58458834702651</v>
      </c>
    </row>
    <row r="17" spans="1:17" hidden="1" outlineLevel="1" x14ac:dyDescent="0.25">
      <c r="B17" s="9" t="s">
        <v>97</v>
      </c>
      <c r="C17" s="18" t="s">
        <v>801</v>
      </c>
      <c r="D17" s="101">
        <f>IF(Übersicht!$H$6=Übersicht!$L$6,L17,Q17)</f>
        <v>1.19758737823219</v>
      </c>
      <c r="I17" s="96">
        <f>I12/I13</f>
        <v>1.19758737823219</v>
      </c>
      <c r="J17" s="96">
        <f>I17</f>
        <v>1.19758737823219</v>
      </c>
      <c r="K17" s="96">
        <f>J17</f>
        <v>1.19758737823219</v>
      </c>
      <c r="L17" s="104">
        <f>IF(Übersicht!$H$3=2020,I17,IF(Übersicht!$H$3=2035,J17,K17))</f>
        <v>1.19758737823219</v>
      </c>
      <c r="N17" s="96">
        <f>N12/N13</f>
        <v>1.19758737823219</v>
      </c>
      <c r="O17" s="96">
        <f>N17</f>
        <v>1.19758737823219</v>
      </c>
      <c r="P17" s="96">
        <f>O17</f>
        <v>1.19758737823219</v>
      </c>
      <c r="Q17" s="104">
        <f>IF(Übersicht!$H$3=2020,N17,IF(Übersicht!$H$3=2035,O17,P17))</f>
        <v>1.19758737823219</v>
      </c>
    </row>
    <row r="18" spans="1:17" hidden="1" outlineLevel="1" x14ac:dyDescent="0.25">
      <c r="B18" s="9" t="s">
        <v>802</v>
      </c>
      <c r="C18" s="18" t="s">
        <v>803</v>
      </c>
      <c r="D18" s="103">
        <f>IF(Übersicht!$H$6=Übersicht!$L$6,L18,Q18)</f>
        <v>2.7432287142603582</v>
      </c>
      <c r="I18" s="91">
        <f>I16/I5</f>
        <v>2.7432287142603582</v>
      </c>
      <c r="J18" s="91">
        <f>J16/J5</f>
        <v>2.5232322149568525</v>
      </c>
      <c r="K18" s="91">
        <f>K16/K5</f>
        <v>2.33590178469478</v>
      </c>
      <c r="L18" s="104">
        <f>IF(Übersicht!$H$3=2020,I18,IF(Übersicht!$H$3=2035,J18,K18))</f>
        <v>2.7432287142603582</v>
      </c>
      <c r="N18" s="91">
        <f>N16/N5</f>
        <v>2.7432287142603582</v>
      </c>
      <c r="O18" s="91">
        <f>O16/O5</f>
        <v>2.6657544540094911</v>
      </c>
      <c r="P18" s="91">
        <f>P16/P5</f>
        <v>2.5925360555460277</v>
      </c>
      <c r="Q18" s="104">
        <f>IF(Übersicht!$H$3=2020,N18,IF(Übersicht!$H$3=2035,O18,P18))</f>
        <v>2.7432287142603582</v>
      </c>
    </row>
    <row r="19" spans="1:17" hidden="1" outlineLevel="1" x14ac:dyDescent="0.25">
      <c r="B19" s="9" t="s">
        <v>127</v>
      </c>
      <c r="C19" s="18" t="s">
        <v>128</v>
      </c>
      <c r="D19" s="95">
        <v>2.5</v>
      </c>
    </row>
    <row r="20" spans="1:17" hidden="1" outlineLevel="1" x14ac:dyDescent="0.25">
      <c r="B20" s="9" t="s">
        <v>137</v>
      </c>
      <c r="C20" s="18" t="s">
        <v>138</v>
      </c>
      <c r="D20" s="72">
        <f>D19*D16</f>
        <v>353.96147086756628</v>
      </c>
    </row>
    <row r="21" spans="1:17" s="22" customFormat="1" collapsed="1" x14ac:dyDescent="0.25">
      <c r="A21" s="21" t="s">
        <v>256</v>
      </c>
      <c r="C21" s="23"/>
      <c r="D21" s="24"/>
    </row>
    <row r="22" spans="1:17" s="43" customFormat="1" hidden="1" outlineLevel="1" x14ac:dyDescent="0.25">
      <c r="B22" s="43" t="s">
        <v>103</v>
      </c>
      <c r="D22" s="43" t="s">
        <v>226</v>
      </c>
      <c r="E22" s="43" t="s">
        <v>172</v>
      </c>
    </row>
    <row r="23" spans="1:17" s="44" customFormat="1" hidden="1" outlineLevel="1" x14ac:dyDescent="0.25">
      <c r="D23" s="45"/>
      <c r="E23" s="45"/>
      <c r="G23" s="45"/>
    </row>
    <row r="24" spans="1:17" hidden="1" outlineLevel="1" x14ac:dyDescent="0.25">
      <c r="B24" s="9" t="s">
        <v>106</v>
      </c>
      <c r="C24" s="18" t="s">
        <v>50</v>
      </c>
      <c r="D24" s="89">
        <f>$D$16/$E$16*E24</f>
        <v>145.32586656432701</v>
      </c>
      <c r="E24" s="65">
        <v>138.45430286857905</v>
      </c>
    </row>
    <row r="25" spans="1:17" hidden="1" outlineLevel="1" x14ac:dyDescent="0.25">
      <c r="B25" s="9" t="s">
        <v>104</v>
      </c>
      <c r="C25" s="18" t="s">
        <v>50</v>
      </c>
      <c r="D25" s="89">
        <f>$D$16/$E$16*E25</f>
        <v>108.16866487968329</v>
      </c>
      <c r="E25" s="65">
        <v>103.05403602401601</v>
      </c>
    </row>
    <row r="26" spans="1:17" hidden="1" outlineLevel="1" x14ac:dyDescent="0.25">
      <c r="B26" s="9" t="s">
        <v>105</v>
      </c>
      <c r="C26" s="18" t="s">
        <v>50</v>
      </c>
      <c r="D26" s="89">
        <f>$D$16/$E$16*E26</f>
        <v>88.708836517901815</v>
      </c>
      <c r="E26" s="65">
        <v>84.514342895263511</v>
      </c>
    </row>
    <row r="27" spans="1:17" hidden="1" outlineLevel="1" x14ac:dyDescent="0.25">
      <c r="B27" s="9" t="s">
        <v>12</v>
      </c>
      <c r="C27" s="18" t="s">
        <v>50</v>
      </c>
      <c r="D27" s="89">
        <f>$D$16/$E$16*E27</f>
        <v>28.535386470415549</v>
      </c>
      <c r="E27" s="65">
        <v>27.186124082721815</v>
      </c>
    </row>
    <row r="28" spans="1:17" s="46" customFormat="1" hidden="1" outlineLevel="1" x14ac:dyDescent="0.25">
      <c r="A28" s="47"/>
      <c r="B28" s="47" t="s">
        <v>228</v>
      </c>
      <c r="C28" s="47"/>
      <c r="I28" s="46" t="s">
        <v>166</v>
      </c>
      <c r="N28" s="47" t="s">
        <v>856</v>
      </c>
    </row>
    <row r="29" spans="1:17" s="45" customFormat="1" hidden="1" outlineLevel="1" x14ac:dyDescent="0.25">
      <c r="A29" s="48"/>
      <c r="B29" s="48"/>
      <c r="C29" s="48"/>
      <c r="F29" s="45" t="s">
        <v>178</v>
      </c>
      <c r="G29" s="45" t="s">
        <v>223</v>
      </c>
      <c r="I29" s="45">
        <v>2020</v>
      </c>
      <c r="J29" s="45">
        <v>2035</v>
      </c>
      <c r="K29" s="45">
        <v>2050</v>
      </c>
      <c r="L29" s="45" t="s">
        <v>223</v>
      </c>
      <c r="N29" s="45">
        <v>2020</v>
      </c>
      <c r="O29" s="45">
        <v>2035</v>
      </c>
      <c r="P29" s="45">
        <v>2050</v>
      </c>
      <c r="Q29" s="45" t="s">
        <v>223</v>
      </c>
    </row>
    <row r="30" spans="1:17" hidden="1" outlineLevel="1" x14ac:dyDescent="0.25">
      <c r="B30" s="9" t="s">
        <v>308</v>
      </c>
      <c r="C30" s="18" t="s">
        <v>63</v>
      </c>
      <c r="D30" s="82">
        <v>0.15</v>
      </c>
      <c r="E30" s="28">
        <v>1</v>
      </c>
      <c r="F30" s="18" t="s">
        <v>13</v>
      </c>
      <c r="I30" s="92">
        <v>0</v>
      </c>
      <c r="J30" s="92">
        <v>0.22184805299123095</v>
      </c>
      <c r="K30" s="92">
        <v>0.50956402012053548</v>
      </c>
      <c r="L30" s="97">
        <f>IF(Übersicht!$H$3=2020,I30,IF(Übersicht!$H$3=2035,J30,K30))</f>
        <v>0</v>
      </c>
      <c r="N30" s="92">
        <v>0</v>
      </c>
      <c r="O30" s="92">
        <v>0.27909989918141248</v>
      </c>
      <c r="P30" s="92">
        <v>0.54226582876103735</v>
      </c>
      <c r="Q30" s="97">
        <f>IF(Übersicht!$H$3=2020,N30,IF(Übersicht!$H$3=2035,O30,P30))</f>
        <v>0</v>
      </c>
    </row>
    <row r="31" spans="1:17" hidden="1" outlineLevel="1" x14ac:dyDescent="0.25">
      <c r="B31" s="9" t="s">
        <v>142</v>
      </c>
      <c r="C31" s="18" t="s">
        <v>63</v>
      </c>
      <c r="D31" s="82">
        <v>0.3146373024574563</v>
      </c>
      <c r="E31" s="28">
        <v>2</v>
      </c>
      <c r="F31" s="18" t="s">
        <v>13</v>
      </c>
      <c r="I31" s="92">
        <v>0.38694945143897891</v>
      </c>
      <c r="J31" s="92">
        <v>0.53784348845039764</v>
      </c>
      <c r="K31" s="92">
        <v>0.404512540217834</v>
      </c>
      <c r="L31" s="97">
        <f>IF(Übersicht!$H$3=2020,I31,IF(Übersicht!$H$3=2035,J31,K31))</f>
        <v>0.38694945143897891</v>
      </c>
      <c r="N31" s="92">
        <v>0.38694945143897891</v>
      </c>
      <c r="O31" s="92">
        <v>0.46701806026951115</v>
      </c>
      <c r="P31" s="92">
        <v>0.3538410722021752</v>
      </c>
      <c r="Q31" s="97">
        <f>IF(Übersicht!$H$3=2020,N31,IF(Übersicht!$H$3=2035,O31,P31))</f>
        <v>0.38694945143897891</v>
      </c>
    </row>
    <row r="32" spans="1:17" hidden="1" outlineLevel="1" x14ac:dyDescent="0.25">
      <c r="B32" s="9" t="s">
        <v>65</v>
      </c>
      <c r="C32" s="18" t="s">
        <v>63</v>
      </c>
      <c r="D32" s="82">
        <v>0.6</v>
      </c>
      <c r="E32" s="28">
        <v>3</v>
      </c>
      <c r="F32" s="18" t="s">
        <v>13</v>
      </c>
      <c r="I32" s="92">
        <v>0.14630968040357903</v>
      </c>
      <c r="J32" s="92">
        <v>5.6062460665624106E-2</v>
      </c>
      <c r="K32" s="92">
        <v>1.8611234945488705E-2</v>
      </c>
      <c r="L32" s="97">
        <f>IF(Übersicht!$H$3=2020,I32,IF(Übersicht!$H$3=2035,J32,K32))</f>
        <v>0.14630968040357903</v>
      </c>
      <c r="N32" s="92">
        <v>0.14630968040357903</v>
      </c>
      <c r="O32" s="92">
        <v>5.9229092464648719E-2</v>
      </c>
      <c r="P32" s="92">
        <v>2.2730979696234586E-2</v>
      </c>
      <c r="Q32" s="97">
        <f>IF(Übersicht!$H$3=2020,N32,IF(Übersicht!$H$3=2035,O32,P32))</f>
        <v>0.14630968040357903</v>
      </c>
    </row>
    <row r="33" spans="1:17" hidden="1" outlineLevel="1" x14ac:dyDescent="0.25">
      <c r="B33" s="9" t="s">
        <v>143</v>
      </c>
      <c r="C33" s="18" t="s">
        <v>63</v>
      </c>
      <c r="D33" s="82">
        <v>1</v>
      </c>
      <c r="E33" s="28">
        <v>4</v>
      </c>
      <c r="F33" s="18" t="s">
        <v>13</v>
      </c>
      <c r="I33" s="92">
        <v>0.46674086815744203</v>
      </c>
      <c r="J33" s="92">
        <v>0.18424599789274729</v>
      </c>
      <c r="K33" s="92">
        <v>6.731220471614173E-2</v>
      </c>
      <c r="L33" s="97">
        <f>IF(Übersicht!$H$3=2020,I33,IF(Übersicht!$H$3=2035,J33,K33))</f>
        <v>0.46674086815744203</v>
      </c>
      <c r="N33" s="92">
        <v>0.46674086815744203</v>
      </c>
      <c r="O33" s="92">
        <v>0.19465294808442773</v>
      </c>
      <c r="P33" s="92">
        <v>8.1162119340552966E-2</v>
      </c>
      <c r="Q33" s="97">
        <f>IF(Übersicht!$H$3=2020,N33,IF(Übersicht!$H$3=2035,O33,P33))</f>
        <v>0.46674086815744203</v>
      </c>
    </row>
    <row r="34" spans="1:17" hidden="1" outlineLevel="1" x14ac:dyDescent="0.25">
      <c r="B34" s="9" t="s">
        <v>144</v>
      </c>
      <c r="C34" s="18" t="s">
        <v>63</v>
      </c>
      <c r="E34" s="28">
        <v>6</v>
      </c>
      <c r="F34" s="18"/>
      <c r="G34" s="103">
        <f>IF(Übersicht!$H$6=Übersicht!$L$6,L34,Q34)</f>
        <v>0.67627540798774222</v>
      </c>
      <c r="I34" s="92">
        <f>I30*$D30+I31*$D31+I32*$D32+I33*$D33</f>
        <v>0.67627540798774222</v>
      </c>
      <c r="J34" s="92">
        <f>J30*$D30+J31*$D31+J32*$D32+J33*$D33</f>
        <v>0.42038630659114751</v>
      </c>
      <c r="K34" s="92">
        <f>K30*$D30+K31*$D31+K32*$D32+K33*$D33</f>
        <v>0.28218828316586786</v>
      </c>
      <c r="L34" s="97">
        <f>IF(Übersicht!$H$3=2020,I34,IF(Übersicht!$H$3=2035,J34,K34))</f>
        <v>0.67627540798774222</v>
      </c>
      <c r="N34" s="92">
        <f>N30*$D30+N31*$D31+N32*$D32+N33*$D33</f>
        <v>0.67627540798774222</v>
      </c>
      <c r="O34" s="92">
        <f>O30*$D30+O31*$D31+O32*$D32+O33*$D33</f>
        <v>0.41899669112254156</v>
      </c>
      <c r="P34" s="92">
        <f>P30*$D30+P31*$D31+P32*$D32+P33*$D33</f>
        <v>0.28747218192879576</v>
      </c>
      <c r="Q34" s="97">
        <f>IF(Übersicht!$H$3=2020,N34,IF(Übersicht!$H$3=2035,O34,P34))</f>
        <v>0.67627540798774222</v>
      </c>
    </row>
    <row r="35" spans="1:17" s="46" customFormat="1" hidden="1" outlineLevel="1" x14ac:dyDescent="0.25">
      <c r="A35" s="47"/>
      <c r="B35" s="47" t="s">
        <v>229</v>
      </c>
      <c r="C35" s="47"/>
      <c r="I35" s="46" t="s">
        <v>166</v>
      </c>
      <c r="N35" s="47" t="s">
        <v>856</v>
      </c>
    </row>
    <row r="36" spans="1:17" s="45" customFormat="1" hidden="1" outlineLevel="1" x14ac:dyDescent="0.25">
      <c r="A36" s="48"/>
      <c r="B36" s="48"/>
      <c r="C36" s="48"/>
      <c r="F36" s="45" t="s">
        <v>178</v>
      </c>
      <c r="G36" s="45" t="s">
        <v>223</v>
      </c>
      <c r="I36" s="45">
        <v>2020</v>
      </c>
      <c r="J36" s="45">
        <v>2035</v>
      </c>
      <c r="K36" s="45">
        <v>2035</v>
      </c>
      <c r="L36" s="45" t="s">
        <v>223</v>
      </c>
      <c r="N36" s="45">
        <v>2020</v>
      </c>
      <c r="O36" s="45">
        <v>2035</v>
      </c>
      <c r="P36" s="45">
        <v>2050</v>
      </c>
      <c r="Q36" s="45" t="s">
        <v>223</v>
      </c>
    </row>
    <row r="37" spans="1:17" hidden="1" outlineLevel="1" x14ac:dyDescent="0.25">
      <c r="B37" s="9" t="s">
        <v>308</v>
      </c>
      <c r="C37" s="18" t="s">
        <v>63</v>
      </c>
      <c r="D37" s="82">
        <v>0.15</v>
      </c>
      <c r="E37" s="28">
        <v>1</v>
      </c>
      <c r="F37" s="18" t="s">
        <v>13</v>
      </c>
      <c r="I37" s="92">
        <v>0</v>
      </c>
      <c r="J37" s="92">
        <v>0.24857751617127419</v>
      </c>
      <c r="K37" s="92">
        <v>0.49575501882924772</v>
      </c>
      <c r="L37" s="97">
        <f>IF(Übersicht!$H$3=2020,I37,IF(Übersicht!$H$3=2035,J37,K37))</f>
        <v>0</v>
      </c>
      <c r="N37" s="92">
        <v>0</v>
      </c>
      <c r="O37" s="92">
        <v>0.28101803692194971</v>
      </c>
      <c r="P37" s="92">
        <v>0.51543153939481434</v>
      </c>
      <c r="Q37" s="97">
        <f>IF(Übersicht!$H$3=2020,N37,IF(Übersicht!$H$3=2035,O37,P37))</f>
        <v>0</v>
      </c>
    </row>
    <row r="38" spans="1:17" hidden="1" outlineLevel="1" x14ac:dyDescent="0.25">
      <c r="B38" s="9" t="s">
        <v>142</v>
      </c>
      <c r="C38" s="18" t="s">
        <v>63</v>
      </c>
      <c r="D38" s="82">
        <v>0.2567429695042075</v>
      </c>
      <c r="E38" s="28">
        <v>2</v>
      </c>
      <c r="F38" s="18" t="s">
        <v>13</v>
      </c>
      <c r="I38" s="92">
        <v>0.59176225740882193</v>
      </c>
      <c r="J38" s="92">
        <v>0.66148644577143001</v>
      </c>
      <c r="K38" s="92">
        <v>0.46695743048043636</v>
      </c>
      <c r="L38" s="97">
        <f>IF(Übersicht!$H$3=2020,I38,IF(Übersicht!$H$3=2035,J38,K38))</f>
        <v>0.59176225740882193</v>
      </c>
      <c r="N38" s="92">
        <v>0.59176225740882193</v>
      </c>
      <c r="O38" s="92">
        <v>0.62396597821483146</v>
      </c>
      <c r="P38" s="92">
        <v>0.43995951144703188</v>
      </c>
      <c r="Q38" s="97">
        <f>IF(Übersicht!$H$3=2020,N38,IF(Übersicht!$H$3=2035,O38,P38))</f>
        <v>0.59176225740882193</v>
      </c>
    </row>
    <row r="39" spans="1:17" hidden="1" outlineLevel="1" x14ac:dyDescent="0.25">
      <c r="B39" s="9" t="s">
        <v>65</v>
      </c>
      <c r="C39" s="18" t="s">
        <v>63</v>
      </c>
      <c r="D39" s="82">
        <v>0.44</v>
      </c>
      <c r="E39" s="28">
        <v>3</v>
      </c>
      <c r="F39" s="18" t="s">
        <v>13</v>
      </c>
      <c r="I39" s="92">
        <v>0.12736182498478749</v>
      </c>
      <c r="J39" s="92">
        <v>2.7767431859187706E-2</v>
      </c>
      <c r="K39" s="92">
        <v>1.0476825637625226E-2</v>
      </c>
      <c r="L39" s="97">
        <f>IF(Übersicht!$H$3=2020,I39,IF(Übersicht!$H$3=2035,J39,K39))</f>
        <v>0.12736182498478749</v>
      </c>
      <c r="N39" s="92">
        <v>0.12736182498478749</v>
      </c>
      <c r="O39" s="92">
        <v>2.9335847366794357E-2</v>
      </c>
      <c r="P39" s="92">
        <v>1.2697782078850263E-2</v>
      </c>
      <c r="Q39" s="97">
        <f>IF(Übersicht!$H$3=2020,N39,IF(Übersicht!$H$3=2035,O39,P39))</f>
        <v>0.12736182498478749</v>
      </c>
    </row>
    <row r="40" spans="1:17" hidden="1" outlineLevel="1" x14ac:dyDescent="0.25">
      <c r="B40" s="9" t="s">
        <v>143</v>
      </c>
      <c r="C40" s="18" t="s">
        <v>63</v>
      </c>
      <c r="D40" s="82">
        <v>1</v>
      </c>
      <c r="E40" s="28">
        <v>4</v>
      </c>
      <c r="F40" s="18" t="s">
        <v>13</v>
      </c>
      <c r="I40" s="92">
        <v>0.28087591760639058</v>
      </c>
      <c r="J40" s="92">
        <v>6.2168606198108212E-2</v>
      </c>
      <c r="K40" s="92">
        <v>2.6810725052690759E-2</v>
      </c>
      <c r="L40" s="97">
        <f>IF(Übersicht!$H$3=2020,I40,IF(Übersicht!$H$3=2035,J40,K40))</f>
        <v>0.28087591760639058</v>
      </c>
      <c r="N40" s="92">
        <v>0.28087591760639058</v>
      </c>
      <c r="O40" s="92">
        <v>6.5680137496424554E-2</v>
      </c>
      <c r="P40" s="92">
        <v>3.1911167079303471E-2</v>
      </c>
      <c r="Q40" s="97">
        <f>IF(Übersicht!$H$3=2020,N40,IF(Übersicht!$H$3=2035,O40,P40))</f>
        <v>0.28087591760639058</v>
      </c>
    </row>
    <row r="41" spans="1:17" hidden="1" outlineLevel="1" x14ac:dyDescent="0.25">
      <c r="B41" s="9" t="s">
        <v>144</v>
      </c>
      <c r="C41" s="18" t="s">
        <v>63</v>
      </c>
      <c r="E41" s="28">
        <v>6</v>
      </c>
      <c r="F41" s="18"/>
      <c r="G41" s="103">
        <f>IF(Übersicht!$H$6=Übersicht!$L$6,L41,Q41)</f>
        <v>0.48884591980735126</v>
      </c>
      <c r="I41" s="92">
        <f>I37*$D37+I38*$D38+I39*$D39+I40*$D40</f>
        <v>0.48884591980735126</v>
      </c>
      <c r="J41" s="92">
        <f>J37*$D37+J38*$D38+J39*$D39+J40*$D40</f>
        <v>0.28150489801598277</v>
      </c>
      <c r="K41" s="92">
        <f>K37*$D37+K38*$D38+K39*$D39+K40*$D40</f>
        <v>0.22567181849123477</v>
      </c>
      <c r="L41" s="97">
        <f>IF(Übersicht!$H$3=2020,I41,IF(Übersicht!$H$3=2035,J41,K41))</f>
        <v>0.48884591980735126</v>
      </c>
      <c r="N41" s="92">
        <f>N37*$D37+N38*$D38+N39*$D39+N40*$D40</f>
        <v>0.48884591980735126</v>
      </c>
      <c r="O41" s="92">
        <f>O37*$D37+O38*$D38+O39*$D39+O40*$D40</f>
        <v>0.28093949399258</v>
      </c>
      <c r="P41" s="92">
        <f>P37*$D37+P38*$D38+P39*$D39+P40*$D40</f>
        <v>0.22776943353375109</v>
      </c>
      <c r="Q41" s="97">
        <f>IF(Übersicht!$H$3=2020,N41,IF(Übersicht!$H$3=2035,O41,P41))</f>
        <v>0.48884591980735126</v>
      </c>
    </row>
    <row r="42" spans="1:17" s="46" customFormat="1" hidden="1" outlineLevel="1" x14ac:dyDescent="0.25">
      <c r="A42" s="47"/>
      <c r="B42" s="47" t="s">
        <v>230</v>
      </c>
      <c r="C42" s="47"/>
      <c r="I42" s="46" t="s">
        <v>166</v>
      </c>
      <c r="N42" s="47" t="s">
        <v>856</v>
      </c>
    </row>
    <row r="43" spans="1:17" s="45" customFormat="1" hidden="1" outlineLevel="1" x14ac:dyDescent="0.25">
      <c r="A43" s="48"/>
      <c r="B43" s="48"/>
      <c r="C43" s="48"/>
      <c r="F43" s="45" t="s">
        <v>178</v>
      </c>
      <c r="G43" s="45" t="s">
        <v>223</v>
      </c>
      <c r="I43" s="45">
        <v>2020</v>
      </c>
      <c r="J43" s="45">
        <v>2035</v>
      </c>
      <c r="K43" s="45">
        <v>2035</v>
      </c>
      <c r="L43" s="45" t="s">
        <v>223</v>
      </c>
      <c r="N43" s="45">
        <v>2020</v>
      </c>
      <c r="O43" s="45">
        <v>2035</v>
      </c>
      <c r="P43" s="45">
        <v>2050</v>
      </c>
      <c r="Q43" s="45" t="s">
        <v>223</v>
      </c>
    </row>
    <row r="44" spans="1:17" hidden="1" outlineLevel="1" x14ac:dyDescent="0.25">
      <c r="B44" s="9" t="s">
        <v>308</v>
      </c>
      <c r="C44" s="18" t="s">
        <v>63</v>
      </c>
      <c r="D44" s="82">
        <v>0.2</v>
      </c>
      <c r="E44" s="28">
        <v>1</v>
      </c>
      <c r="F44" s="18" t="s">
        <v>13</v>
      </c>
      <c r="I44" s="92">
        <v>0</v>
      </c>
      <c r="J44" s="92">
        <v>0.13893628418370069</v>
      </c>
      <c r="K44" s="92">
        <v>0.26338794472225108</v>
      </c>
      <c r="L44" s="97">
        <f>IF(Übersicht!$H$3=2020,I44,IF(Übersicht!$H$3=2035,J44,K44))</f>
        <v>0</v>
      </c>
      <c r="N44" s="92">
        <v>0</v>
      </c>
      <c r="O44" s="92">
        <v>0.12756701767896869</v>
      </c>
      <c r="P44" s="92">
        <v>0.21475399103252002</v>
      </c>
      <c r="Q44" s="97">
        <f>IF(Übersicht!$H$3=2020,N44,IF(Übersicht!$H$3=2035,O44,P44))</f>
        <v>0</v>
      </c>
    </row>
    <row r="45" spans="1:17" hidden="1" outlineLevel="1" x14ac:dyDescent="0.25">
      <c r="B45" s="9" t="s">
        <v>142</v>
      </c>
      <c r="C45" s="18" t="s">
        <v>63</v>
      </c>
      <c r="D45" s="82">
        <v>0.38362421952148795</v>
      </c>
      <c r="E45" s="28">
        <v>2</v>
      </c>
      <c r="F45" s="18" t="s">
        <v>13</v>
      </c>
      <c r="I45" s="92">
        <v>0.30454663856591441</v>
      </c>
      <c r="J45" s="92">
        <v>0.44851409497292855</v>
      </c>
      <c r="K45" s="92">
        <v>0.48558038357321831</v>
      </c>
      <c r="L45" s="97">
        <f>IF(Übersicht!$H$3=2020,I45,IF(Übersicht!$H$3=2035,J45,K45))</f>
        <v>0.30454663856591441</v>
      </c>
      <c r="N45" s="92">
        <v>0.30454663856591441</v>
      </c>
      <c r="O45" s="92">
        <v>0.43658091038066099</v>
      </c>
      <c r="P45" s="92">
        <v>0.49813421223251175</v>
      </c>
      <c r="Q45" s="97">
        <f>IF(Übersicht!$H$3=2020,N45,IF(Übersicht!$H$3=2035,O45,P45))</f>
        <v>0.30454663856591441</v>
      </c>
    </row>
    <row r="46" spans="1:17" hidden="1" outlineLevel="1" x14ac:dyDescent="0.25">
      <c r="B46" s="9" t="s">
        <v>65</v>
      </c>
      <c r="C46" s="18" t="s">
        <v>63</v>
      </c>
      <c r="D46" s="82">
        <v>0.68</v>
      </c>
      <c r="E46" s="28">
        <v>3</v>
      </c>
      <c r="F46" s="18" t="s">
        <v>13</v>
      </c>
      <c r="I46" s="92">
        <v>0.16749390229463165</v>
      </c>
      <c r="J46" s="92">
        <v>9.8099539087059859E-2</v>
      </c>
      <c r="K46" s="92">
        <v>5.8325812781707558E-2</v>
      </c>
      <c r="L46" s="97">
        <f>IF(Übersicht!$H$3=2020,I46,IF(Übersicht!$H$3=2035,J46,K46))</f>
        <v>0.16749390229463165</v>
      </c>
      <c r="N46" s="92">
        <v>0.16749390229463165</v>
      </c>
      <c r="O46" s="92">
        <v>0.1036405930517714</v>
      </c>
      <c r="P46" s="92">
        <v>6.6836198570085298E-2</v>
      </c>
      <c r="Q46" s="97">
        <f>IF(Übersicht!$H$3=2020,N46,IF(Übersicht!$H$3=2035,O46,P46))</f>
        <v>0.16749390229463165</v>
      </c>
    </row>
    <row r="47" spans="1:17" hidden="1" outlineLevel="1" x14ac:dyDescent="0.25">
      <c r="B47" s="9" t="s">
        <v>143</v>
      </c>
      <c r="C47" s="18" t="s">
        <v>63</v>
      </c>
      <c r="D47" s="82">
        <v>1</v>
      </c>
      <c r="E47" s="28">
        <v>4</v>
      </c>
      <c r="F47" s="18" t="s">
        <v>13</v>
      </c>
      <c r="I47" s="92">
        <v>0.52795945913945397</v>
      </c>
      <c r="J47" s="92">
        <v>0.31445008175631095</v>
      </c>
      <c r="K47" s="92">
        <v>0.1927058589228231</v>
      </c>
      <c r="L47" s="97">
        <f>IF(Übersicht!$H$3=2020,I47,IF(Übersicht!$H$3=2035,J47,K47))</f>
        <v>0.52795945913945397</v>
      </c>
      <c r="N47" s="92">
        <v>0.52795945913945397</v>
      </c>
      <c r="O47" s="92">
        <v>0.33221147888859892</v>
      </c>
      <c r="P47" s="92">
        <v>0.22027559816488285</v>
      </c>
      <c r="Q47" s="97">
        <f>IF(Übersicht!$H$3=2020,N47,IF(Übersicht!$H$3=2035,O47,P47))</f>
        <v>0.52795945913945397</v>
      </c>
    </row>
    <row r="48" spans="1:17" hidden="1" outlineLevel="1" x14ac:dyDescent="0.25">
      <c r="B48" s="9" t="s">
        <v>144</v>
      </c>
      <c r="C48" s="18" t="s">
        <v>63</v>
      </c>
      <c r="E48" s="28">
        <v>6</v>
      </c>
      <c r="F48" s="18"/>
      <c r="G48" s="103">
        <f>IF(Übersicht!$H$6=Übersicht!$L$6,L48,Q48)</f>
        <v>0.75868677922754513</v>
      </c>
      <c r="I48" s="92">
        <f>I44*$D44+I45*$D45+I46*$D46+I47*$D47</f>
        <v>0.75868677922754513</v>
      </c>
      <c r="J48" s="92">
        <f>J44*$D44+J45*$D45+J46*$D46+J47*$D47</f>
        <v>0.58100589480062803</v>
      </c>
      <c r="K48" s="92">
        <f>K44*$D44+K45*$D45+K46*$D46+K47*$D47</f>
        <v>0.4713253962220551</v>
      </c>
      <c r="L48" s="97">
        <f>IF(Übersicht!$H$3=2020,I48,IF(Übersicht!$H$3=2035,J48,K48))</f>
        <v>0.75868677922754513</v>
      </c>
      <c r="N48" s="92">
        <f>N44*$D44+N45*$D45+N46*$D46+N47*$D47</f>
        <v>0.75868677922754513</v>
      </c>
      <c r="O48" s="92">
        <f>O44*$D44+O45*$D45+O46*$D46+O47*$D47</f>
        <v>0.59568349670235898</v>
      </c>
      <c r="P48" s="92">
        <f>P44*$D44+P45*$D45+P46*$D46+P47*$D47</f>
        <v>0.49977135978369341</v>
      </c>
      <c r="Q48" s="97">
        <f>IF(Übersicht!$H$3=2020,N48,IF(Übersicht!$H$3=2035,O48,P48))</f>
        <v>0.75868677922754513</v>
      </c>
    </row>
    <row r="49" spans="1:17" s="46" customFormat="1" hidden="1" outlineLevel="1" x14ac:dyDescent="0.25">
      <c r="A49" s="47"/>
      <c r="B49" s="47" t="s">
        <v>231</v>
      </c>
      <c r="C49" s="47"/>
      <c r="I49" s="46" t="s">
        <v>166</v>
      </c>
      <c r="N49" s="47" t="s">
        <v>856</v>
      </c>
    </row>
    <row r="50" spans="1:17" s="45" customFormat="1" hidden="1" outlineLevel="1" x14ac:dyDescent="0.25">
      <c r="A50" s="48"/>
      <c r="B50" s="48"/>
      <c r="C50" s="48"/>
      <c r="F50" s="45" t="s">
        <v>178</v>
      </c>
      <c r="G50" s="45" t="s">
        <v>223</v>
      </c>
      <c r="I50" s="45">
        <v>2020</v>
      </c>
      <c r="J50" s="45">
        <v>2035</v>
      </c>
      <c r="K50" s="45">
        <v>2035</v>
      </c>
      <c r="L50" s="45" t="s">
        <v>223</v>
      </c>
      <c r="N50" s="45">
        <v>2020</v>
      </c>
      <c r="O50" s="45">
        <v>2035</v>
      </c>
      <c r="P50" s="45">
        <v>2050</v>
      </c>
      <c r="Q50" s="45" t="s">
        <v>223</v>
      </c>
    </row>
    <row r="51" spans="1:17" hidden="1" outlineLevel="1" x14ac:dyDescent="0.25">
      <c r="B51" s="9" t="s">
        <v>308</v>
      </c>
      <c r="C51" s="18" t="s">
        <v>63</v>
      </c>
      <c r="D51" s="82">
        <v>0.9</v>
      </c>
      <c r="E51" s="28">
        <v>1</v>
      </c>
      <c r="F51" s="18" t="s">
        <v>13</v>
      </c>
      <c r="I51" s="92">
        <v>0</v>
      </c>
      <c r="J51" s="92">
        <v>0.32991865884046223</v>
      </c>
      <c r="K51" s="92">
        <v>0.78351712084478775</v>
      </c>
      <c r="L51" s="97">
        <f>IF(Übersicht!$H$3=2020,I51,IF(Übersicht!$H$3=2035,J51,K51))</f>
        <v>0</v>
      </c>
      <c r="N51" s="92">
        <v>0</v>
      </c>
      <c r="O51" s="92">
        <v>0.42524372703187041</v>
      </c>
      <c r="P51" s="92">
        <v>0.86828740348769839</v>
      </c>
      <c r="Q51" s="97">
        <f>IF(Übersicht!$H$3=2020,N51,IF(Übersicht!$H$3=2035,O51,P51))</f>
        <v>0</v>
      </c>
    </row>
    <row r="52" spans="1:17" hidden="1" outlineLevel="1" x14ac:dyDescent="0.25">
      <c r="B52" s="9" t="s">
        <v>142</v>
      </c>
      <c r="C52" s="18" t="s">
        <v>63</v>
      </c>
      <c r="D52" s="82">
        <v>1.3</v>
      </c>
      <c r="E52" s="28">
        <v>2</v>
      </c>
      <c r="F52" s="18" t="s">
        <v>13</v>
      </c>
      <c r="I52" s="92">
        <v>0.1</v>
      </c>
      <c r="J52" s="92">
        <v>0.25573863833358529</v>
      </c>
      <c r="K52" s="92">
        <v>0.21648287915521219</v>
      </c>
      <c r="L52" s="97">
        <f>IF(Übersicht!$H$3=2020,I52,IF(Übersicht!$H$3=2035,J52,K52))</f>
        <v>0.1</v>
      </c>
      <c r="N52" s="92">
        <v>0.1</v>
      </c>
      <c r="O52" s="92">
        <v>0.13700983860980445</v>
      </c>
      <c r="P52" s="92">
        <v>0.13171259651230149</v>
      </c>
      <c r="Q52" s="97">
        <f>IF(Übersicht!$H$3=2020,N52,IF(Übersicht!$H$3=2035,O52,P52))</f>
        <v>0.1</v>
      </c>
    </row>
    <row r="53" spans="1:17" hidden="1" outlineLevel="1" x14ac:dyDescent="0.25">
      <c r="B53" s="9" t="s">
        <v>65</v>
      </c>
      <c r="C53" s="18" t="s">
        <v>63</v>
      </c>
      <c r="D53" s="82">
        <v>1.6</v>
      </c>
      <c r="E53" s="28">
        <v>3</v>
      </c>
      <c r="F53" s="18" t="s">
        <v>13</v>
      </c>
      <c r="I53" s="92">
        <v>0.40056978798586573</v>
      </c>
      <c r="J53" s="92">
        <v>0.35909551980358945</v>
      </c>
      <c r="K53" s="92">
        <v>0</v>
      </c>
      <c r="L53" s="97">
        <f>IF(Übersicht!$H$3=2020,I53,IF(Übersicht!$H$3=2035,J53,K53))</f>
        <v>0.40056978798586573</v>
      </c>
      <c r="N53" s="92">
        <v>0.40056978798586573</v>
      </c>
      <c r="O53" s="92">
        <v>0.37937866967600609</v>
      </c>
      <c r="P53" s="92">
        <v>0</v>
      </c>
      <c r="Q53" s="97">
        <f>IF(Übersicht!$H$3=2020,N53,IF(Übersicht!$H$3=2035,O53,P53))</f>
        <v>0.40056978798586573</v>
      </c>
    </row>
    <row r="54" spans="1:17" hidden="1" outlineLevel="1" x14ac:dyDescent="0.25">
      <c r="B54" s="9" t="s">
        <v>143</v>
      </c>
      <c r="C54" s="18" t="s">
        <v>63</v>
      </c>
      <c r="D54" s="82">
        <v>2.7</v>
      </c>
      <c r="E54" s="28">
        <v>4</v>
      </c>
      <c r="F54" s="18" t="s">
        <v>13</v>
      </c>
      <c r="I54" s="92">
        <v>0.49943021201413429</v>
      </c>
      <c r="J54" s="92">
        <v>5.524718302236304E-2</v>
      </c>
      <c r="K54" s="92">
        <v>0</v>
      </c>
      <c r="L54" s="97">
        <f>IF(Übersicht!$H$3=2020,I54,IF(Übersicht!$H$3=2035,J54,K54))</f>
        <v>0.49943021201413429</v>
      </c>
      <c r="N54" s="92">
        <v>0.49943021201413429</v>
      </c>
      <c r="O54" s="92">
        <v>5.8367764682318975E-2</v>
      </c>
      <c r="P54" s="92">
        <v>0</v>
      </c>
      <c r="Q54" s="97">
        <f>IF(Übersicht!$H$3=2020,N54,IF(Übersicht!$H$3=2035,O54,P54))</f>
        <v>0.49943021201413429</v>
      </c>
    </row>
    <row r="55" spans="1:17" hidden="1" outlineLevel="1" x14ac:dyDescent="0.25">
      <c r="B55" s="9" t="s">
        <v>144</v>
      </c>
      <c r="C55" s="18" t="s">
        <v>63</v>
      </c>
      <c r="E55" s="28">
        <v>6</v>
      </c>
      <c r="F55" s="18"/>
      <c r="G55" s="103">
        <f>IF(Übersicht!$H$6=Übersicht!$L$6,L55,Q55)</f>
        <v>2.1193732332155477</v>
      </c>
      <c r="I55" s="92">
        <f>I51*$D51+I52*$D52+I53*$D53+I54*$D54</f>
        <v>2.1193732332155477</v>
      </c>
      <c r="J55" s="92">
        <f>J51*$D51+J52*$D52+J53*$D53+J54*$D54</f>
        <v>1.3531072486362001</v>
      </c>
      <c r="K55" s="92">
        <f>K51*$D51+K52*$D52+K53*$D53+K54*$D54</f>
        <v>0.98659315166208483</v>
      </c>
      <c r="L55" s="97">
        <f>IF(Übersicht!$H$3=2020,I55,IF(Übersicht!$H$3=2035,J55,K55))</f>
        <v>2.1193732332155477</v>
      </c>
      <c r="N55" s="92">
        <f>N51*$D51+N52*$D52+N53*$D53+N54*$D54</f>
        <v>2.1193732332155477</v>
      </c>
      <c r="O55" s="92">
        <f>O51*$D51+O52*$D52+O53*$D53+O54*$D54</f>
        <v>1.3254309806453004</v>
      </c>
      <c r="P55" s="92">
        <f>P51*$D51+P52*$D52+P53*$D53+P54*$D54</f>
        <v>0.95268503860492049</v>
      </c>
      <c r="Q55" s="97">
        <f>IF(Übersicht!$H$3=2020,N55,IF(Übersicht!$H$3=2035,O55,P55))</f>
        <v>2.1193732332155477</v>
      </c>
    </row>
    <row r="56" spans="1:17" s="46" customFormat="1" hidden="1" outlineLevel="1" x14ac:dyDescent="0.25">
      <c r="A56" s="47"/>
      <c r="B56" s="47" t="s">
        <v>636</v>
      </c>
      <c r="C56" s="47"/>
      <c r="F56" s="46" t="s">
        <v>200</v>
      </c>
    </row>
    <row r="57" spans="1:17" s="45" customFormat="1" hidden="1" outlineLevel="1" x14ac:dyDescent="0.25">
      <c r="A57" s="48"/>
      <c r="B57" s="48"/>
      <c r="C57" s="48"/>
    </row>
    <row r="58" spans="1:17" hidden="1" outlineLevel="1" x14ac:dyDescent="0.25">
      <c r="B58" s="9" t="s">
        <v>17</v>
      </c>
      <c r="C58" s="18" t="s">
        <v>13</v>
      </c>
      <c r="D58" s="82">
        <f>44/(44+39)</f>
        <v>0.53012048192771088</v>
      </c>
      <c r="E58" s="18"/>
      <c r="F58" s="19"/>
    </row>
    <row r="59" spans="1:17" hidden="1" outlineLevel="1" x14ac:dyDescent="0.25">
      <c r="B59" s="9" t="s">
        <v>29</v>
      </c>
      <c r="C59" s="18" t="s">
        <v>13</v>
      </c>
      <c r="D59" s="82">
        <f>39/(44+39)</f>
        <v>0.46987951807228917</v>
      </c>
      <c r="E59" s="18"/>
      <c r="F59" s="19"/>
    </row>
    <row r="60" spans="1:17" hidden="1" outlineLevel="1" x14ac:dyDescent="0.25">
      <c r="B60" s="9" t="s">
        <v>19</v>
      </c>
      <c r="C60" s="18" t="s">
        <v>13</v>
      </c>
      <c r="D60" s="82">
        <f>(21+10)/(21+10+33)</f>
        <v>0.484375</v>
      </c>
      <c r="E60" s="18"/>
      <c r="F60" s="19"/>
    </row>
    <row r="61" spans="1:17" hidden="1" outlineLevel="1" x14ac:dyDescent="0.25">
      <c r="B61" s="9" t="s">
        <v>18</v>
      </c>
      <c r="C61" s="18" t="s">
        <v>13</v>
      </c>
      <c r="D61" s="82">
        <f>(33)/(21+10+33)</f>
        <v>0.515625</v>
      </c>
      <c r="E61" s="18"/>
      <c r="F61" s="19"/>
    </row>
    <row r="62" spans="1:17" s="22" customFormat="1" collapsed="1" x14ac:dyDescent="0.25">
      <c r="A62" s="21" t="s">
        <v>249</v>
      </c>
      <c r="C62" s="23"/>
      <c r="D62" s="24"/>
    </row>
    <row r="63" spans="1:17" s="46" customFormat="1" hidden="1" outlineLevel="1" x14ac:dyDescent="0.25">
      <c r="A63" s="47"/>
      <c r="B63" s="47" t="s">
        <v>171</v>
      </c>
      <c r="C63" s="47"/>
      <c r="I63" s="47" t="s">
        <v>167</v>
      </c>
      <c r="N63" s="47" t="s">
        <v>856</v>
      </c>
    </row>
    <row r="64" spans="1:17" s="45" customFormat="1" hidden="1" outlineLevel="1" x14ac:dyDescent="0.25">
      <c r="A64" s="48"/>
      <c r="B64" s="48"/>
      <c r="C64" s="48"/>
      <c r="D64" s="45" t="s">
        <v>223</v>
      </c>
      <c r="I64" s="45">
        <v>2020</v>
      </c>
      <c r="J64" s="45">
        <v>2035</v>
      </c>
      <c r="K64" s="45">
        <v>2050</v>
      </c>
      <c r="L64" s="45" t="s">
        <v>223</v>
      </c>
      <c r="N64" s="45">
        <v>2020</v>
      </c>
      <c r="O64" s="45">
        <v>2035</v>
      </c>
      <c r="P64" s="45">
        <v>2050</v>
      </c>
      <c r="Q64" s="45" t="s">
        <v>223</v>
      </c>
    </row>
    <row r="65" spans="1:17" hidden="1" outlineLevel="1" x14ac:dyDescent="0.25">
      <c r="B65" s="9" t="s">
        <v>174</v>
      </c>
      <c r="C65" s="18" t="s">
        <v>13</v>
      </c>
      <c r="D65" s="82">
        <f>IF(Übersicht!$H$6=Übersicht!$L$6,L65,Q65)</f>
        <v>0.2</v>
      </c>
      <c r="I65" s="92">
        <v>0.2</v>
      </c>
      <c r="J65" s="92">
        <v>0.25898093483504442</v>
      </c>
      <c r="K65" s="92">
        <v>0.29966359818540084</v>
      </c>
      <c r="L65" s="97">
        <f>IF(Übersicht!$H$3=2020,I65,IF(Übersicht!$H$3=2035,J65,K65))</f>
        <v>0.2</v>
      </c>
      <c r="N65" s="92">
        <v>0.2</v>
      </c>
      <c r="O65" s="92">
        <v>0.24536721494367836</v>
      </c>
      <c r="P65" s="92">
        <v>0.27659026772440481</v>
      </c>
      <c r="Q65" s="97">
        <f>IF(Übersicht!$H$3=2020,N65,IF(Übersicht!$H$3=2035,O65,P65))</f>
        <v>0.2</v>
      </c>
    </row>
    <row r="66" spans="1:17" hidden="1" outlineLevel="1" x14ac:dyDescent="0.25">
      <c r="B66" s="9" t="s">
        <v>173</v>
      </c>
      <c r="C66" s="18" t="s">
        <v>13</v>
      </c>
      <c r="D66" s="82">
        <f>IF(Übersicht!$H$6=Übersicht!$L$6,L66,Q66)</f>
        <v>0.8</v>
      </c>
      <c r="I66" s="92">
        <v>0.8</v>
      </c>
      <c r="J66" s="92">
        <v>0.74101906516495553</v>
      </c>
      <c r="K66" s="92">
        <v>0.70033640181459922</v>
      </c>
      <c r="L66" s="97">
        <f>IF(Übersicht!$H$3=2020,I66,IF(Übersicht!$H$3=2035,J66,K66))</f>
        <v>0.8</v>
      </c>
      <c r="N66" s="92">
        <v>0.8</v>
      </c>
      <c r="O66" s="92">
        <v>0.7546327850563217</v>
      </c>
      <c r="P66" s="92">
        <v>0.72340973227559524</v>
      </c>
      <c r="Q66" s="97">
        <f>IF(Übersicht!$H$3=2020,N66,IF(Übersicht!$H$3=2035,O66,P66))</f>
        <v>0.8</v>
      </c>
    </row>
    <row r="67" spans="1:17" s="46" customFormat="1" hidden="1" outlineLevel="1" x14ac:dyDescent="0.25">
      <c r="A67" s="47"/>
      <c r="B67" s="47" t="s">
        <v>181</v>
      </c>
      <c r="C67" s="47"/>
      <c r="I67" s="47" t="s">
        <v>186</v>
      </c>
      <c r="N67" s="47" t="s">
        <v>856</v>
      </c>
    </row>
    <row r="68" spans="1:17" s="45" customFormat="1" hidden="1" outlineLevel="1" x14ac:dyDescent="0.25">
      <c r="A68" s="48"/>
      <c r="B68" s="48"/>
      <c r="C68" s="48"/>
      <c r="D68" s="45" t="s">
        <v>223</v>
      </c>
      <c r="I68" s="45">
        <v>2020</v>
      </c>
      <c r="J68" s="45">
        <v>2035</v>
      </c>
      <c r="K68" s="45">
        <v>2050</v>
      </c>
      <c r="L68" s="45" t="s">
        <v>223</v>
      </c>
      <c r="N68" s="45">
        <v>2020</v>
      </c>
      <c r="O68" s="45">
        <v>2035</v>
      </c>
      <c r="P68" s="45">
        <v>2050</v>
      </c>
      <c r="Q68" s="45" t="s">
        <v>223</v>
      </c>
    </row>
    <row r="69" spans="1:17" hidden="1" outlineLevel="1" x14ac:dyDescent="0.25">
      <c r="B69" s="9" t="s">
        <v>179</v>
      </c>
      <c r="C69" s="18" t="s">
        <v>13</v>
      </c>
      <c r="D69" s="82">
        <f>IF(Übersicht!$H$6=Übersicht!$L$6,L69,Q69)</f>
        <v>0.7</v>
      </c>
      <c r="I69" s="92">
        <v>0.7</v>
      </c>
      <c r="J69" s="92">
        <v>0.58884657849841249</v>
      </c>
      <c r="K69" s="92">
        <v>0.51798996685388743</v>
      </c>
      <c r="L69" s="97">
        <f>IF(Übersicht!$H$3=2020,I69,IF(Übersicht!$H$3=2035,J69,K69))</f>
        <v>0.7</v>
      </c>
      <c r="N69" s="92">
        <v>0.7</v>
      </c>
      <c r="O69" s="92">
        <v>0.61645858663965769</v>
      </c>
      <c r="P69" s="92">
        <v>0.56433784416416866</v>
      </c>
      <c r="Q69" s="97">
        <f>IF(Übersicht!$H$3=2020,N69,IF(Übersicht!$H$3=2035,O69,P69))</f>
        <v>0.7</v>
      </c>
    </row>
    <row r="70" spans="1:17" hidden="1" outlineLevel="1" x14ac:dyDescent="0.25">
      <c r="B70" s="9" t="s">
        <v>180</v>
      </c>
      <c r="C70" s="18" t="s">
        <v>13</v>
      </c>
      <c r="D70" s="82">
        <f>IF(Übersicht!$H$6=Übersicht!$L$6,L70,Q70)</f>
        <v>0.30000000000000004</v>
      </c>
      <c r="I70" s="92">
        <v>0.30000000000000004</v>
      </c>
      <c r="J70" s="92">
        <v>0.41115342150158751</v>
      </c>
      <c r="K70" s="92">
        <v>0.48201003314611257</v>
      </c>
      <c r="L70" s="97">
        <f>IF(Übersicht!$H$3=2020,I70,IF(Übersicht!$H$3=2035,J70,K70))</f>
        <v>0.30000000000000004</v>
      </c>
      <c r="N70" s="92">
        <v>0.30000000000000004</v>
      </c>
      <c r="O70" s="92">
        <v>0.38354141336034231</v>
      </c>
      <c r="P70" s="92">
        <v>0.43566215583583134</v>
      </c>
      <c r="Q70" s="97">
        <f>IF(Übersicht!$H$3=2020,N70,IF(Übersicht!$H$3=2035,O70,P70))</f>
        <v>0.30000000000000004</v>
      </c>
    </row>
    <row r="71" spans="1:17" s="46" customFormat="1" hidden="1" outlineLevel="1" x14ac:dyDescent="0.25">
      <c r="A71" s="47"/>
      <c r="B71" s="47" t="s">
        <v>194</v>
      </c>
      <c r="C71" s="47"/>
      <c r="I71" s="47" t="s">
        <v>200</v>
      </c>
      <c r="N71" s="47" t="s">
        <v>856</v>
      </c>
    </row>
    <row r="72" spans="1:17" s="45" customFormat="1" hidden="1" outlineLevel="1" x14ac:dyDescent="0.25">
      <c r="A72" s="48"/>
      <c r="B72" s="48"/>
      <c r="C72" s="48"/>
      <c r="D72" s="45" t="s">
        <v>223</v>
      </c>
      <c r="I72" s="45">
        <v>2020</v>
      </c>
      <c r="J72" s="45">
        <v>2035</v>
      </c>
      <c r="K72" s="45">
        <v>2050</v>
      </c>
      <c r="L72" s="45" t="s">
        <v>223</v>
      </c>
      <c r="N72" s="45">
        <v>2020</v>
      </c>
      <c r="O72" s="45">
        <v>2035</v>
      </c>
      <c r="P72" s="45">
        <v>2050</v>
      </c>
      <c r="Q72" s="45" t="s">
        <v>223</v>
      </c>
    </row>
    <row r="73" spans="1:17" hidden="1" outlineLevel="1" x14ac:dyDescent="0.25">
      <c r="B73" s="9" t="s">
        <v>189</v>
      </c>
      <c r="C73" s="18" t="s">
        <v>13</v>
      </c>
      <c r="D73" s="82">
        <f>IF(Übersicht!$H$6=Übersicht!$L$6,L73,Q73)</f>
        <v>0.12</v>
      </c>
      <c r="I73" s="92">
        <v>0.12</v>
      </c>
      <c r="J73" s="92">
        <v>0.15782641977780665</v>
      </c>
      <c r="K73" s="92">
        <v>0.19468222040159819</v>
      </c>
      <c r="L73" s="97">
        <f>IF(Übersicht!$H$3=2020,I73,IF(Übersicht!$H$3=2035,J73,K73))</f>
        <v>0.12</v>
      </c>
      <c r="N73" s="92">
        <v>0.12</v>
      </c>
      <c r="O73" s="92">
        <v>0.16109268703611179</v>
      </c>
      <c r="P73" s="92">
        <v>0.20253249431302411</v>
      </c>
      <c r="Q73" s="97">
        <f>IF(Übersicht!$H$3=2020,N73,IF(Übersicht!$H$3=2035,O73,P73))</f>
        <v>0.12</v>
      </c>
    </row>
    <row r="74" spans="1:17" hidden="1" outlineLevel="1" x14ac:dyDescent="0.25">
      <c r="B74" s="9" t="s">
        <v>195</v>
      </c>
      <c r="C74" s="18" t="s">
        <v>13</v>
      </c>
      <c r="D74" s="82">
        <f>IF(Übersicht!$H$6=Übersicht!$L$6,L74,Q74)</f>
        <v>0.88</v>
      </c>
      <c r="I74" s="92">
        <v>0.88</v>
      </c>
      <c r="J74" s="92">
        <v>0.84217358022219335</v>
      </c>
      <c r="K74" s="92">
        <v>0.80531777959840178</v>
      </c>
      <c r="L74" s="97">
        <f>IF(Übersicht!$H$3=2020,I74,IF(Übersicht!$H$3=2035,J74,K74))</f>
        <v>0.88</v>
      </c>
      <c r="N74" s="92">
        <v>0.88</v>
      </c>
      <c r="O74" s="92">
        <v>0.83890731296388821</v>
      </c>
      <c r="P74" s="92">
        <v>0.79746750568697589</v>
      </c>
      <c r="Q74" s="97">
        <f>IF(Übersicht!$H$3=2020,N74,IF(Übersicht!$H$3=2035,O74,P74))</f>
        <v>0.88</v>
      </c>
    </row>
    <row r="75" spans="1:17" s="46" customFormat="1" hidden="1" outlineLevel="1" x14ac:dyDescent="0.25">
      <c r="A75" s="47"/>
      <c r="B75" s="47" t="s">
        <v>199</v>
      </c>
      <c r="C75" s="47"/>
      <c r="I75" s="47"/>
      <c r="J75" s="46" t="s">
        <v>201</v>
      </c>
      <c r="N75" s="47" t="s">
        <v>856</v>
      </c>
    </row>
    <row r="76" spans="1:17" s="45" customFormat="1" hidden="1" outlineLevel="1" x14ac:dyDescent="0.25">
      <c r="A76" s="48"/>
      <c r="B76" s="48"/>
      <c r="C76" s="48"/>
      <c r="D76" s="45" t="s">
        <v>223</v>
      </c>
      <c r="I76" s="45">
        <v>2020</v>
      </c>
      <c r="J76" s="45">
        <v>2035</v>
      </c>
      <c r="K76" s="45">
        <v>2050</v>
      </c>
      <c r="L76" s="45" t="s">
        <v>223</v>
      </c>
      <c r="N76" s="45">
        <v>2020</v>
      </c>
      <c r="O76" s="45">
        <v>2035</v>
      </c>
      <c r="P76" s="45">
        <v>2050</v>
      </c>
      <c r="Q76" s="45" t="s">
        <v>223</v>
      </c>
    </row>
    <row r="77" spans="1:17" hidden="1" outlineLevel="1" x14ac:dyDescent="0.25">
      <c r="B77" s="9" t="s">
        <v>45</v>
      </c>
      <c r="C77" s="18" t="s">
        <v>13</v>
      </c>
      <c r="D77" s="82">
        <f>IF(Übersicht!$H$6=Übersicht!$L$6,L77,Q77)</f>
        <v>0.5</v>
      </c>
      <c r="I77" s="92">
        <v>0.5</v>
      </c>
      <c r="J77" s="92">
        <v>0.30276402959751253</v>
      </c>
      <c r="K77" s="92">
        <v>0.14965945969895803</v>
      </c>
      <c r="L77" s="97">
        <f>IF(Übersicht!$H$3=2020,I77,IF(Übersicht!$H$3=2035,J77,K77))</f>
        <v>0.5</v>
      </c>
      <c r="N77" s="92">
        <v>0.5</v>
      </c>
      <c r="O77" s="92">
        <v>0.30596139224700064</v>
      </c>
      <c r="P77" s="92">
        <v>0.15694919209977737</v>
      </c>
      <c r="Q77" s="97">
        <f>IF(Übersicht!$H$3=2020,N77,IF(Übersicht!$H$3=2035,O77,P77))</f>
        <v>0.5</v>
      </c>
    </row>
    <row r="78" spans="1:17" hidden="1" outlineLevel="1" x14ac:dyDescent="0.25">
      <c r="B78" s="9" t="s">
        <v>191</v>
      </c>
      <c r="C78" s="18" t="s">
        <v>13</v>
      </c>
      <c r="D78" s="82">
        <f>IF(Übersicht!$H$6=Übersicht!$L$6,L78,Q78)</f>
        <v>0.5</v>
      </c>
      <c r="I78" s="92">
        <v>0.5</v>
      </c>
      <c r="J78" s="92">
        <v>0.69723597040248753</v>
      </c>
      <c r="K78" s="92">
        <v>0.850340540301042</v>
      </c>
      <c r="L78" s="97">
        <f>IF(Übersicht!$H$3=2020,I78,IF(Übersicht!$H$3=2035,J78,K78))</f>
        <v>0.5</v>
      </c>
      <c r="N78" s="92">
        <v>0.5</v>
      </c>
      <c r="O78" s="92">
        <v>0.69403860775299941</v>
      </c>
      <c r="P78" s="92">
        <v>0.84305080790022258</v>
      </c>
      <c r="Q78" s="97">
        <f>IF(Übersicht!$H$3=2020,N78,IF(Übersicht!$H$3=2035,O78,P78))</f>
        <v>0.5</v>
      </c>
    </row>
    <row r="79" spans="1:17" s="22" customFormat="1" collapsed="1" x14ac:dyDescent="0.25">
      <c r="A79" s="21" t="s">
        <v>250</v>
      </c>
      <c r="C79" s="23"/>
      <c r="I79" s="24"/>
    </row>
    <row r="80" spans="1:17" s="46" customFormat="1" hidden="1" outlineLevel="1" x14ac:dyDescent="0.25">
      <c r="A80" s="47"/>
      <c r="B80" s="47" t="s">
        <v>258</v>
      </c>
      <c r="C80" s="47"/>
      <c r="I80" s="47" t="s">
        <v>166</v>
      </c>
      <c r="N80" s="47" t="s">
        <v>856</v>
      </c>
    </row>
    <row r="81" spans="1:17" s="45" customFormat="1" hidden="1" outlineLevel="1" x14ac:dyDescent="0.25">
      <c r="A81" s="48"/>
      <c r="B81" s="48"/>
      <c r="C81" s="48"/>
      <c r="D81" s="45" t="s">
        <v>223</v>
      </c>
      <c r="I81" s="45">
        <v>2020</v>
      </c>
      <c r="J81" s="45">
        <v>2035</v>
      </c>
      <c r="K81" s="45">
        <v>2050</v>
      </c>
      <c r="L81" s="45" t="s">
        <v>223</v>
      </c>
      <c r="N81" s="45">
        <v>2020</v>
      </c>
      <c r="O81" s="45">
        <v>2035</v>
      </c>
      <c r="P81" s="45">
        <v>2050</v>
      </c>
      <c r="Q81" s="45" t="s">
        <v>223</v>
      </c>
    </row>
    <row r="82" spans="1:17" hidden="1" outlineLevel="1" x14ac:dyDescent="0.25">
      <c r="B82" t="s">
        <v>21</v>
      </c>
      <c r="C82" s="18" t="s">
        <v>13</v>
      </c>
      <c r="D82" s="82">
        <f>IF(Übersicht!$H$6=Übersicht!$L$6,L82,Q82)</f>
        <v>6.0999999999999999E-2</v>
      </c>
      <c r="H82" s="28">
        <v>1</v>
      </c>
      <c r="I82" s="92">
        <v>6.0999999999999999E-2</v>
      </c>
      <c r="J82" s="92">
        <v>0.1071827878343231</v>
      </c>
      <c r="K82" s="92">
        <v>0.13245285183339325</v>
      </c>
      <c r="L82" s="97">
        <f>IF(Übersicht!$H$3=2020,I82,IF(Übersicht!$H$3=2035,J82,K82))</f>
        <v>6.0999999999999999E-2</v>
      </c>
      <c r="N82" s="92">
        <v>6.0999999999999999E-2</v>
      </c>
      <c r="O82" s="92">
        <v>0.13654053988725437</v>
      </c>
      <c r="P82" s="92">
        <v>0.1859179550506494</v>
      </c>
      <c r="Q82" s="97">
        <f>IF(Übersicht!$H$3=2020,N82,IF(Übersicht!$H$3=2035,O82,P82))</f>
        <v>6.0999999999999999E-2</v>
      </c>
    </row>
    <row r="83" spans="1:17" hidden="1" outlineLevel="1" x14ac:dyDescent="0.25">
      <c r="B83" t="s">
        <v>274</v>
      </c>
      <c r="C83" s="18" t="s">
        <v>13</v>
      </c>
      <c r="D83" s="82">
        <f>IF(Übersicht!$H$6=Übersicht!$L$6,L83,Q83)</f>
        <v>0.27531343283582088</v>
      </c>
      <c r="H83" s="28">
        <v>2</v>
      </c>
      <c r="I83" s="92">
        <v>0.27531343283582088</v>
      </c>
      <c r="J83" s="92">
        <v>0</v>
      </c>
      <c r="K83" s="92">
        <v>0</v>
      </c>
      <c r="L83" s="97">
        <f>IF(Übersicht!$H$3=2020,I83,IF(Übersicht!$H$3=2035,J83,K83))</f>
        <v>0.27531343283582088</v>
      </c>
      <c r="N83" s="92">
        <v>0.27531343283582088</v>
      </c>
      <c r="O83" s="92">
        <v>0</v>
      </c>
      <c r="P83" s="92">
        <v>0</v>
      </c>
      <c r="Q83" s="97">
        <f>IF(Übersicht!$H$3=2020,N83,IF(Übersicht!$H$3=2035,O83,P83))</f>
        <v>0.27531343283582088</v>
      </c>
    </row>
    <row r="84" spans="1:17" hidden="1" outlineLevel="1" x14ac:dyDescent="0.25">
      <c r="B84" t="s">
        <v>275</v>
      </c>
      <c r="C84" s="18" t="s">
        <v>13</v>
      </c>
      <c r="D84" s="82">
        <f>IF(Übersicht!$H$6=Übersicht!$L$6,L84,Q84)</f>
        <v>0.2498818181818182</v>
      </c>
      <c r="H84" s="28">
        <v>3</v>
      </c>
      <c r="I84" s="92">
        <v>0.2498818181818182</v>
      </c>
      <c r="J84" s="92">
        <v>6.5970182444031425E-2</v>
      </c>
      <c r="K84" s="92">
        <v>4.3895596162277705E-3</v>
      </c>
      <c r="L84" s="97">
        <f>IF(Übersicht!$H$3=2020,I84,IF(Übersicht!$H$3=2035,J84,K84))</f>
        <v>0.2498818181818182</v>
      </c>
      <c r="N84" s="92">
        <v>0.2498818181818182</v>
      </c>
      <c r="O84" s="92">
        <v>6.9696441959479674E-2</v>
      </c>
      <c r="P84" s="92">
        <v>4.8718193751139463E-3</v>
      </c>
      <c r="Q84" s="97">
        <f>IF(Übersicht!$H$3=2020,N84,IF(Übersicht!$H$3=2035,O84,P84))</f>
        <v>0.2498818181818182</v>
      </c>
    </row>
    <row r="85" spans="1:17" hidden="1" outlineLevel="1" x14ac:dyDescent="0.25">
      <c r="B85" t="s">
        <v>273</v>
      </c>
      <c r="C85" s="18" t="s">
        <v>13</v>
      </c>
      <c r="D85" s="82">
        <f>IF(Übersicht!$H$6=Übersicht!$L$6,L85,Q85)</f>
        <v>0.24118656716417913</v>
      </c>
      <c r="H85" s="28">
        <v>4</v>
      </c>
      <c r="I85" s="92">
        <v>0.24118656716417913</v>
      </c>
      <c r="J85" s="92">
        <v>0.36302344609506587</v>
      </c>
      <c r="K85" s="92">
        <v>0.16161216018809826</v>
      </c>
      <c r="L85" s="97">
        <f>IF(Übersicht!$H$3=2020,I85,IF(Übersicht!$H$3=2035,J85,K85))</f>
        <v>0.24118656716417913</v>
      </c>
      <c r="N85" s="92">
        <v>0.24118656716417913</v>
      </c>
      <c r="O85" s="92">
        <v>0.19023222945737328</v>
      </c>
      <c r="P85" s="92">
        <v>7.3534047961047094E-2</v>
      </c>
      <c r="Q85" s="97">
        <f>IF(Übersicht!$H$3=2020,N85,IF(Übersicht!$H$3=2035,O85,P85))</f>
        <v>0.24118656716417913</v>
      </c>
    </row>
    <row r="86" spans="1:17" hidden="1" outlineLevel="1" x14ac:dyDescent="0.25">
      <c r="B86" t="s">
        <v>276</v>
      </c>
      <c r="C86" s="18" t="s">
        <v>13</v>
      </c>
      <c r="D86" s="82">
        <f>IF(Übersicht!$H$6=Übersicht!$L$6,L86,Q86)</f>
        <v>3.8818181818181814E-2</v>
      </c>
      <c r="H86" s="28">
        <v>5</v>
      </c>
      <c r="I86" s="92">
        <v>3.8818181818181814E-2</v>
      </c>
      <c r="J86" s="92">
        <v>3.4676075698977162E-2</v>
      </c>
      <c r="K86" s="92">
        <v>3.2643935843936413E-2</v>
      </c>
      <c r="L86" s="97">
        <f>IF(Übersicht!$H$3=2020,I86,IF(Übersicht!$H$3=2035,J86,K86))</f>
        <v>3.8818181818181814E-2</v>
      </c>
      <c r="N86" s="92">
        <v>3.8818181818181814E-2</v>
      </c>
      <c r="O86" s="92">
        <v>3.6634719016984348E-2</v>
      </c>
      <c r="P86" s="92">
        <v>3.6230367742706569E-2</v>
      </c>
      <c r="Q86" s="97">
        <f>IF(Übersicht!$H$3=2020,N86,IF(Übersicht!$H$3=2035,O86,P86))</f>
        <v>3.8818181818181814E-2</v>
      </c>
    </row>
    <row r="87" spans="1:17" hidden="1" outlineLevel="1" x14ac:dyDescent="0.25">
      <c r="B87" t="s">
        <v>8</v>
      </c>
      <c r="C87" s="18" t="s">
        <v>13</v>
      </c>
      <c r="D87" s="82">
        <f>IF(Übersicht!$H$6=Übersicht!$L$6,L87,Q87)</f>
        <v>0.04</v>
      </c>
      <c r="H87" s="28">
        <v>6</v>
      </c>
      <c r="I87" s="92">
        <v>0.04</v>
      </c>
      <c r="J87" s="92">
        <v>2.2114891268500268E-2</v>
      </c>
      <c r="K87" s="92">
        <v>1.2892911044719731E-2</v>
      </c>
      <c r="L87" s="97">
        <f>IF(Übersicht!$H$3=2020,I87,IF(Übersicht!$H$3=2035,J87,K87))</f>
        <v>0.04</v>
      </c>
      <c r="N87" s="92">
        <v>0.04</v>
      </c>
      <c r="O87" s="92">
        <v>2.3364028696493056E-2</v>
      </c>
      <c r="P87" s="92">
        <v>1.4309393041861563E-2</v>
      </c>
      <c r="Q87" s="97">
        <f>IF(Übersicht!$H$3=2020,N87,IF(Übersicht!$H$3=2035,O87,P87))</f>
        <v>0.04</v>
      </c>
    </row>
    <row r="88" spans="1:17" hidden="1" outlineLevel="1" x14ac:dyDescent="0.25">
      <c r="B88" t="s">
        <v>7</v>
      </c>
      <c r="C88" s="18" t="s">
        <v>13</v>
      </c>
      <c r="D88" s="82">
        <f>IF(Übersicht!$H$6=Übersicht!$L$6,L88,Q88)</f>
        <v>3.3000000000000002E-2</v>
      </c>
      <c r="H88" s="28">
        <v>7</v>
      </c>
      <c r="I88" s="92">
        <v>3.3000000000000002E-2</v>
      </c>
      <c r="J88" s="92">
        <v>1.8244785296512717E-2</v>
      </c>
      <c r="K88" s="92">
        <v>1.0636651611893776E-2</v>
      </c>
      <c r="L88" s="97">
        <f>IF(Übersicht!$H$3=2020,I88,IF(Übersicht!$H$3=2035,J88,K88))</f>
        <v>3.3000000000000002E-2</v>
      </c>
      <c r="N88" s="92">
        <v>3.3000000000000002E-2</v>
      </c>
      <c r="O88" s="92">
        <v>1.9275323674606767E-2</v>
      </c>
      <c r="P88" s="92">
        <v>1.1805249259535787E-2</v>
      </c>
      <c r="Q88" s="97">
        <f>IF(Übersicht!$H$3=2020,N88,IF(Übersicht!$H$3=2035,O88,P88))</f>
        <v>3.3000000000000002E-2</v>
      </c>
    </row>
    <row r="89" spans="1:17" hidden="1" outlineLevel="1" x14ac:dyDescent="0.25">
      <c r="B89" t="s">
        <v>277</v>
      </c>
      <c r="C89" s="18" t="s">
        <v>13</v>
      </c>
      <c r="D89" s="82">
        <f>IF(Übersicht!$H$6=Übersicht!$L$6,L89,Q89)</f>
        <v>3.7696000000000007E-2</v>
      </c>
      <c r="H89" s="28">
        <v>8</v>
      </c>
      <c r="I89" s="92">
        <v>3.7696000000000007E-2</v>
      </c>
      <c r="J89" s="92">
        <v>0.2566161759834914</v>
      </c>
      <c r="K89" s="92">
        <v>0.42415070057914755</v>
      </c>
      <c r="L89" s="97">
        <f>IF(Übersicht!$H$3=2020,I89,IF(Übersicht!$H$3=2035,J89,K89))</f>
        <v>3.7696000000000007E-2</v>
      </c>
      <c r="N89" s="92">
        <v>3.7696000000000007E-2</v>
      </c>
      <c r="O89" s="92">
        <v>0.34678328013063003</v>
      </c>
      <c r="P89" s="92">
        <v>0.44560762165825574</v>
      </c>
      <c r="Q89" s="97">
        <f>IF(Übersicht!$H$3=2020,N89,IF(Übersicht!$H$3=2035,O89,P89))</f>
        <v>3.7696000000000007E-2</v>
      </c>
    </row>
    <row r="90" spans="1:17" hidden="1" outlineLevel="1" x14ac:dyDescent="0.25">
      <c r="B90" t="s">
        <v>278</v>
      </c>
      <c r="C90" s="18" t="s">
        <v>13</v>
      </c>
      <c r="D90" s="82">
        <f>IF(Übersicht!$H$6=Übersicht!$L$6,L90,Q90)</f>
        <v>2.3104000000000006E-2</v>
      </c>
      <c r="H90" s="28">
        <v>9</v>
      </c>
      <c r="I90" s="92">
        <v>2.3104000000000006E-2</v>
      </c>
      <c r="J90" s="92">
        <v>0.13217165537909806</v>
      </c>
      <c r="K90" s="92">
        <v>0.22122122928258336</v>
      </c>
      <c r="L90" s="97">
        <f>IF(Übersicht!$H$3=2020,I90,IF(Übersicht!$H$3=2035,J90,K90))</f>
        <v>2.3104000000000006E-2</v>
      </c>
      <c r="N90" s="92">
        <v>2.3104000000000006E-2</v>
      </c>
      <c r="O90" s="92">
        <v>0.17747343717717831</v>
      </c>
      <c r="P90" s="92">
        <v>0.22772354591082972</v>
      </c>
      <c r="Q90" s="97">
        <f>IF(Übersicht!$H$3=2020,N90,IF(Übersicht!$H$3=2035,O90,P90))</f>
        <v>2.3104000000000006E-2</v>
      </c>
    </row>
    <row r="91" spans="1:17" s="46" customFormat="1" hidden="1" outlineLevel="1" x14ac:dyDescent="0.25">
      <c r="A91" s="47"/>
      <c r="B91" s="47" t="s">
        <v>449</v>
      </c>
      <c r="C91" s="47"/>
      <c r="I91" s="47" t="s">
        <v>450</v>
      </c>
      <c r="N91" s="47" t="s">
        <v>856</v>
      </c>
    </row>
    <row r="92" spans="1:17" s="45" customFormat="1" hidden="1" outlineLevel="1" x14ac:dyDescent="0.25">
      <c r="A92" s="48"/>
      <c r="B92" s="48"/>
      <c r="C92" s="48"/>
      <c r="D92" s="45" t="s">
        <v>223</v>
      </c>
      <c r="I92" s="45">
        <v>2020</v>
      </c>
      <c r="J92" s="45">
        <v>2035</v>
      </c>
      <c r="K92" s="45">
        <v>2050</v>
      </c>
      <c r="L92" s="45" t="s">
        <v>223</v>
      </c>
      <c r="N92" s="45">
        <v>2020</v>
      </c>
      <c r="O92" s="45">
        <v>2035</v>
      </c>
      <c r="P92" s="45">
        <v>2050</v>
      </c>
      <c r="Q92" s="45" t="s">
        <v>223</v>
      </c>
    </row>
    <row r="93" spans="1:17" hidden="1" outlineLevel="1" x14ac:dyDescent="0.25">
      <c r="B93" t="s">
        <v>21</v>
      </c>
      <c r="C93" s="18" t="s">
        <v>13</v>
      </c>
      <c r="D93" s="82">
        <f>IF(Übersicht!$H$6=Übersicht!$L$6,L93,Q93)</f>
        <v>6.0999999999999999E-2</v>
      </c>
      <c r="H93" s="28">
        <v>1</v>
      </c>
      <c r="I93" s="92">
        <f>I82</f>
        <v>6.0999999999999999E-2</v>
      </c>
      <c r="J93" s="92">
        <f t="shared" ref="J93:K93" si="0">J82</f>
        <v>0.1071827878343231</v>
      </c>
      <c r="K93" s="92">
        <f t="shared" si="0"/>
        <v>0.13245285183339325</v>
      </c>
      <c r="L93" s="97">
        <f>IF(Übersicht!$H$3=2020,I93,IF(Übersicht!$H$3=2035,J93,K93))</f>
        <v>6.0999999999999999E-2</v>
      </c>
      <c r="N93" s="92">
        <f>N82</f>
        <v>6.0999999999999999E-2</v>
      </c>
      <c r="O93" s="92">
        <f t="shared" ref="O93:P93" si="1">O82</f>
        <v>0.13654053988725437</v>
      </c>
      <c r="P93" s="92">
        <f t="shared" si="1"/>
        <v>0.1859179550506494</v>
      </c>
      <c r="Q93" s="97">
        <f>IF(Übersicht!$H$3=2020,N93,IF(Übersicht!$H$3=2035,O93,P93))</f>
        <v>6.0999999999999999E-2</v>
      </c>
    </row>
    <row r="94" spans="1:17" hidden="1" outlineLevel="1" x14ac:dyDescent="0.25">
      <c r="B94" t="s">
        <v>274</v>
      </c>
      <c r="C94" s="18" t="s">
        <v>13</v>
      </c>
      <c r="D94" s="82">
        <f>IF(Übersicht!$H$6=Übersicht!$L$6,L94,Q94)</f>
        <v>0.24689679702699455</v>
      </c>
      <c r="H94" s="28">
        <v>2</v>
      </c>
      <c r="I94" s="92">
        <f>(1-SUM(I$98:I$99)-I$93-I$101)*I83/SUM(I$83:I$86,I$89)</f>
        <v>0.24689679702699455</v>
      </c>
      <c r="J94" s="92">
        <f t="shared" ref="J94:K98" si="2">(1-J$99-J$93-J$101)*J83/SUM(J$83:J$87,J$89)</f>
        <v>0</v>
      </c>
      <c r="K94" s="92">
        <f t="shared" si="2"/>
        <v>0</v>
      </c>
      <c r="L94" s="97">
        <f>IF(Übersicht!$H$3=2020,I94,IF(Übersicht!$H$3=2035,J94,K94))</f>
        <v>0.24689679702699455</v>
      </c>
      <c r="N94" s="92">
        <f>(1-SUM(N$98:N$99)-N$93-N$101)*N83/SUM(N$83:N$86,N$89)</f>
        <v>0.24689679702699455</v>
      </c>
      <c r="O94" s="92">
        <f t="shared" ref="O94:P98" si="3">(1-O$99-O$93-O$101)*O83/SUM(O$83:O$87,O$89)</f>
        <v>0</v>
      </c>
      <c r="P94" s="92">
        <f t="shared" si="3"/>
        <v>0</v>
      </c>
      <c r="Q94" s="97">
        <f>IF(Übersicht!$H$3=2020,N94,IF(Übersicht!$H$3=2035,O94,P94))</f>
        <v>0.24689679702699455</v>
      </c>
    </row>
    <row r="95" spans="1:17" hidden="1" outlineLevel="1" x14ac:dyDescent="0.25">
      <c r="B95" t="s">
        <v>275</v>
      </c>
      <c r="C95" s="18" t="s">
        <v>13</v>
      </c>
      <c r="D95" s="82">
        <f>IF(Übersicht!$H$6=Übersicht!$L$6,L95,Q95)</f>
        <v>0.22409012124433336</v>
      </c>
      <c r="H95" s="28">
        <v>3</v>
      </c>
      <c r="I95" s="92">
        <f>(1-SUM(I$98:I$99)-I$93-I$101)*I84/SUM(I$83:I$86,I$89)</f>
        <v>0.22409012124433336</v>
      </c>
      <c r="J95" s="92">
        <f t="shared" si="2"/>
        <v>5.3566873818576582E-2</v>
      </c>
      <c r="K95" s="92">
        <f t="shared" si="2"/>
        <v>3.1186887082262425E-3</v>
      </c>
      <c r="L95" s="97">
        <f>IF(Übersicht!$H$3=2020,I95,IF(Übersicht!$H$3=2035,J95,K95))</f>
        <v>0.22409012124433336</v>
      </c>
      <c r="N95" s="92">
        <f>(1-SUM(N$98:N$99)-N$93-N$101)*N84/SUM(N$83:N$86,N$89)</f>
        <v>0.22409012124433336</v>
      </c>
      <c r="O95" s="92">
        <f t="shared" si="3"/>
        <v>5.4871172700522199E-2</v>
      </c>
      <c r="P95" s="92">
        <f t="shared" si="3"/>
        <v>3.2545825251420364E-3</v>
      </c>
      <c r="Q95" s="97">
        <f>IF(Übersicht!$H$3=2020,N95,IF(Übersicht!$H$3=2035,O95,P95))</f>
        <v>0.22409012124433336</v>
      </c>
    </row>
    <row r="96" spans="1:17" hidden="1" outlineLevel="1" x14ac:dyDescent="0.25">
      <c r="B96" t="s">
        <v>273</v>
      </c>
      <c r="C96" s="18" t="s">
        <v>13</v>
      </c>
      <c r="D96" s="82">
        <f>IF(Übersicht!$H$6=Übersicht!$L$6,L96,Q96)</f>
        <v>0.21629235560868043</v>
      </c>
      <c r="H96" s="28">
        <v>4</v>
      </c>
      <c r="I96" s="92">
        <f>(1-SUM(I$98:I$99)-I$93-I$101)*I85/SUM(I$83:I$86,I$89)</f>
        <v>0.21629235560868043</v>
      </c>
      <c r="J96" s="92">
        <f t="shared" si="2"/>
        <v>0.29477000683842414</v>
      </c>
      <c r="K96" s="92">
        <f t="shared" si="2"/>
        <v>0.11482200110174326</v>
      </c>
      <c r="L96" s="97">
        <f>IF(Übersicht!$H$3=2020,I96,IF(Übersicht!$H$3=2035,J96,K96))</f>
        <v>0.21629235560868043</v>
      </c>
      <c r="N96" s="92">
        <f>(1-SUM(N$98:N$99)-N$93-N$101)*N85/SUM(N$83:N$86,N$89)</f>
        <v>0.21629235560868043</v>
      </c>
      <c r="O96" s="92">
        <f t="shared" si="3"/>
        <v>0.14976755229240432</v>
      </c>
      <c r="P96" s="92">
        <f t="shared" si="3"/>
        <v>4.9123871200865858E-2</v>
      </c>
      <c r="Q96" s="97">
        <f>IF(Übersicht!$H$3=2020,N96,IF(Übersicht!$H$3=2035,O96,P96))</f>
        <v>0.21629235560868043</v>
      </c>
    </row>
    <row r="97" spans="1:17" hidden="1" outlineLevel="1" x14ac:dyDescent="0.25">
      <c r="B97" t="s">
        <v>276</v>
      </c>
      <c r="C97" s="18" t="s">
        <v>13</v>
      </c>
      <c r="D97" s="82">
        <f>IF(Übersicht!$H$6=Übersicht!$L$6,L97,Q97)</f>
        <v>3.4811540645152371E-2</v>
      </c>
      <c r="H97" s="28">
        <v>5</v>
      </c>
      <c r="I97" s="92">
        <f>(1-SUM(I$98:I$99)-I$93-I$101)*I86/SUM(I$83:I$86,I$89)</f>
        <v>3.4811540645152371E-2</v>
      </c>
      <c r="J97" s="92">
        <f t="shared" si="2"/>
        <v>2.815649286806806E-2</v>
      </c>
      <c r="K97" s="92">
        <f t="shared" si="2"/>
        <v>2.3192821833921243E-2</v>
      </c>
      <c r="L97" s="97">
        <f>IF(Übersicht!$H$3=2020,I97,IF(Übersicht!$H$3=2035,J97,K97))</f>
        <v>3.4811540645152371E-2</v>
      </c>
      <c r="N97" s="92">
        <f>(1-SUM(N$98:N$99)-N$93-N$101)*N86/SUM(N$83:N$86,N$89)</f>
        <v>3.4811540645152371E-2</v>
      </c>
      <c r="O97" s="92">
        <f t="shared" si="3"/>
        <v>2.8842074824777183E-2</v>
      </c>
      <c r="P97" s="92">
        <f t="shared" si="3"/>
        <v>2.4203426411334196E-2</v>
      </c>
      <c r="Q97" s="97">
        <f>IF(Übersicht!$H$3=2020,N97,IF(Übersicht!$H$3=2035,O97,P97))</f>
        <v>3.4811540645152371E-2</v>
      </c>
    </row>
    <row r="98" spans="1:17" hidden="1" outlineLevel="1" x14ac:dyDescent="0.25">
      <c r="B98" t="s">
        <v>8</v>
      </c>
      <c r="C98" s="18" t="s">
        <v>13</v>
      </c>
      <c r="D98" s="82">
        <f>IF(Übersicht!$H$6=Übersicht!$L$6,L98,Q98)</f>
        <v>0.04</v>
      </c>
      <c r="H98" s="28">
        <v>6</v>
      </c>
      <c r="I98" s="92">
        <f>I87</f>
        <v>0.04</v>
      </c>
      <c r="J98" s="92">
        <f t="shared" si="2"/>
        <v>1.7956985204585749E-2</v>
      </c>
      <c r="K98" s="92">
        <f t="shared" si="2"/>
        <v>9.1601389676276863E-3</v>
      </c>
      <c r="L98" s="97">
        <f>IF(Übersicht!$H$3=2020,I98,IF(Übersicht!$H$3=2035,J98,K98))</f>
        <v>0.04</v>
      </c>
      <c r="N98" s="92">
        <f>N87</f>
        <v>0.04</v>
      </c>
      <c r="O98" s="92">
        <f t="shared" si="3"/>
        <v>1.8394219526020664E-2</v>
      </c>
      <c r="P98" s="92">
        <f t="shared" si="3"/>
        <v>9.5592830837129394E-3</v>
      </c>
      <c r="Q98" s="97">
        <f>IF(Übersicht!$H$3=2020,N98,IF(Übersicht!$H$3=2035,O98,P98))</f>
        <v>0.04</v>
      </c>
    </row>
    <row r="99" spans="1:17" hidden="1" outlineLevel="1" x14ac:dyDescent="0.25">
      <c r="B99" t="s">
        <v>7</v>
      </c>
      <c r="C99" s="18" t="s">
        <v>13</v>
      </c>
      <c r="D99" s="82">
        <f>IF(Übersicht!$H$6=Übersicht!$L$6,L99,Q99)</f>
        <v>0.12</v>
      </c>
      <c r="H99" s="28">
        <v>7</v>
      </c>
      <c r="I99" s="92">
        <f>I73</f>
        <v>0.12</v>
      </c>
      <c r="J99" s="92">
        <f t="shared" ref="J99:K99" si="4">J73</f>
        <v>0.15782641977780665</v>
      </c>
      <c r="K99" s="92">
        <f t="shared" si="4"/>
        <v>0.19468222040159819</v>
      </c>
      <c r="L99" s="97">
        <f>IF(Übersicht!$H$3=2020,I99,IF(Übersicht!$H$3=2035,J99,K99))</f>
        <v>0.12</v>
      </c>
      <c r="N99" s="92">
        <f>N73</f>
        <v>0.12</v>
      </c>
      <c r="O99" s="92">
        <f t="shared" ref="O99:P99" si="5">O73</f>
        <v>0.16109268703611179</v>
      </c>
      <c r="P99" s="92">
        <f t="shared" si="5"/>
        <v>0.20253249431302411</v>
      </c>
      <c r="Q99" s="97">
        <f>IF(Übersicht!$H$3=2020,N99,IF(Übersicht!$H$3=2035,O99,P99))</f>
        <v>0.12</v>
      </c>
    </row>
    <row r="100" spans="1:17" hidden="1" outlineLevel="1" x14ac:dyDescent="0.25">
      <c r="B100" t="s">
        <v>277</v>
      </c>
      <c r="C100" s="18" t="s">
        <v>13</v>
      </c>
      <c r="D100" s="82">
        <f>IF(Übersicht!$H$6=Übersicht!$L$6,L100,Q100)</f>
        <v>3.3805185474839121E-2</v>
      </c>
      <c r="H100" s="28">
        <v>8</v>
      </c>
      <c r="I100" s="92">
        <f>(1-SUM(I$98:I$99)-I$93-I$101)*I89/SUM(I$83:I$86,I$89)</f>
        <v>3.3805185474839121E-2</v>
      </c>
      <c r="J100" s="92">
        <f>(1-J$99-J$93-J$101)*J89/SUM(J$83:J$87,J$89)</f>
        <v>0.20836877827911771</v>
      </c>
      <c r="K100" s="92">
        <f>(1-K$99-K$93-K$101)*K89/SUM(K$83:K$87,K$89)</f>
        <v>0.30135004787090675</v>
      </c>
      <c r="L100" s="97">
        <f>IF(Übersicht!$H$3=2020,I100,IF(Übersicht!$H$3=2035,J100,K100))</f>
        <v>3.3805185474839121E-2</v>
      </c>
      <c r="N100" s="92">
        <f>(1-SUM(N$98:N$99)-N$93-N$101)*N89/SUM(N$83:N$86,N$89)</f>
        <v>3.3805185474839121E-2</v>
      </c>
      <c r="O100" s="92">
        <f>(1-O$99-O$93-O$101)*O89/SUM(O$83:O$87,O$89)</f>
        <v>0.27301831655573122</v>
      </c>
      <c r="P100" s="92">
        <f>(1-P$99-P$93-P$101)*P89/SUM(P$83:P$87,P$89)</f>
        <v>0.29768484150444169</v>
      </c>
      <c r="Q100" s="97">
        <f>IF(Übersicht!$H$3=2020,N100,IF(Übersicht!$H$3=2035,O100,P100))</f>
        <v>3.3805185474839121E-2</v>
      </c>
    </row>
    <row r="101" spans="1:17" hidden="1" outlineLevel="1" x14ac:dyDescent="0.25">
      <c r="B101" t="s">
        <v>278</v>
      </c>
      <c r="C101" s="18" t="s">
        <v>13</v>
      </c>
      <c r="D101" s="82">
        <f>IF(Übersicht!$H$6=Übersicht!$L$6,L101,Q101)</f>
        <v>2.3104000000000006E-2</v>
      </c>
      <c r="H101" s="28">
        <v>9</v>
      </c>
      <c r="I101" s="92">
        <f>I90</f>
        <v>2.3104000000000006E-2</v>
      </c>
      <c r="J101" s="92">
        <f>J90</f>
        <v>0.13217165537909806</v>
      </c>
      <c r="K101" s="92">
        <f>K90</f>
        <v>0.22122122928258336</v>
      </c>
      <c r="L101" s="97">
        <f>IF(Übersicht!$H$3=2020,I101,IF(Übersicht!$H$3=2035,J101,K101))</f>
        <v>2.3104000000000006E-2</v>
      </c>
      <c r="N101" s="92">
        <f>N90</f>
        <v>2.3104000000000006E-2</v>
      </c>
      <c r="O101" s="92">
        <f>O90</f>
        <v>0.17747343717717831</v>
      </c>
      <c r="P101" s="92">
        <f>P90</f>
        <v>0.22772354591082972</v>
      </c>
      <c r="Q101" s="97">
        <f>IF(Übersicht!$H$3=2020,N101,IF(Übersicht!$H$3=2035,O101,P101))</f>
        <v>2.3104000000000006E-2</v>
      </c>
    </row>
    <row r="102" spans="1:17" s="22" customFormat="1" collapsed="1" x14ac:dyDescent="0.25">
      <c r="A102" s="21" t="s">
        <v>251</v>
      </c>
      <c r="C102" s="23"/>
      <c r="I102" s="24"/>
    </row>
    <row r="103" spans="1:17" s="46" customFormat="1" hidden="1" outlineLevel="1" x14ac:dyDescent="0.25">
      <c r="A103" s="47"/>
      <c r="B103" s="47" t="s">
        <v>10</v>
      </c>
      <c r="C103" s="47"/>
      <c r="I103" s="49" t="s">
        <v>200</v>
      </c>
      <c r="K103" s="47" t="s">
        <v>212</v>
      </c>
      <c r="N103" s="47" t="s">
        <v>856</v>
      </c>
    </row>
    <row r="104" spans="1:17" s="45" customFormat="1" hidden="1" outlineLevel="1" x14ac:dyDescent="0.25">
      <c r="A104" s="48"/>
      <c r="B104" s="48"/>
      <c r="C104" s="48"/>
      <c r="D104" s="45" t="s">
        <v>223</v>
      </c>
      <c r="I104" s="45">
        <v>2020</v>
      </c>
      <c r="J104" s="45">
        <v>2035</v>
      </c>
      <c r="K104" s="45">
        <v>2050</v>
      </c>
      <c r="L104" s="45" t="s">
        <v>223</v>
      </c>
      <c r="N104" s="45">
        <v>2020</v>
      </c>
      <c r="O104" s="45">
        <v>2035</v>
      </c>
      <c r="P104" s="45">
        <v>2050</v>
      </c>
      <c r="Q104" s="45" t="s">
        <v>223</v>
      </c>
    </row>
    <row r="105" spans="1:17" hidden="1" outlineLevel="1" x14ac:dyDescent="0.25">
      <c r="B105" t="s">
        <v>758</v>
      </c>
      <c r="C105" s="18" t="s">
        <v>13</v>
      </c>
      <c r="D105" s="82">
        <f>IF(Übersicht!$H$6=Übersicht!$L$6,L105,Q105)</f>
        <v>0.2</v>
      </c>
      <c r="I105" s="92">
        <v>0.2</v>
      </c>
      <c r="J105" s="92">
        <v>0.18941761927965392</v>
      </c>
      <c r="K105" s="92">
        <v>0.1298676616895692</v>
      </c>
      <c r="L105" s="97">
        <f>IF(Übersicht!$H$3=2020,I105,IF(Übersicht!$H$3=2035,J105,K105))</f>
        <v>0.2</v>
      </c>
      <c r="N105" s="92">
        <v>0.2</v>
      </c>
      <c r="O105" s="92">
        <v>0.19446828372146016</v>
      </c>
      <c r="P105" s="92">
        <v>0.19342560148104507</v>
      </c>
      <c r="Q105" s="97">
        <f>IF(Übersicht!$H$3=2020,N105,IF(Übersicht!$H$3=2035,O105,P105))</f>
        <v>0.2</v>
      </c>
    </row>
    <row r="106" spans="1:17" s="46" customFormat="1" hidden="1" outlineLevel="1" x14ac:dyDescent="0.25">
      <c r="A106" s="47"/>
      <c r="B106" s="47" t="s">
        <v>9</v>
      </c>
      <c r="C106" s="47"/>
      <c r="I106" s="49" t="s">
        <v>201</v>
      </c>
      <c r="K106" s="47" t="s">
        <v>213</v>
      </c>
      <c r="N106" s="47" t="s">
        <v>856</v>
      </c>
    </row>
    <row r="107" spans="1:17" s="45" customFormat="1" hidden="1" outlineLevel="1" x14ac:dyDescent="0.25">
      <c r="A107" s="48"/>
      <c r="B107" s="48"/>
      <c r="C107" s="48"/>
      <c r="D107" s="45" t="s">
        <v>223</v>
      </c>
      <c r="I107" s="45">
        <v>2020</v>
      </c>
      <c r="J107" s="45">
        <v>2035</v>
      </c>
      <c r="K107" s="45">
        <v>2050</v>
      </c>
      <c r="L107" s="45" t="s">
        <v>223</v>
      </c>
      <c r="N107" s="45">
        <v>2020</v>
      </c>
      <c r="O107" s="45">
        <v>2035</v>
      </c>
      <c r="P107" s="45">
        <v>2050</v>
      </c>
      <c r="Q107" s="45" t="s">
        <v>223</v>
      </c>
    </row>
    <row r="108" spans="1:17" customFormat="1" hidden="1" outlineLevel="1" x14ac:dyDescent="0.25">
      <c r="B108" t="s">
        <v>757</v>
      </c>
      <c r="C108" s="10" t="s">
        <v>13</v>
      </c>
      <c r="D108" s="82">
        <f>IF(Übersicht!$H$6=Übersicht!$L$6,L108,Q108)</f>
        <v>0.14000000000000001</v>
      </c>
      <c r="E108" s="9"/>
      <c r="F108" s="9"/>
      <c r="G108" s="9"/>
      <c r="I108" s="77">
        <v>0.14000000000000001</v>
      </c>
      <c r="J108" s="92">
        <v>0.40163440204500311</v>
      </c>
      <c r="K108" s="92">
        <v>0.65403367847946814</v>
      </c>
      <c r="L108" s="97">
        <f>IF(Übersicht!$H$3=2020,I108,IF(Übersicht!$H$3=2035,J108,K108))</f>
        <v>0.14000000000000001</v>
      </c>
      <c r="N108" s="92">
        <v>0.14000000000000001</v>
      </c>
      <c r="O108" s="92">
        <v>0.4988865152846404</v>
      </c>
      <c r="P108" s="92">
        <v>0.69684773870489747</v>
      </c>
      <c r="Q108" s="97">
        <f>IF(Übersicht!$H$3=2020,N108,IF(Übersicht!$H$3=2035,O108,P108))</f>
        <v>0.14000000000000001</v>
      </c>
    </row>
    <row r="109" spans="1:17" customFormat="1" hidden="1" outlineLevel="1" x14ac:dyDescent="0.25">
      <c r="B109" t="s">
        <v>756</v>
      </c>
      <c r="C109" s="10" t="s">
        <v>13</v>
      </c>
      <c r="D109" s="82">
        <f>IF(Übersicht!$H$6=Übersicht!$L$6,L109,Q109)</f>
        <v>0.1</v>
      </c>
      <c r="E109" s="9"/>
      <c r="F109" s="9"/>
      <c r="G109" s="9"/>
      <c r="I109" s="77">
        <v>0.1</v>
      </c>
      <c r="J109" s="92">
        <v>0.3</v>
      </c>
      <c r="K109" s="92">
        <v>0.35</v>
      </c>
      <c r="L109" s="97">
        <f>IF(Übersicht!$H$3=2020,I109,IF(Übersicht!$H$3=2035,J109,K109))</f>
        <v>0.1</v>
      </c>
      <c r="N109" s="92">
        <v>0.1</v>
      </c>
      <c r="O109" s="92">
        <v>0.33</v>
      </c>
      <c r="P109" s="92">
        <v>0.42</v>
      </c>
      <c r="Q109" s="97">
        <f>IF(Übersicht!$H$3=2020,N109,IF(Übersicht!$H$3=2035,O109,P109))</f>
        <v>0.1</v>
      </c>
    </row>
    <row r="110" spans="1:17" s="46" customFormat="1" hidden="1" outlineLevel="1" x14ac:dyDescent="0.25">
      <c r="A110" s="47"/>
      <c r="B110" s="47" t="s">
        <v>53</v>
      </c>
      <c r="C110" s="47"/>
      <c r="I110" s="49" t="s">
        <v>200</v>
      </c>
      <c r="K110" s="47" t="s">
        <v>221</v>
      </c>
      <c r="N110" s="47" t="s">
        <v>856</v>
      </c>
    </row>
    <row r="111" spans="1:17" s="45" customFormat="1" hidden="1" outlineLevel="1" x14ac:dyDescent="0.25">
      <c r="A111" s="48"/>
      <c r="B111" s="48"/>
      <c r="C111" s="48"/>
      <c r="D111" s="45" t="s">
        <v>223</v>
      </c>
      <c r="I111" s="45">
        <v>2020</v>
      </c>
      <c r="J111" s="45">
        <v>2035</v>
      </c>
      <c r="K111" s="45">
        <v>2050</v>
      </c>
      <c r="L111" s="45" t="s">
        <v>223</v>
      </c>
      <c r="N111" s="45">
        <v>2020</v>
      </c>
      <c r="O111" s="45">
        <v>2035</v>
      </c>
      <c r="P111" s="45">
        <v>2050</v>
      </c>
      <c r="Q111" s="45" t="s">
        <v>223</v>
      </c>
    </row>
    <row r="112" spans="1:17" customFormat="1" hidden="1" outlineLevel="1" x14ac:dyDescent="0.25">
      <c r="B112" t="s">
        <v>24</v>
      </c>
      <c r="C112" s="10" t="s">
        <v>13</v>
      </c>
      <c r="D112" s="82">
        <f>IF(Übersicht!$H$6=Übersicht!$L$6,L112,Q112)</f>
        <v>0.03</v>
      </c>
      <c r="E112" s="9"/>
      <c r="F112" s="9"/>
      <c r="G112" s="9"/>
      <c r="I112" s="77">
        <v>0.03</v>
      </c>
      <c r="J112" s="92">
        <v>0.10656247516952276</v>
      </c>
      <c r="K112" s="92">
        <v>0.1665308444210637</v>
      </c>
      <c r="L112" s="97">
        <f>IF(Übersicht!$H$3=2020,I112,IF(Übersicht!$H$3=2035,J112,K112))</f>
        <v>0.03</v>
      </c>
      <c r="N112" s="77">
        <v>0.03</v>
      </c>
      <c r="O112" s="92">
        <v>0.14015735987520966</v>
      </c>
      <c r="P112" s="92">
        <v>0.22577661887794762</v>
      </c>
      <c r="Q112" s="97">
        <f>IF(Übersicht!$H$3=2020,N112,IF(Übersicht!$H$3=2035,O112,P112))</f>
        <v>0.03</v>
      </c>
    </row>
    <row r="113" spans="2:17" customFormat="1" hidden="1" outlineLevel="1" x14ac:dyDescent="0.25">
      <c r="B113" t="s">
        <v>30</v>
      </c>
      <c r="C113" s="10" t="s">
        <v>13</v>
      </c>
      <c r="D113" s="80">
        <f>IF(Übersicht!$H$6=Übersicht!$L$6,L113,Q113)</f>
        <v>0.01</v>
      </c>
      <c r="E113" s="9"/>
      <c r="F113" s="9"/>
      <c r="G113" s="9"/>
      <c r="I113" s="88">
        <v>0.01</v>
      </c>
      <c r="J113" s="88">
        <v>0.01</v>
      </c>
      <c r="K113" s="88">
        <v>0.01</v>
      </c>
      <c r="L113" s="88">
        <f>IF(Übersicht!$H$3=2020,I113,IF(Übersicht!$H$3=2035,J113,K113))</f>
        <v>0.01</v>
      </c>
      <c r="N113" s="88">
        <v>0.01</v>
      </c>
      <c r="O113" s="88">
        <v>0.01</v>
      </c>
      <c r="P113" s="88">
        <v>0.01</v>
      </c>
      <c r="Q113" s="88">
        <f>IF(Übersicht!$H$3=2020,N113,IF(Übersicht!$H$3=2035,O113,P113))</f>
        <v>0.01</v>
      </c>
    </row>
  </sheetData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>
    <outlinePr summaryBelow="0" summaryRight="0"/>
  </sheetPr>
  <dimension ref="A1:Q113"/>
  <sheetViews>
    <sheetView showGridLines="0" zoomScale="85" zoomScaleNormal="85" workbookViewId="0"/>
  </sheetViews>
  <sheetFormatPr baseColWidth="10" defaultRowHeight="15" outlineLevelRow="1" x14ac:dyDescent="0.25"/>
  <cols>
    <col min="1" max="3" width="11.42578125" style="9"/>
    <col min="4" max="4" width="14" style="9" customWidth="1"/>
    <col min="5" max="5" width="12.7109375" style="9" bestFit="1" customWidth="1"/>
    <col min="6" max="6" width="12.7109375" style="9" customWidth="1"/>
    <col min="7" max="7" width="12.7109375" style="9" bestFit="1" customWidth="1"/>
    <col min="8" max="8" width="11.42578125" style="9"/>
    <col min="9" max="12" width="12.7109375" style="9" bestFit="1" customWidth="1"/>
    <col min="13" max="13" width="11.42578125" style="9"/>
    <col min="14" max="15" width="12.7109375" style="9" bestFit="1" customWidth="1"/>
    <col min="16" max="16" width="13.42578125" style="9" customWidth="1"/>
    <col min="17" max="18" width="12.7109375" style="9" bestFit="1" customWidth="1"/>
    <col min="19" max="16384" width="11.42578125" style="9"/>
  </cols>
  <sheetData>
    <row r="1" spans="1:17" s="22" customFormat="1" collapsed="1" x14ac:dyDescent="0.25">
      <c r="A1" s="21" t="s">
        <v>59</v>
      </c>
      <c r="C1" s="23"/>
      <c r="D1" s="24"/>
    </row>
    <row r="2" spans="1:17" s="46" customFormat="1" hidden="1" outlineLevel="1" x14ac:dyDescent="0.25">
      <c r="A2" s="47"/>
      <c r="B2" s="47" t="s">
        <v>59</v>
      </c>
      <c r="C2" s="47"/>
      <c r="I2" s="46" t="s">
        <v>168</v>
      </c>
      <c r="J2" s="47" t="s">
        <v>798</v>
      </c>
      <c r="N2" s="47" t="s">
        <v>856</v>
      </c>
      <c r="O2" s="47"/>
    </row>
    <row r="3" spans="1:17" s="45" customFormat="1" hidden="1" outlineLevel="1" x14ac:dyDescent="0.25">
      <c r="A3" s="48"/>
      <c r="B3" s="48"/>
      <c r="C3" s="48"/>
      <c r="D3" s="45" t="s">
        <v>223</v>
      </c>
      <c r="I3" s="45">
        <v>2020</v>
      </c>
      <c r="J3" s="45">
        <v>2035</v>
      </c>
      <c r="K3" s="45">
        <v>2050</v>
      </c>
      <c r="L3" s="45" t="s">
        <v>223</v>
      </c>
      <c r="N3" s="45">
        <v>2020</v>
      </c>
      <c r="O3" s="45">
        <v>2035</v>
      </c>
      <c r="P3" s="45">
        <v>2050</v>
      </c>
      <c r="Q3" s="45" t="s">
        <v>223</v>
      </c>
    </row>
    <row r="4" spans="1:17" hidden="1" outlineLevel="1" x14ac:dyDescent="0.25">
      <c r="B4" s="9" t="s">
        <v>804</v>
      </c>
      <c r="C4" s="18" t="s">
        <v>13</v>
      </c>
      <c r="D4" s="18"/>
      <c r="I4" s="95">
        <f>1-0.531</f>
        <v>0.46899999999999997</v>
      </c>
      <c r="J4" s="18"/>
      <c r="L4" s="18"/>
      <c r="N4" s="95">
        <f>1-0.531</f>
        <v>0.46899999999999997</v>
      </c>
      <c r="O4" s="18"/>
      <c r="Q4" s="18"/>
    </row>
    <row r="5" spans="1:17" hidden="1" outlineLevel="1" x14ac:dyDescent="0.25">
      <c r="B5" s="9" t="s">
        <v>60</v>
      </c>
      <c r="C5" s="18" t="s">
        <v>61</v>
      </c>
      <c r="D5" s="102">
        <f>IF(Übersicht!$H$6=Übersicht!$L$6,L5,Q5)</f>
        <v>38.6</v>
      </c>
      <c r="I5" s="96">
        <v>38.6</v>
      </c>
      <c r="J5" s="96">
        <f>I5+0.3*(J3-I3)</f>
        <v>43.1</v>
      </c>
      <c r="K5" s="96">
        <f>J5+0.3*(K3-J3)</f>
        <v>47.6</v>
      </c>
      <c r="L5" s="65">
        <f>IF(Übersicht!$H$3=2020,I5,IF(Übersicht!$H$3=2035,J5,K5))</f>
        <v>38.6</v>
      </c>
      <c r="N5" s="96">
        <f>I5</f>
        <v>38.6</v>
      </c>
      <c r="O5" s="96">
        <f>N5+0.1*(O3-N3)</f>
        <v>40.1</v>
      </c>
      <c r="P5" s="96">
        <f>O5+0.1*(P3-O3)</f>
        <v>41.6</v>
      </c>
      <c r="Q5" s="65">
        <f>IF(Übersicht!$H$3=2020,N5,IF(Übersicht!$H$3=2035,O5,P5))</f>
        <v>38.6</v>
      </c>
    </row>
    <row r="6" spans="1:17" hidden="1" outlineLevel="1" x14ac:dyDescent="0.25">
      <c r="B6" s="9" t="s">
        <v>799</v>
      </c>
      <c r="C6" s="18" t="s">
        <v>800</v>
      </c>
      <c r="D6" s="101">
        <f>IF(Übersicht!$H$6=Übersicht!$L$6,L6,Q6)</f>
        <v>12.175260760435783</v>
      </c>
      <c r="I6" s="91">
        <f>I16/I5</f>
        <v>12.175260760435783</v>
      </c>
      <c r="J6" s="91">
        <f>J16/J5</f>
        <v>10.904061841132744</v>
      </c>
      <c r="K6" s="91">
        <f>K16/K5</f>
        <v>9.8732156586727164</v>
      </c>
      <c r="L6" s="67">
        <f>IF(Übersicht!$H$3=2020,I6,IF(Übersicht!$H$3=2035,J6,K6))</f>
        <v>12.175260760435783</v>
      </c>
      <c r="N6" s="91">
        <f>$I$16/N5</f>
        <v>12.175260760435783</v>
      </c>
      <c r="O6" s="91">
        <f>$J$16/O5</f>
        <v>11.719827066155144</v>
      </c>
      <c r="P6" s="91">
        <f>$K$16/P5</f>
        <v>11.297237147904358</v>
      </c>
      <c r="Q6" s="67">
        <f>IF(Übersicht!$H$3=2020,N6,IF(Übersicht!$H$3=2035,O6,P6))</f>
        <v>12.175260760435783</v>
      </c>
    </row>
    <row r="7" spans="1:17" s="22" customFormat="1" collapsed="1" x14ac:dyDescent="0.25">
      <c r="A7" s="21" t="s">
        <v>255</v>
      </c>
      <c r="C7" s="23"/>
      <c r="D7" s="24"/>
    </row>
    <row r="8" spans="1:17" s="46" customFormat="1" hidden="1" outlineLevel="1" x14ac:dyDescent="0.25">
      <c r="A8" s="47"/>
      <c r="B8" s="47" t="s">
        <v>96</v>
      </c>
      <c r="C8" s="47"/>
      <c r="I8" s="46" t="s">
        <v>168</v>
      </c>
      <c r="J8" s="47" t="s">
        <v>798</v>
      </c>
      <c r="N8" s="47" t="s">
        <v>856</v>
      </c>
    </row>
    <row r="9" spans="1:17" s="45" customFormat="1" hidden="1" outlineLevel="1" x14ac:dyDescent="0.25">
      <c r="A9" s="48"/>
      <c r="B9" s="48"/>
      <c r="C9" s="48"/>
      <c r="D9" s="45" t="s">
        <v>223</v>
      </c>
      <c r="I9" s="45">
        <v>2020</v>
      </c>
      <c r="J9" s="45">
        <v>2035</v>
      </c>
      <c r="K9" s="45">
        <v>2050</v>
      </c>
      <c r="L9" s="45" t="s">
        <v>223</v>
      </c>
      <c r="N9" s="45">
        <v>2020</v>
      </c>
      <c r="O9" s="45">
        <v>2035</v>
      </c>
      <c r="P9" s="45">
        <v>2050</v>
      </c>
      <c r="Q9" s="45" t="s">
        <v>223</v>
      </c>
    </row>
    <row r="10" spans="1:17" hidden="1" outlineLevel="1" x14ac:dyDescent="0.25">
      <c r="B10" s="9" t="s">
        <v>109</v>
      </c>
      <c r="C10" s="18" t="s">
        <v>110</v>
      </c>
      <c r="D10" s="90">
        <f>IF(Übersicht!$H$6=Übersicht!$L$6,L10,Q10)</f>
        <v>38372407.030999996</v>
      </c>
      <c r="I10" s="99">
        <f>$I$4*Daten_ALLG!$L$24</f>
        <v>38372407.030999996</v>
      </c>
      <c r="J10" s="99">
        <f>$I$4*Daten_ALLG!$M$24</f>
        <v>38880100</v>
      </c>
      <c r="K10" s="99">
        <f>$I$4*Daten_ALLG!$N$24</f>
        <v>37660700</v>
      </c>
      <c r="L10" s="93">
        <f>IF(Übersicht!$H$3=2020,I10,IF(Übersicht!$H$3=2035,J10,K10))</f>
        <v>38372407.030999996</v>
      </c>
      <c r="N10" s="99">
        <f>$I$4*Daten_ALLG!$L$24</f>
        <v>38372407.030999996</v>
      </c>
      <c r="O10" s="99">
        <f>$I$4*Daten_ALLG!$M$24</f>
        <v>38880100</v>
      </c>
      <c r="P10" s="99">
        <f>$I$4*Daten_ALLG!$N$24</f>
        <v>37660700</v>
      </c>
      <c r="Q10" s="93">
        <f>IF(Übersicht!$H$3=2020,N10,IF(Übersicht!$H$3=2035,O10,P10))</f>
        <v>38372407.030999996</v>
      </c>
    </row>
    <row r="11" spans="1:17" hidden="1" outlineLevel="1" x14ac:dyDescent="0.25">
      <c r="B11" s="9" t="s">
        <v>99</v>
      </c>
      <c r="C11" s="18" t="s">
        <v>50</v>
      </c>
      <c r="D11" s="90">
        <f>IF(Übersicht!$H$6=Übersicht!$L$6,L11,Q11)</f>
        <v>1511410000</v>
      </c>
      <c r="I11" s="99">
        <v>1511410000</v>
      </c>
      <c r="J11" s="100">
        <f>J5*J10</f>
        <v>1675732310</v>
      </c>
      <c r="K11" s="100">
        <f>K5*K10</f>
        <v>1792649320</v>
      </c>
      <c r="L11" s="94">
        <f>IF(Übersicht!$H$3=2020,I11,IF(Übersicht!$H$3=2035,J11,K11))</f>
        <v>1511410000</v>
      </c>
      <c r="N11" s="99">
        <v>1511410000</v>
      </c>
      <c r="O11" s="100">
        <f>O5*O10</f>
        <v>1559092010</v>
      </c>
      <c r="P11" s="100">
        <f>P5*P10</f>
        <v>1566685120</v>
      </c>
      <c r="Q11" s="94">
        <f>IF(Übersicht!$H$3=2020,N11,IF(Übersicht!$H$3=2035,O11,P11))</f>
        <v>1511410000</v>
      </c>
    </row>
    <row r="12" spans="1:17" hidden="1" outlineLevel="1" x14ac:dyDescent="0.25">
      <c r="B12" s="9" t="s">
        <v>97</v>
      </c>
      <c r="C12" s="18" t="s">
        <v>101</v>
      </c>
      <c r="D12" s="90">
        <f>IF(Übersicht!$H$6=Übersicht!$L$6,L12,Q12)</f>
        <v>21862273</v>
      </c>
      <c r="I12" s="99">
        <v>21862273</v>
      </c>
      <c r="J12" s="99">
        <f>$J$17*J13</f>
        <v>24239165.571314618</v>
      </c>
      <c r="K12" s="99">
        <f>$K$17*K13</f>
        <v>25930349.029783022</v>
      </c>
      <c r="L12" s="93">
        <f>IF(Übersicht!$H$3=2020,I12,IF(Übersicht!$H$3=2035,J12,K12))</f>
        <v>21862273</v>
      </c>
      <c r="N12" s="99">
        <v>21862273</v>
      </c>
      <c r="O12" s="99">
        <f>$J$17*O13</f>
        <v>22551984.673079263</v>
      </c>
      <c r="P12" s="99">
        <f>$K$17*P13</f>
        <v>22661817.639474239</v>
      </c>
      <c r="Q12" s="93">
        <f>IF(Übersicht!$H$3=2020,N12,IF(Übersicht!$H$3=2035,O12,P12))</f>
        <v>21862273</v>
      </c>
    </row>
    <row r="13" spans="1:17" hidden="1" outlineLevel="1" x14ac:dyDescent="0.25">
      <c r="B13" s="9" t="s">
        <v>98</v>
      </c>
      <c r="C13" s="18" t="s">
        <v>100</v>
      </c>
      <c r="D13" s="90">
        <f>IF(Übersicht!$H$6=Übersicht!$L$6,L13,Q13)</f>
        <v>3216005</v>
      </c>
      <c r="I13" s="99">
        <v>3216005</v>
      </c>
      <c r="J13" s="99">
        <f>J11/$J$16</f>
        <v>3565652.925163622</v>
      </c>
      <c r="K13" s="99">
        <f>K11/$K$16</f>
        <v>3814431.0123438379</v>
      </c>
      <c r="L13" s="93">
        <f>IF(Übersicht!$H$3=2020,I13,IF(Übersicht!$H$3=2035,J13,K13))</f>
        <v>3216005</v>
      </c>
      <c r="N13" s="99">
        <v>3216005</v>
      </c>
      <c r="O13" s="99">
        <f>O11/$J$16</f>
        <v>3317463.626428335</v>
      </c>
      <c r="P13" s="99">
        <f>P11/$K$16</f>
        <v>3333620.3805357912</v>
      </c>
      <c r="Q13" s="93">
        <f>IF(Übersicht!$H$3=2020,N13,IF(Übersicht!$H$3=2035,O13,P13))</f>
        <v>3216005</v>
      </c>
    </row>
    <row r="14" spans="1:17" s="46" customFormat="1" hidden="1" outlineLevel="1" x14ac:dyDescent="0.25">
      <c r="A14" s="47"/>
      <c r="B14" s="47" t="s">
        <v>102</v>
      </c>
      <c r="C14" s="47"/>
      <c r="E14" s="46" t="s">
        <v>172</v>
      </c>
      <c r="I14" s="46" t="s">
        <v>168</v>
      </c>
      <c r="J14" s="47" t="s">
        <v>798</v>
      </c>
      <c r="N14" s="47" t="s">
        <v>856</v>
      </c>
    </row>
    <row r="15" spans="1:17" s="45" customFormat="1" hidden="1" outlineLevel="1" x14ac:dyDescent="0.25">
      <c r="A15" s="48"/>
      <c r="B15" s="48"/>
      <c r="C15" s="48"/>
      <c r="D15" s="45" t="s">
        <v>223</v>
      </c>
      <c r="I15" s="45">
        <v>2020</v>
      </c>
      <c r="J15" s="45">
        <v>2035</v>
      </c>
      <c r="K15" s="45">
        <v>2050</v>
      </c>
      <c r="L15" s="45" t="s">
        <v>223</v>
      </c>
      <c r="N15" s="45">
        <v>2020</v>
      </c>
      <c r="O15" s="45">
        <v>2035</v>
      </c>
      <c r="P15" s="45">
        <v>2050</v>
      </c>
      <c r="Q15" s="45" t="s">
        <v>223</v>
      </c>
    </row>
    <row r="16" spans="1:17" hidden="1" outlineLevel="1" x14ac:dyDescent="0.25">
      <c r="B16" s="9" t="s">
        <v>95</v>
      </c>
      <c r="C16" s="18" t="s">
        <v>852</v>
      </c>
      <c r="D16" s="101">
        <f>IF(Übersicht!$H$6=Übersicht!$L$6,L16,Q16)</f>
        <v>469.96506535282128</v>
      </c>
      <c r="E16" s="65">
        <v>456.72131147540983</v>
      </c>
      <c r="I16" s="96">
        <f>I11/I13</f>
        <v>469.96506535282128</v>
      </c>
      <c r="J16" s="96">
        <f>I16</f>
        <v>469.96506535282128</v>
      </c>
      <c r="K16" s="96">
        <f>J16</f>
        <v>469.96506535282128</v>
      </c>
      <c r="L16" s="104">
        <f>IF(Übersicht!$H$3=2020,I16,IF(Übersicht!$H$3=2035,J16,K16))</f>
        <v>469.96506535282128</v>
      </c>
      <c r="N16" s="96">
        <f>N11/N13</f>
        <v>469.96506535282128</v>
      </c>
      <c r="O16" s="96">
        <f>N16</f>
        <v>469.96506535282128</v>
      </c>
      <c r="P16" s="96">
        <f>O16</f>
        <v>469.96506535282128</v>
      </c>
      <c r="Q16" s="104">
        <f>IF(Übersicht!$H$3=2020,N16,IF(Übersicht!$H$3=2035,O16,P16))</f>
        <v>469.96506535282128</v>
      </c>
    </row>
    <row r="17" spans="1:17" hidden="1" outlineLevel="1" x14ac:dyDescent="0.25">
      <c r="B17" s="9" t="s">
        <v>97</v>
      </c>
      <c r="C17" s="18" t="s">
        <v>801</v>
      </c>
      <c r="D17" s="101">
        <f>IF(Übersicht!$H$6=Übersicht!$L$6,L17,Q17)</f>
        <v>6.7979598912315122</v>
      </c>
      <c r="I17" s="96">
        <f>I12/I13</f>
        <v>6.7979598912315122</v>
      </c>
      <c r="J17" s="96">
        <f>I17</f>
        <v>6.7979598912315122</v>
      </c>
      <c r="K17" s="96">
        <f>J17</f>
        <v>6.7979598912315122</v>
      </c>
      <c r="L17" s="104">
        <f>IF(Übersicht!$H$3=2020,I17,IF(Übersicht!$H$3=2035,J17,K17))</f>
        <v>6.7979598912315122</v>
      </c>
      <c r="N17" s="96">
        <f>N12/N13</f>
        <v>6.7979598912315122</v>
      </c>
      <c r="O17" s="96">
        <f>N17</f>
        <v>6.7979598912315122</v>
      </c>
      <c r="P17" s="96">
        <f>O17</f>
        <v>6.7979598912315122</v>
      </c>
      <c r="Q17" s="104">
        <f>IF(Übersicht!$H$3=2020,N17,IF(Übersicht!$H$3=2035,O17,P17))</f>
        <v>6.7979598912315122</v>
      </c>
    </row>
    <row r="18" spans="1:17" hidden="1" outlineLevel="1" x14ac:dyDescent="0.25">
      <c r="B18" s="9" t="s">
        <v>802</v>
      </c>
      <c r="C18" s="18" t="s">
        <v>803</v>
      </c>
      <c r="D18" s="103">
        <f>IF(Übersicht!$H$6=Übersicht!$L$6,L18,Q18)</f>
        <v>12.175260760435783</v>
      </c>
      <c r="I18" s="91">
        <f>I16/I5</f>
        <v>12.175260760435783</v>
      </c>
      <c r="J18" s="91">
        <f>J16/J5</f>
        <v>10.904061841132744</v>
      </c>
      <c r="K18" s="91">
        <f>K16/K5</f>
        <v>9.8732156586727164</v>
      </c>
      <c r="L18" s="104">
        <f>IF(Übersicht!$H$3=2020,I18,IF(Übersicht!$H$3=2035,J18,K18))</f>
        <v>12.175260760435783</v>
      </c>
      <c r="N18" s="91">
        <f>N16/N5</f>
        <v>12.175260760435783</v>
      </c>
      <c r="O18" s="91">
        <f>O16/O5</f>
        <v>11.719827066155144</v>
      </c>
      <c r="P18" s="91">
        <f>P16/P5</f>
        <v>11.297237147904358</v>
      </c>
      <c r="Q18" s="104">
        <f>IF(Übersicht!$H$3=2020,N18,IF(Übersicht!$H$3=2035,O18,P18))</f>
        <v>12.175260760435783</v>
      </c>
    </row>
    <row r="19" spans="1:17" hidden="1" outlineLevel="1" x14ac:dyDescent="0.25">
      <c r="B19" s="9" t="s">
        <v>127</v>
      </c>
      <c r="C19" s="18" t="s">
        <v>128</v>
      </c>
      <c r="D19" s="95">
        <v>2.5</v>
      </c>
      <c r="E19" s="18"/>
    </row>
    <row r="20" spans="1:17" hidden="1" outlineLevel="1" x14ac:dyDescent="0.25">
      <c r="B20" s="9" t="s">
        <v>137</v>
      </c>
      <c r="C20" s="18" t="s">
        <v>138</v>
      </c>
      <c r="D20" s="72">
        <f>D19*D16</f>
        <v>1174.9126633820533</v>
      </c>
      <c r="E20" s="18"/>
    </row>
    <row r="21" spans="1:17" s="22" customFormat="1" collapsed="1" x14ac:dyDescent="0.25">
      <c r="A21" s="21" t="s">
        <v>256</v>
      </c>
      <c r="C21" s="23"/>
      <c r="D21" s="24"/>
    </row>
    <row r="22" spans="1:17" s="43" customFormat="1" hidden="1" outlineLevel="1" x14ac:dyDescent="0.25">
      <c r="B22" s="43" t="s">
        <v>103</v>
      </c>
      <c r="D22" s="43" t="s">
        <v>226</v>
      </c>
      <c r="E22" s="43" t="s">
        <v>172</v>
      </c>
    </row>
    <row r="23" spans="1:17" s="44" customFormat="1" hidden="1" outlineLevel="1" x14ac:dyDescent="0.25">
      <c r="D23" s="45"/>
      <c r="E23" s="45"/>
      <c r="G23" s="45"/>
    </row>
    <row r="24" spans="1:17" hidden="1" outlineLevel="1" x14ac:dyDescent="0.25">
      <c r="B24" s="9" t="s">
        <v>106</v>
      </c>
      <c r="C24" s="18" t="s">
        <v>50</v>
      </c>
      <c r="D24" s="89">
        <f>$D$16/$E$16*E24</f>
        <v>343.54345064427196</v>
      </c>
      <c r="E24" s="65">
        <v>333.8622950819672</v>
      </c>
    </row>
    <row r="25" spans="1:17" hidden="1" outlineLevel="1" x14ac:dyDescent="0.25">
      <c r="B25" s="9" t="s">
        <v>104</v>
      </c>
      <c r="C25" s="18" t="s">
        <v>50</v>
      </c>
      <c r="D25" s="89">
        <f>$D$16/$E$16*E25</f>
        <v>208.70092564770655</v>
      </c>
      <c r="E25" s="65">
        <v>202.81967213114754</v>
      </c>
    </row>
    <row r="26" spans="1:17" hidden="1" outlineLevel="1" x14ac:dyDescent="0.25">
      <c r="B26" s="9" t="s">
        <v>105</v>
      </c>
      <c r="C26" s="18" t="s">
        <v>50</v>
      </c>
      <c r="D26" s="89">
        <f>$D$16/$E$16*E26</f>
        <v>180.7223162652877</v>
      </c>
      <c r="E26" s="65">
        <v>175.6295081967213</v>
      </c>
    </row>
    <row r="27" spans="1:17" hidden="1" outlineLevel="1" x14ac:dyDescent="0.25">
      <c r="B27" s="9" t="s">
        <v>12</v>
      </c>
      <c r="C27" s="18" t="s">
        <v>50</v>
      </c>
      <c r="D27" s="89">
        <f>$D$16/$E$16*E27</f>
        <v>96.412000521088103</v>
      </c>
      <c r="E27" s="65">
        <v>93.695081967213113</v>
      </c>
    </row>
    <row r="28" spans="1:17" s="46" customFormat="1" hidden="1" outlineLevel="1" x14ac:dyDescent="0.25">
      <c r="A28" s="47"/>
      <c r="B28" s="47" t="s">
        <v>228</v>
      </c>
      <c r="C28" s="47"/>
      <c r="I28" s="46" t="s">
        <v>166</v>
      </c>
      <c r="N28" s="47" t="s">
        <v>856</v>
      </c>
    </row>
    <row r="29" spans="1:17" s="45" customFormat="1" hidden="1" outlineLevel="1" x14ac:dyDescent="0.25">
      <c r="A29" s="48"/>
      <c r="B29" s="48"/>
      <c r="C29" s="48"/>
      <c r="F29" s="45" t="s">
        <v>178</v>
      </c>
      <c r="G29" s="45" t="s">
        <v>223</v>
      </c>
      <c r="I29" s="45">
        <v>2020</v>
      </c>
      <c r="J29" s="45">
        <v>2035</v>
      </c>
      <c r="K29" s="45">
        <v>2050</v>
      </c>
      <c r="L29" s="45" t="s">
        <v>223</v>
      </c>
      <c r="N29" s="45">
        <v>2020</v>
      </c>
      <c r="O29" s="45">
        <v>2035</v>
      </c>
      <c r="P29" s="45">
        <v>2050</v>
      </c>
      <c r="Q29" s="45" t="s">
        <v>223</v>
      </c>
    </row>
    <row r="30" spans="1:17" hidden="1" outlineLevel="1" x14ac:dyDescent="0.25">
      <c r="B30" s="9" t="s">
        <v>308</v>
      </c>
      <c r="C30" s="18" t="s">
        <v>63</v>
      </c>
      <c r="D30" s="82">
        <v>0.15</v>
      </c>
      <c r="E30" s="28">
        <v>1</v>
      </c>
      <c r="F30" s="18" t="s">
        <v>13</v>
      </c>
      <c r="I30" s="92">
        <v>0</v>
      </c>
      <c r="J30" s="92">
        <v>0.23373546657540628</v>
      </c>
      <c r="K30" s="92">
        <v>0.54544975373841287</v>
      </c>
      <c r="L30" s="97">
        <f>IF(Übersicht!$H$3=2020,I30,IF(Übersicht!$H$3=2035,J30,K30))</f>
        <v>0</v>
      </c>
      <c r="N30" s="92">
        <v>0</v>
      </c>
      <c r="O30" s="92">
        <v>0.28586295130415895</v>
      </c>
      <c r="P30" s="92">
        <v>0.56796704377541629</v>
      </c>
      <c r="Q30" s="97">
        <f>IF(Übersicht!$H$3=2020,N30,IF(Übersicht!$H$3=2035,O30,P30))</f>
        <v>0</v>
      </c>
    </row>
    <row r="31" spans="1:17" hidden="1" outlineLevel="1" x14ac:dyDescent="0.25">
      <c r="B31" s="9" t="s">
        <v>142</v>
      </c>
      <c r="C31" s="18" t="s">
        <v>63</v>
      </c>
      <c r="D31" s="82">
        <v>0.34395104098292006</v>
      </c>
      <c r="E31" s="28">
        <v>2</v>
      </c>
      <c r="F31" s="18" t="s">
        <v>13</v>
      </c>
      <c r="I31" s="92">
        <v>0.4033538908748085</v>
      </c>
      <c r="J31" s="92">
        <v>0.55583040838252629</v>
      </c>
      <c r="K31" s="92">
        <v>0.40007049701122926</v>
      </c>
      <c r="L31" s="97">
        <f>IF(Übersicht!$H$3=2020,I31,IF(Übersicht!$H$3=2035,J31,K31))</f>
        <v>0.4033538908748085</v>
      </c>
      <c r="N31" s="92">
        <v>0.4033538908748085</v>
      </c>
      <c r="O31" s="92">
        <v>0.48795972227905537</v>
      </c>
      <c r="P31" s="92">
        <v>0.35836768113480583</v>
      </c>
      <c r="Q31" s="97">
        <f>IF(Übersicht!$H$3=2020,N31,IF(Übersicht!$H$3=2035,O31,P31))</f>
        <v>0.4033538908748085</v>
      </c>
    </row>
    <row r="32" spans="1:17" hidden="1" outlineLevel="1" x14ac:dyDescent="0.25">
      <c r="B32" s="9" t="s">
        <v>65</v>
      </c>
      <c r="C32" s="18" t="s">
        <v>63</v>
      </c>
      <c r="D32" s="82">
        <v>0.68</v>
      </c>
      <c r="E32" s="28">
        <v>3</v>
      </c>
      <c r="F32" s="18" t="s">
        <v>13</v>
      </c>
      <c r="I32" s="92">
        <v>0.15101936598970814</v>
      </c>
      <c r="J32" s="92">
        <v>5.1093185679287667E-2</v>
      </c>
      <c r="K32" s="92">
        <v>1.0688735048595389E-2</v>
      </c>
      <c r="L32" s="97">
        <f>IF(Übersicht!$H$3=2020,I32,IF(Übersicht!$H$3=2035,J32,K32))</f>
        <v>0.15101936598970814</v>
      </c>
      <c r="N32" s="92">
        <v>0.15101936598970814</v>
      </c>
      <c r="O32" s="92">
        <v>5.4915618523124647E-2</v>
      </c>
      <c r="P32" s="92">
        <v>1.5182984014403121E-2</v>
      </c>
      <c r="Q32" s="97">
        <f>IF(Übersicht!$H$3=2020,N32,IF(Übersicht!$H$3=2035,O32,P32))</f>
        <v>0.15101936598970814</v>
      </c>
    </row>
    <row r="33" spans="1:17" hidden="1" outlineLevel="1" x14ac:dyDescent="0.25">
      <c r="B33" s="9" t="s">
        <v>143</v>
      </c>
      <c r="C33" s="18" t="s">
        <v>63</v>
      </c>
      <c r="D33" s="82">
        <v>1</v>
      </c>
      <c r="E33" s="28">
        <v>4</v>
      </c>
      <c r="F33" s="18" t="s">
        <v>13</v>
      </c>
      <c r="I33" s="92">
        <v>0.44562674313548334</v>
      </c>
      <c r="J33" s="92">
        <v>0.15934093936277965</v>
      </c>
      <c r="K33" s="92">
        <v>4.3791014201762367E-2</v>
      </c>
      <c r="L33" s="97">
        <f>IF(Übersicht!$H$3=2020,I33,IF(Übersicht!$H$3=2035,J33,K33))</f>
        <v>0.44562674313548334</v>
      </c>
      <c r="N33" s="92">
        <v>0.44562674313548334</v>
      </c>
      <c r="O33" s="92">
        <v>0.17126170789366094</v>
      </c>
      <c r="P33" s="92">
        <v>5.8482291075374705E-2</v>
      </c>
      <c r="Q33" s="97">
        <f>IF(Übersicht!$H$3=2020,N33,IF(Übersicht!$H$3=2035,O33,P33))</f>
        <v>0.44562674313548334</v>
      </c>
    </row>
    <row r="34" spans="1:17" hidden="1" outlineLevel="1" x14ac:dyDescent="0.25">
      <c r="B34" s="9" t="s">
        <v>144</v>
      </c>
      <c r="C34" s="18" t="s">
        <v>63</v>
      </c>
      <c r="E34" s="28">
        <v>6</v>
      </c>
      <c r="F34" s="18"/>
      <c r="G34" s="103">
        <f>IF(Übersicht!$H$6=Übersicht!$L$6,L34,Q34)</f>
        <v>0.68705390265938648</v>
      </c>
      <c r="I34" s="92">
        <f>I30*$D30+I31*$D31+I32*$D32+I33*$D33</f>
        <v>0.68705390265938648</v>
      </c>
      <c r="J34" s="92">
        <f>J30*$D30+J31*$D31+J32*$D32+J33*$D33</f>
        <v>0.4203230731841377</v>
      </c>
      <c r="K34" s="92">
        <f>K30*$D30+K31*$D31+K32*$D32+K33*$D33</f>
        <v>0.27048148100913566</v>
      </c>
      <c r="L34" s="97">
        <f>IF(Übersicht!$H$3=2020,I34,IF(Übersicht!$H$3=2035,J34,K34))</f>
        <v>0.68705390265938648</v>
      </c>
      <c r="N34" s="92">
        <f>N30*$D30+N31*$D31+N32*$D32+N33*$D33</f>
        <v>0.68705390265938648</v>
      </c>
      <c r="O34" s="92">
        <f>O30*$D30+O31*$D31+O32*$D32+O33*$D33</f>
        <v>0.4193180256206272</v>
      </c>
      <c r="P34" s="92">
        <f>P30*$D30+P31*$D31+P32*$D32+P33*$D33</f>
        <v>0.27726271375243289</v>
      </c>
      <c r="Q34" s="97">
        <f>IF(Übersicht!$H$3=2020,N34,IF(Übersicht!$H$3=2035,O34,P34))</f>
        <v>0.68705390265938648</v>
      </c>
    </row>
    <row r="35" spans="1:17" s="46" customFormat="1" hidden="1" outlineLevel="1" x14ac:dyDescent="0.25">
      <c r="A35" s="47"/>
      <c r="B35" s="47" t="s">
        <v>229</v>
      </c>
      <c r="C35" s="47"/>
      <c r="I35" s="46" t="s">
        <v>166</v>
      </c>
      <c r="N35" s="47" t="s">
        <v>856</v>
      </c>
    </row>
    <row r="36" spans="1:17" s="45" customFormat="1" hidden="1" outlineLevel="1" x14ac:dyDescent="0.25">
      <c r="A36" s="48"/>
      <c r="B36" s="48"/>
      <c r="C36" s="48"/>
      <c r="F36" s="45" t="s">
        <v>178</v>
      </c>
      <c r="G36" s="45" t="s">
        <v>223</v>
      </c>
      <c r="I36" s="45">
        <v>2020</v>
      </c>
      <c r="J36" s="45">
        <v>2035</v>
      </c>
      <c r="K36" s="45">
        <v>2050</v>
      </c>
      <c r="L36" s="45" t="s">
        <v>223</v>
      </c>
      <c r="N36" s="45">
        <v>2020</v>
      </c>
      <c r="O36" s="45">
        <v>2035</v>
      </c>
      <c r="P36" s="45">
        <v>2050</v>
      </c>
      <c r="Q36" s="45" t="s">
        <v>223</v>
      </c>
    </row>
    <row r="37" spans="1:17" hidden="1" outlineLevel="1" x14ac:dyDescent="0.25">
      <c r="B37" s="9" t="s">
        <v>308</v>
      </c>
      <c r="C37" s="18" t="s">
        <v>63</v>
      </c>
      <c r="D37" s="82">
        <v>0.15</v>
      </c>
      <c r="E37" s="28">
        <v>1</v>
      </c>
      <c r="F37" s="18" t="s">
        <v>13</v>
      </c>
      <c r="I37" s="92">
        <v>0</v>
      </c>
      <c r="J37" s="92">
        <v>0.25377857769074241</v>
      </c>
      <c r="K37" s="92">
        <v>0.52913140724992569</v>
      </c>
      <c r="L37" s="97">
        <f>IF(Übersicht!$H$3=2020,I37,IF(Übersicht!$H$3=2035,J37,K37))</f>
        <v>0</v>
      </c>
      <c r="N37" s="92">
        <v>0</v>
      </c>
      <c r="O37" s="92">
        <v>0.27940017258292965</v>
      </c>
      <c r="P37" s="92">
        <v>0.53831534182184615</v>
      </c>
      <c r="Q37" s="97">
        <f>IF(Übersicht!$H$3=2020,N37,IF(Übersicht!$H$3=2035,O37,P37))</f>
        <v>0</v>
      </c>
    </row>
    <row r="38" spans="1:17" hidden="1" outlineLevel="1" x14ac:dyDescent="0.25">
      <c r="B38" s="9" t="s">
        <v>142</v>
      </c>
      <c r="C38" s="18" t="s">
        <v>63</v>
      </c>
      <c r="D38" s="82">
        <v>0.25504870129870127</v>
      </c>
      <c r="E38" s="28">
        <v>2</v>
      </c>
      <c r="F38" s="18" t="s">
        <v>13</v>
      </c>
      <c r="I38" s="92">
        <v>0.58074878758486903</v>
      </c>
      <c r="J38" s="92">
        <v>0.65068985043008332</v>
      </c>
      <c r="K38" s="92">
        <v>0.44437032169303303</v>
      </c>
      <c r="L38" s="97">
        <f>IF(Übersicht!$H$3=2020,I38,IF(Übersicht!$H$3=2035,J38,K38))</f>
        <v>0.58074878758486903</v>
      </c>
      <c r="N38" s="92">
        <v>0.58074878758486903</v>
      </c>
      <c r="O38" s="92">
        <v>0.61792125514793295</v>
      </c>
      <c r="P38" s="92">
        <v>0.42786455898906511</v>
      </c>
      <c r="Q38" s="97">
        <f>IF(Übersicht!$H$3=2020,N38,IF(Übersicht!$H$3=2035,O38,P38))</f>
        <v>0.58074878758486903</v>
      </c>
    </row>
    <row r="39" spans="1:17" hidden="1" outlineLevel="1" x14ac:dyDescent="0.25">
      <c r="B39" s="9" t="s">
        <v>65</v>
      </c>
      <c r="C39" s="18" t="s">
        <v>63</v>
      </c>
      <c r="D39" s="82">
        <v>0.45</v>
      </c>
      <c r="E39" s="28">
        <v>3</v>
      </c>
      <c r="F39" s="18" t="s">
        <v>13</v>
      </c>
      <c r="I39" s="92">
        <v>0.14439767216294858</v>
      </c>
      <c r="J39" s="92">
        <v>3.3202726415316013E-2</v>
      </c>
      <c r="K39" s="92">
        <v>9.4164545005480348E-3</v>
      </c>
      <c r="L39" s="97">
        <f>IF(Übersicht!$H$3=2020,I39,IF(Übersicht!$H$3=2035,J39,K39))</f>
        <v>0.14439767216294858</v>
      </c>
      <c r="N39" s="92">
        <v>0.14439767216294858</v>
      </c>
      <c r="O39" s="92">
        <v>3.568672091022744E-2</v>
      </c>
      <c r="P39" s="92">
        <v>1.1970350201540971E-2</v>
      </c>
      <c r="Q39" s="97">
        <f>IF(Übersicht!$H$3=2020,N39,IF(Übersicht!$H$3=2035,O39,P39))</f>
        <v>0.14439767216294858</v>
      </c>
    </row>
    <row r="40" spans="1:17" hidden="1" outlineLevel="1" x14ac:dyDescent="0.25">
      <c r="B40" s="9" t="s">
        <v>143</v>
      </c>
      <c r="C40" s="18" t="s">
        <v>63</v>
      </c>
      <c r="D40" s="82">
        <v>1</v>
      </c>
      <c r="E40" s="28">
        <v>4</v>
      </c>
      <c r="F40" s="18" t="s">
        <v>13</v>
      </c>
      <c r="I40" s="92">
        <v>0.27485354025218239</v>
      </c>
      <c r="J40" s="92">
        <v>6.2328845463858265E-2</v>
      </c>
      <c r="K40" s="92">
        <v>1.7081816556493407E-2</v>
      </c>
      <c r="L40" s="97">
        <f>IF(Übersicht!$H$3=2020,I40,IF(Übersicht!$H$3=2035,J40,K40))</f>
        <v>0.27485354025218239</v>
      </c>
      <c r="N40" s="92">
        <v>0.27485354025218239</v>
      </c>
      <c r="O40" s="92">
        <v>6.6991851358910004E-2</v>
      </c>
      <c r="P40" s="92">
        <v>2.184974898754782E-2</v>
      </c>
      <c r="Q40" s="97">
        <f>IF(Übersicht!$H$3=2020,N40,IF(Übersicht!$H$3=2035,O40,P40))</f>
        <v>0.27485354025218239</v>
      </c>
    </row>
    <row r="41" spans="1:17" hidden="1" outlineLevel="1" x14ac:dyDescent="0.25">
      <c r="B41" s="9" t="s">
        <v>144</v>
      </c>
      <c r="C41" s="18" t="s">
        <v>63</v>
      </c>
      <c r="E41" s="28">
        <v>6</v>
      </c>
      <c r="F41" s="18"/>
      <c r="G41" s="103">
        <f>IF(Übersicht!$H$6=Übersicht!$L$6,L41,Q41)</f>
        <v>0.48795171677982541</v>
      </c>
      <c r="I41" s="92">
        <f>I37*$D37+I38*$D38+I39*$D39+I40*$D40</f>
        <v>0.48795171677982541</v>
      </c>
      <c r="J41" s="92">
        <f>J37*$D37+J38*$D38+J39*$D39+J40*$D40</f>
        <v>0.28129446030480076</v>
      </c>
      <c r="K41" s="92">
        <f>K37*$D37+K38*$D38+K39*$D39+K40*$D40</f>
        <v>0.21402500561272306</v>
      </c>
      <c r="L41" s="97">
        <f>IF(Übersicht!$H$3=2020,I41,IF(Übersicht!$H$3=2035,J41,K41))</f>
        <v>0.48795171677982541</v>
      </c>
      <c r="N41" s="92">
        <f>N37*$D37+N38*$D38+N39*$D39+N40*$D40</f>
        <v>0.48795171677982541</v>
      </c>
      <c r="O41" s="92">
        <f>O37*$D37+O38*$D38+O39*$D39+O40*$D40</f>
        <v>0.28256091528629557</v>
      </c>
      <c r="P41" s="92">
        <f>P37*$D37+P38*$D38+P39*$D39+P40*$D40</f>
        <v>0.21711000795342081</v>
      </c>
      <c r="Q41" s="97">
        <f>IF(Übersicht!$H$3=2020,N41,IF(Übersicht!$H$3=2035,O41,P41))</f>
        <v>0.48795171677982541</v>
      </c>
    </row>
    <row r="42" spans="1:17" s="46" customFormat="1" hidden="1" outlineLevel="1" x14ac:dyDescent="0.25">
      <c r="A42" s="47"/>
      <c r="B42" s="47" t="s">
        <v>230</v>
      </c>
      <c r="C42" s="47"/>
      <c r="I42" s="46" t="s">
        <v>166</v>
      </c>
      <c r="N42" s="47" t="s">
        <v>856</v>
      </c>
    </row>
    <row r="43" spans="1:17" s="45" customFormat="1" hidden="1" outlineLevel="1" x14ac:dyDescent="0.25">
      <c r="A43" s="48"/>
      <c r="B43" s="48"/>
      <c r="C43" s="48"/>
      <c r="F43" s="45" t="s">
        <v>178</v>
      </c>
      <c r="G43" s="45" t="s">
        <v>223</v>
      </c>
      <c r="I43" s="45">
        <v>2020</v>
      </c>
      <c r="J43" s="45">
        <v>2035</v>
      </c>
      <c r="K43" s="45">
        <v>2050</v>
      </c>
      <c r="L43" s="45" t="s">
        <v>223</v>
      </c>
      <c r="N43" s="45">
        <v>2020</v>
      </c>
      <c r="O43" s="45">
        <v>2035</v>
      </c>
      <c r="P43" s="45">
        <v>2050</v>
      </c>
      <c r="Q43" s="45" t="s">
        <v>223</v>
      </c>
    </row>
    <row r="44" spans="1:17" hidden="1" outlineLevel="1" x14ac:dyDescent="0.25">
      <c r="B44" s="9" t="s">
        <v>308</v>
      </c>
      <c r="C44" s="18" t="s">
        <v>63</v>
      </c>
      <c r="D44" s="82">
        <v>0.2</v>
      </c>
      <c r="E44" s="28">
        <v>1</v>
      </c>
      <c r="F44" s="18" t="s">
        <v>13</v>
      </c>
      <c r="I44" s="92">
        <v>0</v>
      </c>
      <c r="J44" s="92">
        <v>0.15646927322578547</v>
      </c>
      <c r="K44" s="92">
        <v>0.31524509940218898</v>
      </c>
      <c r="L44" s="97">
        <f>IF(Übersicht!$H$3=2020,I44,IF(Übersicht!$H$3=2035,J44,K44))</f>
        <v>0</v>
      </c>
      <c r="N44" s="92">
        <v>0</v>
      </c>
      <c r="O44" s="92">
        <v>0.13818845752406875</v>
      </c>
      <c r="P44" s="92">
        <v>0.25282734740596752</v>
      </c>
      <c r="Q44" s="97">
        <f>IF(Übersicht!$H$3=2020,N44,IF(Übersicht!$H$3=2035,O44,P44))</f>
        <v>0</v>
      </c>
    </row>
    <row r="45" spans="1:17" hidden="1" outlineLevel="1" x14ac:dyDescent="0.25">
      <c r="B45" s="9" t="s">
        <v>142</v>
      </c>
      <c r="C45" s="18" t="s">
        <v>63</v>
      </c>
      <c r="D45" s="82">
        <v>0.39388937125594681</v>
      </c>
      <c r="E45" s="28">
        <v>2</v>
      </c>
      <c r="F45" s="18" t="s">
        <v>13</v>
      </c>
      <c r="I45" s="92">
        <v>0.29068941699180467</v>
      </c>
      <c r="J45" s="92">
        <v>0.4500047594528489</v>
      </c>
      <c r="K45" s="92">
        <v>0.48106678113886364</v>
      </c>
      <c r="L45" s="97">
        <f>IF(Übersicht!$H$3=2020,I45,IF(Übersicht!$H$3=2035,J45,K45))</f>
        <v>0.29068941699180467</v>
      </c>
      <c r="N45" s="92">
        <v>0.29068941699180467</v>
      </c>
      <c r="O45" s="92">
        <v>0.42446786239729151</v>
      </c>
      <c r="P45" s="92">
        <v>0.4905571899262442</v>
      </c>
      <c r="Q45" s="97">
        <f>IF(Übersicht!$H$3=2020,N45,IF(Übersicht!$H$3=2035,O45,P45))</f>
        <v>0.29068941699180467</v>
      </c>
    </row>
    <row r="46" spans="1:17" hidden="1" outlineLevel="1" x14ac:dyDescent="0.25">
      <c r="B46" s="9" t="s">
        <v>65</v>
      </c>
      <c r="C46" s="18" t="s">
        <v>63</v>
      </c>
      <c r="D46" s="82">
        <v>0.69</v>
      </c>
      <c r="E46" s="28">
        <v>3</v>
      </c>
      <c r="F46" s="18" t="s">
        <v>13</v>
      </c>
      <c r="I46" s="92">
        <v>0.18475777997647805</v>
      </c>
      <c r="J46" s="92">
        <v>0.10053232375647257</v>
      </c>
      <c r="K46" s="92">
        <v>4.9854084508216961E-2</v>
      </c>
      <c r="L46" s="97">
        <f>IF(Übersicht!$H$3=2020,I46,IF(Übersicht!$H$3=2035,J46,K46))</f>
        <v>0.18475777997647805</v>
      </c>
      <c r="N46" s="92">
        <v>0.18475777997647805</v>
      </c>
      <c r="O46" s="92">
        <v>0.11982199556797668</v>
      </c>
      <c r="P46" s="92">
        <v>6.9132220595198371E-2</v>
      </c>
      <c r="Q46" s="97">
        <f>IF(Übersicht!$H$3=2020,N46,IF(Übersicht!$H$3=2035,O46,P46))</f>
        <v>0.18475777997647805</v>
      </c>
    </row>
    <row r="47" spans="1:17" hidden="1" outlineLevel="1" x14ac:dyDescent="0.25">
      <c r="B47" s="9" t="s">
        <v>143</v>
      </c>
      <c r="C47" s="18" t="s">
        <v>63</v>
      </c>
      <c r="D47" s="82">
        <v>1</v>
      </c>
      <c r="E47" s="28">
        <v>4</v>
      </c>
      <c r="F47" s="18" t="s">
        <v>13</v>
      </c>
      <c r="I47" s="92">
        <v>0.52455280303171725</v>
      </c>
      <c r="J47" s="92">
        <v>0.29299364356489294</v>
      </c>
      <c r="K47" s="92">
        <v>0.15383403495073034</v>
      </c>
      <c r="L47" s="97">
        <f>IF(Übersicht!$H$3=2020,I47,IF(Übersicht!$H$3=2035,J47,K47))</f>
        <v>0.52455280303171725</v>
      </c>
      <c r="N47" s="92">
        <v>0.52455280303171725</v>
      </c>
      <c r="O47" s="92">
        <v>0.31752168451066293</v>
      </c>
      <c r="P47" s="92">
        <v>0.18748324207258965</v>
      </c>
      <c r="Q47" s="97">
        <f>IF(Übersicht!$H$3=2020,N47,IF(Übersicht!$H$3=2035,O47,P47))</f>
        <v>0.52455280303171725</v>
      </c>
    </row>
    <row r="48" spans="1:17" hidden="1" outlineLevel="1" x14ac:dyDescent="0.25">
      <c r="B48" s="9" t="s">
        <v>144</v>
      </c>
      <c r="C48" s="18" t="s">
        <v>63</v>
      </c>
      <c r="E48" s="28">
        <v>6</v>
      </c>
      <c r="F48" s="18"/>
      <c r="G48" s="103">
        <f>IF(Übersicht!$H$6=Übersicht!$L$6,L48,Q48)</f>
        <v>0.76653514290514679</v>
      </c>
      <c r="I48" s="92">
        <f>I44*$D44+I45*$D45+I46*$D46+I47*$D47</f>
        <v>0.76653514290514679</v>
      </c>
      <c r="J48" s="92">
        <f>J44*$D44+J45*$D45+J46*$D46+J47*$D47</f>
        <v>0.57090689336508238</v>
      </c>
      <c r="K48" s="92">
        <f>K44*$D44+K45*$D45+K46*$D46+K47*$D47</f>
        <v>0.44076946509674703</v>
      </c>
      <c r="L48" s="97">
        <f>IF(Übersicht!$H$3=2020,I48,IF(Übersicht!$H$3=2035,J48,K48))</f>
        <v>0.76653514290514679</v>
      </c>
      <c r="N48" s="92">
        <f>N44*$D44+N45*$D45+N46*$D46+N47*$D47</f>
        <v>0.76653514290514679</v>
      </c>
      <c r="O48" s="92">
        <f>O44*$D44+O45*$D45+O46*$D46+O47*$D47</f>
        <v>0.59502993239540547</v>
      </c>
      <c r="P48" s="92">
        <f>P44*$D44+P45*$D45+P46*$D46+P47*$D47</f>
        <v>0.47897520686960243</v>
      </c>
      <c r="Q48" s="97">
        <f>IF(Übersicht!$H$3=2020,N48,IF(Übersicht!$H$3=2035,O48,P48))</f>
        <v>0.76653514290514679</v>
      </c>
    </row>
    <row r="49" spans="1:17" s="46" customFormat="1" hidden="1" outlineLevel="1" x14ac:dyDescent="0.25">
      <c r="A49" s="47"/>
      <c r="B49" s="47" t="s">
        <v>231</v>
      </c>
      <c r="C49" s="47"/>
      <c r="I49" s="46" t="s">
        <v>166</v>
      </c>
      <c r="N49" s="47" t="s">
        <v>856</v>
      </c>
    </row>
    <row r="50" spans="1:17" s="45" customFormat="1" hidden="1" outlineLevel="1" x14ac:dyDescent="0.25">
      <c r="A50" s="48"/>
      <c r="B50" s="48"/>
      <c r="C50" s="48"/>
      <c r="F50" s="45" t="s">
        <v>178</v>
      </c>
      <c r="G50" s="45" t="s">
        <v>223</v>
      </c>
      <c r="I50" s="45">
        <v>2020</v>
      </c>
      <c r="J50" s="45">
        <v>2035</v>
      </c>
      <c r="K50" s="45">
        <v>2050</v>
      </c>
      <c r="L50" s="45" t="s">
        <v>223</v>
      </c>
      <c r="N50" s="45">
        <v>2020</v>
      </c>
      <c r="O50" s="45">
        <v>2035</v>
      </c>
      <c r="P50" s="45">
        <v>2050</v>
      </c>
      <c r="Q50" s="45" t="s">
        <v>223</v>
      </c>
    </row>
    <row r="51" spans="1:17" hidden="1" outlineLevel="1" x14ac:dyDescent="0.25">
      <c r="B51" s="9" t="s">
        <v>308</v>
      </c>
      <c r="C51" s="18" t="s">
        <v>63</v>
      </c>
      <c r="D51" s="82">
        <v>0.9</v>
      </c>
      <c r="E51" s="28">
        <v>1</v>
      </c>
      <c r="F51" s="18" t="s">
        <v>13</v>
      </c>
      <c r="I51" s="92">
        <v>0</v>
      </c>
      <c r="J51" s="92">
        <v>0.34110927612184988</v>
      </c>
      <c r="K51" s="92">
        <v>0.81274557621682253</v>
      </c>
      <c r="L51" s="97">
        <f>IF(Übersicht!$H$3=2020,I51,IF(Übersicht!$H$3=2035,J51,K51))</f>
        <v>0</v>
      </c>
      <c r="N51" s="92">
        <v>0</v>
      </c>
      <c r="O51" s="92">
        <v>0.43358360778940086</v>
      </c>
      <c r="P51" s="92">
        <v>0.89267771871825052</v>
      </c>
      <c r="Q51" s="97">
        <f>IF(Übersicht!$H$3=2020,N51,IF(Übersicht!$H$3=2035,O51,P51))</f>
        <v>0</v>
      </c>
    </row>
    <row r="52" spans="1:17" hidden="1" outlineLevel="1" x14ac:dyDescent="0.25">
      <c r="B52" s="9" t="s">
        <v>142</v>
      </c>
      <c r="C52" s="18" t="s">
        <v>63</v>
      </c>
      <c r="D52" s="82">
        <v>1.3</v>
      </c>
      <c r="E52" s="28">
        <v>2</v>
      </c>
      <c r="F52" s="18" t="s">
        <v>13</v>
      </c>
      <c r="I52" s="92">
        <v>0.1</v>
      </c>
      <c r="J52" s="92">
        <v>0.26074863807993748</v>
      </c>
      <c r="K52" s="92">
        <v>0.18725442378317736</v>
      </c>
      <c r="L52" s="97">
        <f>IF(Übersicht!$H$3=2020,I52,IF(Übersicht!$H$3=2035,J52,K52))</f>
        <v>0.1</v>
      </c>
      <c r="N52" s="92">
        <v>0.1</v>
      </c>
      <c r="O52" s="92">
        <v>0.13848811545491424</v>
      </c>
      <c r="P52" s="92">
        <v>0.10732228128174952</v>
      </c>
      <c r="Q52" s="97">
        <f>IF(Übersicht!$H$3=2020,N52,IF(Übersicht!$H$3=2035,O52,P52))</f>
        <v>0.1</v>
      </c>
    </row>
    <row r="53" spans="1:17" hidden="1" outlineLevel="1" x14ac:dyDescent="0.25">
      <c r="B53" s="9" t="s">
        <v>65</v>
      </c>
      <c r="C53" s="18" t="s">
        <v>63</v>
      </c>
      <c r="D53" s="82">
        <v>1.6</v>
      </c>
      <c r="E53" s="28">
        <v>3</v>
      </c>
      <c r="F53" s="18" t="s">
        <v>13</v>
      </c>
      <c r="I53" s="92">
        <v>0.4572320397522483</v>
      </c>
      <c r="J53" s="92">
        <v>0.39814208579821264</v>
      </c>
      <c r="K53" s="92">
        <v>0</v>
      </c>
      <c r="L53" s="97">
        <f>IF(Übersicht!$H$3=2020,I53,IF(Übersicht!$H$3=2035,J53,K53))</f>
        <v>0.4572320397522483</v>
      </c>
      <c r="N53" s="92">
        <v>0.4572320397522483</v>
      </c>
      <c r="O53" s="92">
        <v>0.4279282767556849</v>
      </c>
      <c r="P53" s="92">
        <v>0</v>
      </c>
      <c r="Q53" s="97">
        <f>IF(Übersicht!$H$3=2020,N53,IF(Übersicht!$H$3=2035,O53,P53))</f>
        <v>0.4572320397522483</v>
      </c>
    </row>
    <row r="54" spans="1:17" hidden="1" outlineLevel="1" x14ac:dyDescent="0.25">
      <c r="B54" s="9" t="s">
        <v>143</v>
      </c>
      <c r="C54" s="18" t="s">
        <v>63</v>
      </c>
      <c r="D54" s="82">
        <v>2.7</v>
      </c>
      <c r="E54" s="28">
        <v>4</v>
      </c>
      <c r="F54" s="18" t="s">
        <v>13</v>
      </c>
      <c r="I54" s="92">
        <v>0.44276796024775167</v>
      </c>
      <c r="J54" s="92">
        <v>0</v>
      </c>
      <c r="K54" s="92">
        <v>0</v>
      </c>
      <c r="L54" s="97">
        <f>IF(Übersicht!$H$3=2020,I54,IF(Übersicht!$H$3=2035,J54,K54))</f>
        <v>0.44276796024775167</v>
      </c>
      <c r="N54" s="92">
        <v>0.44276796024775167</v>
      </c>
      <c r="O54" s="92">
        <v>0</v>
      </c>
      <c r="P54" s="92">
        <v>0</v>
      </c>
      <c r="Q54" s="97">
        <f>IF(Übersicht!$H$3=2020,N54,IF(Übersicht!$H$3=2035,O54,P54))</f>
        <v>0.44276796024775167</v>
      </c>
    </row>
    <row r="55" spans="1:17" hidden="1" outlineLevel="1" x14ac:dyDescent="0.25">
      <c r="B55" s="9" t="s">
        <v>144</v>
      </c>
      <c r="C55" s="18" t="s">
        <v>63</v>
      </c>
      <c r="E55" s="28">
        <v>6</v>
      </c>
      <c r="F55" s="18"/>
      <c r="G55" s="103">
        <f>IF(Übersicht!$H$6=Übersicht!$L$6,L55,Q55)</f>
        <v>2.0570447562725271</v>
      </c>
      <c r="I55" s="92">
        <f>I51*$D51+I52*$D52+I53*$D53+I54*$D54</f>
        <v>2.0570447562725271</v>
      </c>
      <c r="J55" s="92">
        <f>J51*$D51+J52*$D52+J53*$D53+J54*$D54</f>
        <v>1.2829989152907237</v>
      </c>
      <c r="K55" s="92">
        <f>K51*$D51+K52*$D52+K53*$D53+K54*$D54</f>
        <v>0.9749017695132709</v>
      </c>
      <c r="L55" s="97">
        <f>IF(Übersicht!$H$3=2020,I55,IF(Übersicht!$H$3=2035,J55,K55))</f>
        <v>2.0570447562725271</v>
      </c>
      <c r="N55" s="92">
        <f>N51*$D51+N52*$D52+N53*$D53+N54*$D54</f>
        <v>2.0570447562725271</v>
      </c>
      <c r="O55" s="92">
        <f>O51*$D51+O52*$D52+O53*$D53+O54*$D54</f>
        <v>1.2549450399109452</v>
      </c>
      <c r="P55" s="92">
        <f>P51*$D51+P52*$D52+P53*$D53+P54*$D54</f>
        <v>0.94292891251269995</v>
      </c>
      <c r="Q55" s="97">
        <f>IF(Übersicht!$H$3=2020,N55,IF(Übersicht!$H$3=2035,O55,P55))</f>
        <v>2.0570447562725271</v>
      </c>
    </row>
    <row r="56" spans="1:17" s="46" customFormat="1" hidden="1" outlineLevel="1" x14ac:dyDescent="0.25">
      <c r="A56" s="47"/>
      <c r="B56" s="47" t="s">
        <v>636</v>
      </c>
      <c r="C56" s="47"/>
      <c r="F56" s="46" t="s">
        <v>200</v>
      </c>
    </row>
    <row r="57" spans="1:17" s="45" customFormat="1" hidden="1" outlineLevel="1" x14ac:dyDescent="0.25">
      <c r="A57" s="48"/>
      <c r="B57" s="48"/>
      <c r="C57" s="48"/>
    </row>
    <row r="58" spans="1:17" hidden="1" outlineLevel="1" x14ac:dyDescent="0.25">
      <c r="B58" s="9" t="s">
        <v>17</v>
      </c>
      <c r="C58" s="18" t="s">
        <v>13</v>
      </c>
      <c r="D58" s="82">
        <f>35/(35+52)</f>
        <v>0.40229885057471265</v>
      </c>
      <c r="E58" s="18"/>
      <c r="F58" s="19"/>
    </row>
    <row r="59" spans="1:17" hidden="1" outlineLevel="1" x14ac:dyDescent="0.25">
      <c r="B59" s="9" t="s">
        <v>29</v>
      </c>
      <c r="C59" s="18" t="s">
        <v>13</v>
      </c>
      <c r="D59" s="82">
        <f>52/(35+52)</f>
        <v>0.5977011494252874</v>
      </c>
      <c r="E59" s="18"/>
      <c r="F59" s="19"/>
    </row>
    <row r="60" spans="1:17" hidden="1" outlineLevel="1" x14ac:dyDescent="0.25">
      <c r="B60" s="9" t="s">
        <v>19</v>
      </c>
      <c r="C60" s="18" t="s">
        <v>13</v>
      </c>
      <c r="D60" s="82">
        <f>(7+4)/(7+4+67)</f>
        <v>0.14102564102564102</v>
      </c>
      <c r="E60" s="18"/>
      <c r="F60" s="19"/>
    </row>
    <row r="61" spans="1:17" hidden="1" outlineLevel="1" x14ac:dyDescent="0.25">
      <c r="B61" s="9" t="s">
        <v>18</v>
      </c>
      <c r="C61" s="18" t="s">
        <v>13</v>
      </c>
      <c r="D61" s="82">
        <f>67/(7+4+67)</f>
        <v>0.85897435897435892</v>
      </c>
      <c r="E61" s="18"/>
      <c r="F61" s="19"/>
    </row>
    <row r="62" spans="1:17" s="22" customFormat="1" collapsed="1" x14ac:dyDescent="0.25">
      <c r="A62" s="21" t="s">
        <v>249</v>
      </c>
      <c r="C62" s="23"/>
      <c r="D62" s="24"/>
    </row>
    <row r="63" spans="1:17" s="46" customFormat="1" hidden="1" outlineLevel="1" x14ac:dyDescent="0.25">
      <c r="A63" s="47"/>
      <c r="B63" s="47" t="s">
        <v>171</v>
      </c>
      <c r="C63" s="47"/>
      <c r="I63" s="47" t="s">
        <v>167</v>
      </c>
      <c r="N63" s="47" t="s">
        <v>856</v>
      </c>
    </row>
    <row r="64" spans="1:17" s="45" customFormat="1" hidden="1" outlineLevel="1" x14ac:dyDescent="0.25">
      <c r="A64" s="48"/>
      <c r="B64" s="48"/>
      <c r="C64" s="48"/>
      <c r="D64" s="45" t="s">
        <v>223</v>
      </c>
      <c r="I64" s="45">
        <v>2020</v>
      </c>
      <c r="J64" s="45">
        <v>2035</v>
      </c>
      <c r="K64" s="45">
        <v>2050</v>
      </c>
      <c r="L64" s="45" t="s">
        <v>223</v>
      </c>
      <c r="N64" s="45">
        <v>2020</v>
      </c>
      <c r="O64" s="45">
        <v>2035</v>
      </c>
      <c r="P64" s="45">
        <v>2050</v>
      </c>
      <c r="Q64" s="45" t="s">
        <v>223</v>
      </c>
    </row>
    <row r="65" spans="1:17" hidden="1" outlineLevel="1" x14ac:dyDescent="0.25">
      <c r="B65" s="9" t="s">
        <v>174</v>
      </c>
      <c r="C65" s="18" t="s">
        <v>13</v>
      </c>
      <c r="D65" s="82">
        <f>IF(Übersicht!$H$6=Übersicht!$L$6,L65,Q65)</f>
        <v>0.1</v>
      </c>
      <c r="I65" s="92">
        <v>0.1</v>
      </c>
      <c r="J65" s="92">
        <v>0.14920820497875348</v>
      </c>
      <c r="K65" s="92">
        <v>0.18843227423587788</v>
      </c>
      <c r="L65" s="97">
        <f>IF(Übersicht!$H$3=2020,I65,IF(Übersicht!$H$3=2035,J65,K65))</f>
        <v>0.1</v>
      </c>
      <c r="N65" s="92">
        <v>0.1</v>
      </c>
      <c r="O65" s="92">
        <v>0.14166767168539338</v>
      </c>
      <c r="P65" s="92">
        <v>0.17745839689694637</v>
      </c>
      <c r="Q65" s="97">
        <f>IF(Übersicht!$H$3=2020,N65,IF(Übersicht!$H$3=2035,O65,P65))</f>
        <v>0.1</v>
      </c>
    </row>
    <row r="66" spans="1:17" hidden="1" outlineLevel="1" x14ac:dyDescent="0.25">
      <c r="B66" s="9" t="s">
        <v>173</v>
      </c>
      <c r="C66" s="18" t="s">
        <v>13</v>
      </c>
      <c r="D66" s="82">
        <f>IF(Übersicht!$H$6=Übersicht!$L$6,L66,Q66)</f>
        <v>0.9</v>
      </c>
      <c r="I66" s="92">
        <v>0.9</v>
      </c>
      <c r="J66" s="92">
        <v>0.85079179502124647</v>
      </c>
      <c r="K66" s="92">
        <v>0.81156772576412206</v>
      </c>
      <c r="L66" s="97">
        <f>IF(Übersicht!$H$3=2020,I66,IF(Übersicht!$H$3=2035,J66,K66))</f>
        <v>0.9</v>
      </c>
      <c r="N66" s="92">
        <v>0.9</v>
      </c>
      <c r="O66" s="92">
        <v>0.8583323283146066</v>
      </c>
      <c r="P66" s="92">
        <v>0.82254160310305369</v>
      </c>
      <c r="Q66" s="97">
        <f>IF(Übersicht!$H$3=2020,N66,IF(Übersicht!$H$3=2035,O66,P66))</f>
        <v>0.9</v>
      </c>
    </row>
    <row r="67" spans="1:17" s="46" customFormat="1" hidden="1" outlineLevel="1" x14ac:dyDescent="0.25">
      <c r="A67" s="47"/>
      <c r="B67" s="47" t="s">
        <v>181</v>
      </c>
      <c r="C67" s="47"/>
      <c r="I67" s="47" t="s">
        <v>186</v>
      </c>
      <c r="N67" s="47" t="s">
        <v>856</v>
      </c>
    </row>
    <row r="68" spans="1:17" s="45" customFormat="1" hidden="1" outlineLevel="1" x14ac:dyDescent="0.25">
      <c r="A68" s="48"/>
      <c r="B68" s="48"/>
      <c r="C68" s="48"/>
      <c r="D68" s="45" t="s">
        <v>223</v>
      </c>
      <c r="I68" s="45">
        <v>2020</v>
      </c>
      <c r="J68" s="45">
        <v>2035</v>
      </c>
      <c r="K68" s="45">
        <v>2050</v>
      </c>
      <c r="L68" s="45" t="s">
        <v>223</v>
      </c>
      <c r="N68" s="45">
        <v>2020</v>
      </c>
      <c r="O68" s="45">
        <v>2035</v>
      </c>
      <c r="P68" s="45">
        <v>2050</v>
      </c>
      <c r="Q68" s="45" t="s">
        <v>223</v>
      </c>
    </row>
    <row r="69" spans="1:17" hidden="1" outlineLevel="1" x14ac:dyDescent="0.25">
      <c r="B69" s="9" t="s">
        <v>179</v>
      </c>
      <c r="C69" s="18" t="s">
        <v>13</v>
      </c>
      <c r="D69" s="82">
        <f>IF(Übersicht!$H$6=Übersicht!$L$6,L69,Q69)</f>
        <v>0.9</v>
      </c>
      <c r="I69" s="92">
        <v>0.9</v>
      </c>
      <c r="J69" s="92">
        <v>0.79448860510423636</v>
      </c>
      <c r="K69" s="92">
        <v>0.72052060860891065</v>
      </c>
      <c r="L69" s="97">
        <f>IF(Übersicht!$H$3=2020,I69,IF(Übersicht!$H$3=2035,J69,K69))</f>
        <v>0.9</v>
      </c>
      <c r="N69" s="92">
        <v>0.9</v>
      </c>
      <c r="O69" s="92">
        <v>0.83148276508709695</v>
      </c>
      <c r="P69" s="92">
        <v>0.78201018622283824</v>
      </c>
      <c r="Q69" s="97">
        <f>IF(Übersicht!$H$3=2020,N69,IF(Übersicht!$H$3=2035,O69,P69))</f>
        <v>0.9</v>
      </c>
    </row>
    <row r="70" spans="1:17" hidden="1" outlineLevel="1" x14ac:dyDescent="0.25">
      <c r="B70" s="9" t="s">
        <v>180</v>
      </c>
      <c r="C70" s="18" t="s">
        <v>13</v>
      </c>
      <c r="D70" s="82">
        <f>IF(Übersicht!$H$6=Übersicht!$L$6,L70,Q70)</f>
        <v>9.9999999999999978E-2</v>
      </c>
      <c r="I70" s="92">
        <v>9.9999999999999978E-2</v>
      </c>
      <c r="J70" s="92">
        <v>0.20551139489576364</v>
      </c>
      <c r="K70" s="92">
        <v>0.27947939139108935</v>
      </c>
      <c r="L70" s="97">
        <f>IF(Übersicht!$H$3=2020,I70,IF(Übersicht!$H$3=2035,J70,K70))</f>
        <v>9.9999999999999978E-2</v>
      </c>
      <c r="N70" s="92">
        <v>9.9999999999999978E-2</v>
      </c>
      <c r="O70" s="92">
        <v>0.16851723491290305</v>
      </c>
      <c r="P70" s="92">
        <v>0.21798981377716176</v>
      </c>
      <c r="Q70" s="97">
        <f>IF(Übersicht!$H$3=2020,N70,IF(Übersicht!$H$3=2035,O70,P70))</f>
        <v>9.9999999999999978E-2</v>
      </c>
    </row>
    <row r="71" spans="1:17" s="46" customFormat="1" hidden="1" outlineLevel="1" x14ac:dyDescent="0.25">
      <c r="A71" s="47"/>
      <c r="B71" s="47" t="s">
        <v>194</v>
      </c>
      <c r="C71" s="47"/>
      <c r="I71" s="47" t="s">
        <v>200</v>
      </c>
      <c r="N71" s="47" t="s">
        <v>856</v>
      </c>
    </row>
    <row r="72" spans="1:17" s="45" customFormat="1" hidden="1" outlineLevel="1" x14ac:dyDescent="0.25">
      <c r="A72" s="48"/>
      <c r="B72" s="48"/>
      <c r="C72" s="48"/>
      <c r="D72" s="45" t="s">
        <v>223</v>
      </c>
      <c r="I72" s="45">
        <v>2020</v>
      </c>
      <c r="J72" s="45">
        <v>2035</v>
      </c>
      <c r="K72" s="45">
        <v>2050</v>
      </c>
      <c r="L72" s="45" t="s">
        <v>223</v>
      </c>
      <c r="N72" s="45">
        <v>2020</v>
      </c>
      <c r="O72" s="45">
        <v>2035</v>
      </c>
      <c r="P72" s="45">
        <v>2050</v>
      </c>
      <c r="Q72" s="45" t="s">
        <v>223</v>
      </c>
    </row>
    <row r="73" spans="1:17" hidden="1" outlineLevel="1" x14ac:dyDescent="0.25">
      <c r="B73" s="9" t="s">
        <v>189</v>
      </c>
      <c r="C73" s="18" t="s">
        <v>13</v>
      </c>
      <c r="D73" s="82">
        <f>IF(Übersicht!$H$6=Übersicht!$L$6,L73,Q73)</f>
        <v>0.18</v>
      </c>
      <c r="I73" s="92">
        <v>0.18</v>
      </c>
      <c r="J73" s="92">
        <v>0.28746303399735729</v>
      </c>
      <c r="K73" s="92">
        <v>0.41452003881049088</v>
      </c>
      <c r="L73" s="97">
        <f>IF(Übersicht!$H$3=2020,I73,IF(Übersicht!$H$3=2035,J73,K73))</f>
        <v>0.18</v>
      </c>
      <c r="N73" s="92">
        <v>0.18</v>
      </c>
      <c r="O73" s="92">
        <v>0.28652510636623685</v>
      </c>
      <c r="P73" s="92">
        <v>0.41471579052847585</v>
      </c>
      <c r="Q73" s="97">
        <f>IF(Übersicht!$H$3=2020,N73,IF(Übersicht!$H$3=2035,O73,P73))</f>
        <v>0.18</v>
      </c>
    </row>
    <row r="74" spans="1:17" hidden="1" outlineLevel="1" x14ac:dyDescent="0.25">
      <c r="B74" s="9" t="s">
        <v>195</v>
      </c>
      <c r="C74" s="18" t="s">
        <v>13</v>
      </c>
      <c r="D74" s="82">
        <f>IF(Übersicht!$H$6=Übersicht!$L$6,L74,Q74)</f>
        <v>0.82000000000000006</v>
      </c>
      <c r="I74" s="92">
        <v>0.82000000000000006</v>
      </c>
      <c r="J74" s="92">
        <v>0.71253696600264271</v>
      </c>
      <c r="K74" s="92">
        <v>0.58547996118950918</v>
      </c>
      <c r="L74" s="97">
        <f>IF(Übersicht!$H$3=2020,I74,IF(Übersicht!$H$3=2035,J74,K74))</f>
        <v>0.82000000000000006</v>
      </c>
      <c r="N74" s="92">
        <v>0.82000000000000006</v>
      </c>
      <c r="O74" s="92">
        <v>0.71347489363376315</v>
      </c>
      <c r="P74" s="92">
        <v>0.58528420947152415</v>
      </c>
      <c r="Q74" s="97">
        <f>IF(Übersicht!$H$3=2020,N74,IF(Übersicht!$H$3=2035,O74,P74))</f>
        <v>0.82000000000000006</v>
      </c>
    </row>
    <row r="75" spans="1:17" s="46" customFormat="1" hidden="1" outlineLevel="1" x14ac:dyDescent="0.25">
      <c r="A75" s="47"/>
      <c r="B75" s="47" t="s">
        <v>199</v>
      </c>
      <c r="C75" s="47"/>
      <c r="I75" s="47" t="s">
        <v>201</v>
      </c>
      <c r="N75" s="47" t="s">
        <v>856</v>
      </c>
    </row>
    <row r="76" spans="1:17" s="45" customFormat="1" hidden="1" outlineLevel="1" x14ac:dyDescent="0.25">
      <c r="A76" s="48"/>
      <c r="B76" s="48"/>
      <c r="C76" s="48"/>
      <c r="D76" s="45" t="s">
        <v>223</v>
      </c>
      <c r="I76" s="45">
        <v>2020</v>
      </c>
      <c r="J76" s="45">
        <v>2035</v>
      </c>
      <c r="K76" s="45">
        <v>2050</v>
      </c>
      <c r="L76" s="45" t="s">
        <v>223</v>
      </c>
      <c r="N76" s="45">
        <v>2020</v>
      </c>
      <c r="O76" s="45">
        <v>2035</v>
      </c>
      <c r="P76" s="45">
        <v>2050</v>
      </c>
      <c r="Q76" s="45" t="s">
        <v>223</v>
      </c>
    </row>
    <row r="77" spans="1:17" hidden="1" outlineLevel="1" x14ac:dyDescent="0.25">
      <c r="B77" s="9" t="s">
        <v>45</v>
      </c>
      <c r="C77" s="18" t="s">
        <v>13</v>
      </c>
      <c r="D77" s="82">
        <f>IF(Übersicht!$H$6=Übersicht!$L$6,L77,Q77)</f>
        <v>0.8</v>
      </c>
      <c r="I77" s="92">
        <v>0.8</v>
      </c>
      <c r="J77" s="92">
        <v>0.63010108138648002</v>
      </c>
      <c r="K77" s="92">
        <v>0.4306939031861356</v>
      </c>
      <c r="L77" s="97">
        <f>IF(Übersicht!$H$3=2020,I77,IF(Übersicht!$H$3=2035,J77,K77))</f>
        <v>0.8</v>
      </c>
      <c r="N77" s="92">
        <v>0.8</v>
      </c>
      <c r="O77" s="92">
        <v>0.63231050160884628</v>
      </c>
      <c r="P77" s="92">
        <v>0.43419770688010351</v>
      </c>
      <c r="Q77" s="97">
        <f>IF(Übersicht!$H$3=2020,N77,IF(Übersicht!$H$3=2035,O77,P77))</f>
        <v>0.8</v>
      </c>
    </row>
    <row r="78" spans="1:17" hidden="1" outlineLevel="1" x14ac:dyDescent="0.25">
      <c r="B78" s="9" t="s">
        <v>191</v>
      </c>
      <c r="C78" s="18" t="s">
        <v>13</v>
      </c>
      <c r="D78" s="82">
        <f>IF(Übersicht!$H$6=Übersicht!$L$6,L78,Q78)</f>
        <v>0.19999999999999996</v>
      </c>
      <c r="I78" s="92">
        <v>0.19999999999999996</v>
      </c>
      <c r="J78" s="92">
        <v>0.36989891861351998</v>
      </c>
      <c r="K78" s="92">
        <v>0.56930609681386435</v>
      </c>
      <c r="L78" s="97">
        <f>IF(Übersicht!$H$3=2020,I78,IF(Übersicht!$H$3=2035,J78,K78))</f>
        <v>0.19999999999999996</v>
      </c>
      <c r="N78" s="92">
        <v>0.19999999999999996</v>
      </c>
      <c r="O78" s="92">
        <v>0.36768949839115372</v>
      </c>
      <c r="P78" s="92">
        <v>0.56580229311989649</v>
      </c>
      <c r="Q78" s="97">
        <f>IF(Übersicht!$H$3=2020,N78,IF(Übersicht!$H$3=2035,O78,P78))</f>
        <v>0.19999999999999996</v>
      </c>
    </row>
    <row r="79" spans="1:17" s="22" customFormat="1" collapsed="1" x14ac:dyDescent="0.25">
      <c r="A79" s="21" t="s">
        <v>250</v>
      </c>
      <c r="C79" s="23"/>
      <c r="I79" s="24"/>
    </row>
    <row r="80" spans="1:17" s="46" customFormat="1" hidden="1" outlineLevel="1" x14ac:dyDescent="0.25">
      <c r="A80" s="47"/>
      <c r="B80" s="47" t="s">
        <v>258</v>
      </c>
      <c r="C80" s="47"/>
      <c r="I80" s="47" t="s">
        <v>166</v>
      </c>
      <c r="N80" s="47" t="s">
        <v>856</v>
      </c>
    </row>
    <row r="81" spans="1:17" s="45" customFormat="1" hidden="1" outlineLevel="1" x14ac:dyDescent="0.25">
      <c r="A81" s="48"/>
      <c r="B81" s="48"/>
      <c r="C81" s="48"/>
      <c r="D81" s="45" t="s">
        <v>223</v>
      </c>
      <c r="I81" s="45">
        <v>2020</v>
      </c>
      <c r="J81" s="45">
        <v>2035</v>
      </c>
      <c r="K81" s="45">
        <v>2050</v>
      </c>
      <c r="L81" s="45" t="s">
        <v>223</v>
      </c>
      <c r="N81" s="45">
        <v>2020</v>
      </c>
      <c r="O81" s="45">
        <v>2035</v>
      </c>
      <c r="P81" s="45">
        <v>2050</v>
      </c>
      <c r="Q81" s="45" t="s">
        <v>223</v>
      </c>
    </row>
    <row r="82" spans="1:17" hidden="1" outlineLevel="1" x14ac:dyDescent="0.25">
      <c r="B82" t="s">
        <v>21</v>
      </c>
      <c r="C82" s="18" t="s">
        <v>13</v>
      </c>
      <c r="D82" s="82">
        <f>IF(Übersicht!$H$6=Übersicht!$L$6,L82,Q82)</f>
        <v>2.1000000000000001E-2</v>
      </c>
      <c r="H82" s="28">
        <v>1</v>
      </c>
      <c r="I82" s="92">
        <v>2.1000000000000001E-2</v>
      </c>
      <c r="J82" s="92">
        <v>3.8754512269298193E-2</v>
      </c>
      <c r="K82" s="92">
        <v>4.853946368352953E-2</v>
      </c>
      <c r="L82" s="97">
        <f>IF(Übersicht!$H$3=2020,I82,IF(Übersicht!$H$3=2035,J82,K82))</f>
        <v>2.1000000000000001E-2</v>
      </c>
      <c r="N82" s="92">
        <v>2.1000000000000001E-2</v>
      </c>
      <c r="O82" s="92">
        <v>6.7427897499105521E-2</v>
      </c>
      <c r="P82" s="92">
        <v>9.4299945709033911E-2</v>
      </c>
      <c r="Q82" s="97">
        <f>IF(Übersicht!$H$3=2020,N82,IF(Übersicht!$H$3=2035,O82,P82))</f>
        <v>2.1000000000000001E-2</v>
      </c>
    </row>
    <row r="83" spans="1:17" hidden="1" outlineLevel="1" x14ac:dyDescent="0.25">
      <c r="B83" t="s">
        <v>274</v>
      </c>
      <c r="C83" s="18" t="s">
        <v>13</v>
      </c>
      <c r="D83" s="82">
        <f>IF(Übersicht!$H$6=Übersicht!$L$6,L83,Q83)</f>
        <v>0.30059701492537316</v>
      </c>
      <c r="H83" s="28">
        <v>2</v>
      </c>
      <c r="I83" s="92">
        <v>0.30059701492537316</v>
      </c>
      <c r="J83" s="92">
        <v>0</v>
      </c>
      <c r="K83" s="92">
        <v>0</v>
      </c>
      <c r="L83" s="97">
        <f>IF(Übersicht!$H$3=2020,I83,IF(Übersicht!$H$3=2035,J83,K83))</f>
        <v>0.30059701492537316</v>
      </c>
      <c r="N83" s="92">
        <v>0.30059701492537316</v>
      </c>
      <c r="O83" s="92">
        <v>0</v>
      </c>
      <c r="P83" s="92">
        <v>0</v>
      </c>
      <c r="Q83" s="97">
        <f>IF(Übersicht!$H$3=2020,N83,IF(Übersicht!$H$3=2035,O83,P83))</f>
        <v>0.30059701492537316</v>
      </c>
    </row>
    <row r="84" spans="1:17" hidden="1" outlineLevel="1" x14ac:dyDescent="0.25">
      <c r="B84" t="s">
        <v>275</v>
      </c>
      <c r="C84" s="18" t="s">
        <v>13</v>
      </c>
      <c r="D84" s="82">
        <f>IF(Übersicht!$H$6=Übersicht!$L$6,L84,Q84)</f>
        <v>0.15074545454545454</v>
      </c>
      <c r="H84" s="28">
        <v>3</v>
      </c>
      <c r="I84" s="92">
        <v>0.15074545454545454</v>
      </c>
      <c r="J84" s="92">
        <v>3.7973542255058279E-2</v>
      </c>
      <c r="K84" s="92">
        <v>2.0235832712885626E-3</v>
      </c>
      <c r="L84" s="97">
        <f>IF(Übersicht!$H$3=2020,I84,IF(Übersicht!$H$3=2035,J84,K84))</f>
        <v>0.15074545454545454</v>
      </c>
      <c r="N84" s="92">
        <v>0.15074545454545454</v>
      </c>
      <c r="O84" s="92">
        <v>4.0814455640723488E-2</v>
      </c>
      <c r="P84" s="92">
        <v>2.3154462431090282E-3</v>
      </c>
      <c r="Q84" s="97">
        <f>IF(Übersicht!$H$3=2020,N84,IF(Übersicht!$H$3=2035,O84,P84))</f>
        <v>0.15074545454545454</v>
      </c>
    </row>
    <row r="85" spans="1:17" hidden="1" outlineLevel="1" x14ac:dyDescent="0.25">
      <c r="B85" t="s">
        <v>273</v>
      </c>
      <c r="C85" s="18" t="s">
        <v>13</v>
      </c>
      <c r="D85" s="82">
        <f>IF(Übersicht!$H$6=Übersicht!$L$6,L85,Q85)</f>
        <v>0.26140298507462689</v>
      </c>
      <c r="H85" s="28">
        <v>4</v>
      </c>
      <c r="I85" s="92">
        <v>0.26140298507462689</v>
      </c>
      <c r="J85" s="92">
        <v>0.3911987141725794</v>
      </c>
      <c r="K85" s="92">
        <v>0.16180689004613322</v>
      </c>
      <c r="L85" s="97">
        <f>IF(Übersicht!$H$3=2020,I85,IF(Übersicht!$H$3=2035,J85,K85))</f>
        <v>0.26140298507462689</v>
      </c>
      <c r="N85" s="92">
        <v>0.26140298507462689</v>
      </c>
      <c r="O85" s="92">
        <v>0.20128771669444082</v>
      </c>
      <c r="P85" s="92">
        <v>7.4115496928633076E-2</v>
      </c>
      <c r="Q85" s="97">
        <f>IF(Übersicht!$H$3=2020,N85,IF(Übersicht!$H$3=2035,O85,P85))</f>
        <v>0.26140298507462689</v>
      </c>
    </row>
    <row r="86" spans="1:17" hidden="1" outlineLevel="1" x14ac:dyDescent="0.25">
      <c r="B86" t="s">
        <v>276</v>
      </c>
      <c r="C86" s="18" t="s">
        <v>13</v>
      </c>
      <c r="D86" s="82">
        <f>IF(Übersicht!$H$6=Übersicht!$L$6,L86,Q86)</f>
        <v>2.2654545454545452E-2</v>
      </c>
      <c r="H86" s="28">
        <v>5</v>
      </c>
      <c r="I86" s="92">
        <v>2.2654545454545452E-2</v>
      </c>
      <c r="J86" s="92">
        <v>1.9809067582203518E-2</v>
      </c>
      <c r="K86" s="92">
        <v>1.7961602072355042E-2</v>
      </c>
      <c r="L86" s="97">
        <f>IF(Übersicht!$H$3=2020,I86,IF(Übersicht!$H$3=2035,J86,K86))</f>
        <v>2.2654545454545452E-2</v>
      </c>
      <c r="N86" s="92">
        <v>2.2654545454545452E-2</v>
      </c>
      <c r="O86" s="92">
        <v>2.1291042713041688E-2</v>
      </c>
      <c r="P86" s="92">
        <v>2.055221775586779E-2</v>
      </c>
      <c r="Q86" s="97">
        <f>IF(Übersicht!$H$3=2020,N86,IF(Übersicht!$H$3=2035,O86,P86))</f>
        <v>2.2654545454545452E-2</v>
      </c>
    </row>
    <row r="87" spans="1:17" hidden="1" outlineLevel="1" x14ac:dyDescent="0.25">
      <c r="B87" t="s">
        <v>8</v>
      </c>
      <c r="C87" s="18" t="s">
        <v>13</v>
      </c>
      <c r="D87" s="82">
        <f>IF(Übersicht!$H$6=Übersicht!$L$6,L87,Q87)</f>
        <v>0.19200000000000003</v>
      </c>
      <c r="H87" s="28">
        <v>6</v>
      </c>
      <c r="I87" s="92">
        <v>0.19200000000000003</v>
      </c>
      <c r="J87" s="92">
        <v>0.19473321861388654</v>
      </c>
      <c r="K87" s="92">
        <v>0.16974546694326489</v>
      </c>
      <c r="L87" s="97">
        <f>IF(Übersicht!$H$3=2020,I87,IF(Übersicht!$H$3=2035,J87,K87))</f>
        <v>0.19200000000000003</v>
      </c>
      <c r="N87" s="92">
        <v>0.19200000000000003</v>
      </c>
      <c r="O87" s="92">
        <v>0.18837262546267752</v>
      </c>
      <c r="P87" s="92">
        <v>0.17480613017593877</v>
      </c>
      <c r="Q87" s="97">
        <f>IF(Übersicht!$H$3=2020,N87,IF(Übersicht!$H$3=2035,O87,P87))</f>
        <v>0.19200000000000003</v>
      </c>
    </row>
    <row r="88" spans="1:17" hidden="1" outlineLevel="1" x14ac:dyDescent="0.25">
      <c r="B88" t="s">
        <v>7</v>
      </c>
      <c r="C88" s="18" t="s">
        <v>13</v>
      </c>
      <c r="D88" s="82">
        <f>IF(Übersicht!$H$6=Übersicht!$L$6,L88,Q88)</f>
        <v>3.4000000000000002E-2</v>
      </c>
      <c r="H88" s="28">
        <v>7</v>
      </c>
      <c r="I88" s="92">
        <v>3.4000000000000002E-2</v>
      </c>
      <c r="J88" s="92">
        <v>1.8229764498956778E-2</v>
      </c>
      <c r="K88" s="92">
        <v>1.0139284909266437E-2</v>
      </c>
      <c r="L88" s="97">
        <f>IF(Übersicht!$H$3=2020,I88,IF(Übersicht!$H$3=2035,J88,K88))</f>
        <v>3.4000000000000002E-2</v>
      </c>
      <c r="N88" s="92">
        <v>3.4000000000000002E-2</v>
      </c>
      <c r="O88" s="92">
        <v>1.9593587279427359E-2</v>
      </c>
      <c r="P88" s="92">
        <v>1.1601681771179864E-2</v>
      </c>
      <c r="Q88" s="97">
        <f>IF(Übersicht!$H$3=2020,N88,IF(Übersicht!$H$3=2035,O88,P88))</f>
        <v>3.4000000000000002E-2</v>
      </c>
    </row>
    <row r="89" spans="1:17" hidden="1" outlineLevel="1" x14ac:dyDescent="0.25">
      <c r="B89" t="s">
        <v>277</v>
      </c>
      <c r="C89" s="18" t="s">
        <v>13</v>
      </c>
      <c r="D89" s="82">
        <f>IF(Übersicht!$H$6=Übersicht!$L$6,L89,Q89)</f>
        <v>1.0912E-2</v>
      </c>
      <c r="H89" s="28">
        <v>8</v>
      </c>
      <c r="I89" s="92">
        <v>1.0912E-2</v>
      </c>
      <c r="J89" s="92">
        <v>0.10431764815029834</v>
      </c>
      <c r="K89" s="92">
        <v>0.20072075329752259</v>
      </c>
      <c r="L89" s="97">
        <f>IF(Übersicht!$H$3=2020,I89,IF(Übersicht!$H$3=2035,J89,K89))</f>
        <v>1.0912E-2</v>
      </c>
      <c r="N89" s="92">
        <v>1.0912E-2</v>
      </c>
      <c r="O89" s="92">
        <v>0.15862858917308756</v>
      </c>
      <c r="P89" s="92">
        <v>0.21215766671371461</v>
      </c>
      <c r="Q89" s="97">
        <f>IF(Übersicht!$H$3=2020,N89,IF(Übersicht!$H$3=2035,O89,P89))</f>
        <v>1.0912E-2</v>
      </c>
    </row>
    <row r="90" spans="1:17" hidden="1" outlineLevel="1" x14ac:dyDescent="0.25">
      <c r="B90" t="s">
        <v>278</v>
      </c>
      <c r="C90" s="18" t="s">
        <v>13</v>
      </c>
      <c r="D90" s="82">
        <f>IF(Übersicht!$H$6=Übersicht!$L$6,L90,Q90)</f>
        <v>6.6880000000000004E-3</v>
      </c>
      <c r="H90" s="28">
        <v>9</v>
      </c>
      <c r="I90" s="92">
        <v>6.6880000000000004E-3</v>
      </c>
      <c r="J90" s="92">
        <v>0.19498353245771891</v>
      </c>
      <c r="K90" s="92">
        <v>0.38906295577663969</v>
      </c>
      <c r="L90" s="97">
        <f>IF(Übersicht!$H$3=2020,I90,IF(Übersicht!$H$3=2035,J90,K90))</f>
        <v>6.6880000000000004E-3</v>
      </c>
      <c r="N90" s="92">
        <v>6.6880000000000004E-3</v>
      </c>
      <c r="O90" s="92">
        <v>0.30258408553749611</v>
      </c>
      <c r="P90" s="92">
        <v>0.41015141470252303</v>
      </c>
      <c r="Q90" s="97">
        <f>IF(Übersicht!$H$3=2020,N90,IF(Übersicht!$H$3=2035,O90,P90))</f>
        <v>6.6880000000000004E-3</v>
      </c>
    </row>
    <row r="91" spans="1:17" s="46" customFormat="1" hidden="1" outlineLevel="1" x14ac:dyDescent="0.25">
      <c r="A91" s="47"/>
      <c r="B91" s="47" t="s">
        <v>449</v>
      </c>
      <c r="C91" s="47"/>
      <c r="I91" s="47" t="s">
        <v>450</v>
      </c>
      <c r="N91" s="47" t="s">
        <v>856</v>
      </c>
    </row>
    <row r="92" spans="1:17" s="45" customFormat="1" hidden="1" outlineLevel="1" x14ac:dyDescent="0.25">
      <c r="A92" s="48"/>
      <c r="B92" s="48"/>
      <c r="C92" s="48"/>
      <c r="D92" s="45" t="s">
        <v>223</v>
      </c>
      <c r="I92" s="45">
        <v>2020</v>
      </c>
      <c r="J92" s="45">
        <v>2035</v>
      </c>
      <c r="K92" s="45">
        <v>2050</v>
      </c>
      <c r="L92" s="45" t="s">
        <v>223</v>
      </c>
      <c r="N92" s="45">
        <v>2020</v>
      </c>
      <c r="O92" s="45">
        <v>2035</v>
      </c>
      <c r="P92" s="45">
        <v>2050</v>
      </c>
      <c r="Q92" s="45" t="s">
        <v>223</v>
      </c>
    </row>
    <row r="93" spans="1:17" hidden="1" outlineLevel="1" x14ac:dyDescent="0.25">
      <c r="B93" t="s">
        <v>21</v>
      </c>
      <c r="C93" s="18" t="s">
        <v>13</v>
      </c>
      <c r="D93" s="82">
        <f>IF(Übersicht!$H$6=Übersicht!$L$6,L93,Q93)</f>
        <v>2.1000000000000001E-2</v>
      </c>
      <c r="H93" s="28">
        <v>1</v>
      </c>
      <c r="I93" s="92">
        <f>I82</f>
        <v>2.1000000000000001E-2</v>
      </c>
      <c r="J93" s="92">
        <f>J82</f>
        <v>3.8754512269298193E-2</v>
      </c>
      <c r="K93" s="92">
        <f t="shared" ref="K93" si="0">K82</f>
        <v>4.853946368352953E-2</v>
      </c>
      <c r="L93" s="97">
        <f>IF(Übersicht!$H$3=2020,I93,IF(Übersicht!$H$3=2035,J93,K93))</f>
        <v>2.1000000000000001E-2</v>
      </c>
      <c r="N93" s="92">
        <f>N82</f>
        <v>2.1000000000000001E-2</v>
      </c>
      <c r="O93" s="92">
        <f t="shared" ref="O93:P93" si="1">O82</f>
        <v>6.7427897499105521E-2</v>
      </c>
      <c r="P93" s="92">
        <f t="shared" si="1"/>
        <v>9.4299945709033911E-2</v>
      </c>
      <c r="Q93" s="97">
        <f>IF(Übersicht!$H$3=2020,N93,IF(Übersicht!$H$3=2035,O93,P93))</f>
        <v>2.1000000000000001E-2</v>
      </c>
    </row>
    <row r="94" spans="1:17" hidden="1" outlineLevel="1" x14ac:dyDescent="0.25">
      <c r="B94" t="s">
        <v>274</v>
      </c>
      <c r="C94" s="18" t="s">
        <v>13</v>
      </c>
      <c r="D94" s="82">
        <f>IF(Übersicht!$H$6=Übersicht!$L$6,L94,Q94)</f>
        <v>0.24179163034210971</v>
      </c>
      <c r="H94" s="28">
        <v>2</v>
      </c>
      <c r="I94" s="92">
        <f>(1-SUM(I$98:I$99)-I$93-I$101)*I83/SUM(I$83:I$86,I$89)</f>
        <v>0.24179163034210971</v>
      </c>
      <c r="J94" s="92">
        <f t="shared" ref="J94:K98" si="2">(1-J$99-J$93-J$101)*J83/SUM(J$83:J$87,J$89)</f>
        <v>0</v>
      </c>
      <c r="K94" s="92">
        <f t="shared" si="2"/>
        <v>0</v>
      </c>
      <c r="L94" s="97">
        <f>IF(Übersicht!$H$3=2020,I94,IF(Übersicht!$H$3=2035,J94,K94))</f>
        <v>0.24179163034210971</v>
      </c>
      <c r="N94" s="92">
        <f>(1-SUM(N$98:N$99)-N$93-N$101)*N83/SUM(N$83:N$86,N$89)</f>
        <v>0.24179163034210971</v>
      </c>
      <c r="O94" s="92">
        <f t="shared" ref="O94:P98" si="3">(1-O$99-O$93-O$101)*O83/SUM(O$83:O$87,O$89)</f>
        <v>0</v>
      </c>
      <c r="P94" s="92">
        <f t="shared" si="3"/>
        <v>0</v>
      </c>
      <c r="Q94" s="97">
        <f>IF(Übersicht!$H$3=2020,N94,IF(Übersicht!$H$3=2035,O94,P94))</f>
        <v>0.24179163034210971</v>
      </c>
    </row>
    <row r="95" spans="1:17" hidden="1" outlineLevel="1" x14ac:dyDescent="0.25">
      <c r="B95" t="s">
        <v>275</v>
      </c>
      <c r="C95" s="18" t="s">
        <v>13</v>
      </c>
      <c r="D95" s="82">
        <f>IF(Übersicht!$H$6=Übersicht!$L$6,L95,Q95)</f>
        <v>0.12125532660481259</v>
      </c>
      <c r="H95" s="28">
        <v>3</v>
      </c>
      <c r="I95" s="92">
        <f>(1-SUM(I$98:I$99)-I$93-I$101)*I84/SUM(I$83:I$86,I$89)</f>
        <v>0.12125532660481259</v>
      </c>
      <c r="J95" s="92">
        <f t="shared" si="2"/>
        <v>2.4306027592105085E-2</v>
      </c>
      <c r="K95" s="92">
        <f t="shared" si="2"/>
        <v>5.4185246651858039E-4</v>
      </c>
      <c r="L95" s="97">
        <f>IF(Übersicht!$H$3=2020,I95,IF(Übersicht!$H$3=2035,J95,K95))</f>
        <v>0.12125532660481259</v>
      </c>
      <c r="N95" s="92">
        <f>(1-SUM(N$98:N$99)-N$93-N$101)*N84/SUM(N$83:N$86,N$89)</f>
        <v>0.12125532660481259</v>
      </c>
      <c r="O95" s="92">
        <f t="shared" si="3"/>
        <v>2.2965890655423433E-2</v>
      </c>
      <c r="P95" s="92">
        <f t="shared" si="3"/>
        <v>3.8674510429792357E-4</v>
      </c>
      <c r="Q95" s="97">
        <f>IF(Übersicht!$H$3=2020,N95,IF(Übersicht!$H$3=2035,O95,P95))</f>
        <v>0.12125532660481259</v>
      </c>
    </row>
    <row r="96" spans="1:17" hidden="1" outlineLevel="1" x14ac:dyDescent="0.25">
      <c r="B96" t="s">
        <v>273</v>
      </c>
      <c r="C96" s="18" t="s">
        <v>13</v>
      </c>
      <c r="D96" s="82">
        <f>IF(Übersicht!$H$6=Übersicht!$L$6,L96,Q96)</f>
        <v>0.21026507516443443</v>
      </c>
      <c r="H96" s="28">
        <v>4</v>
      </c>
      <c r="I96" s="92">
        <f>(1-SUM(I$98:I$99)-I$93-I$101)*I85/SUM(I$83:I$86,I$89)</f>
        <v>0.21026507516443443</v>
      </c>
      <c r="J96" s="92">
        <f t="shared" si="2"/>
        <v>0.25039767627704429</v>
      </c>
      <c r="K96" s="92">
        <f t="shared" si="2"/>
        <v>4.3326836960541133E-2</v>
      </c>
      <c r="L96" s="97">
        <f>IF(Übersicht!$H$3=2020,I96,IF(Übersicht!$H$3=2035,J96,K96))</f>
        <v>0.21026507516443443</v>
      </c>
      <c r="N96" s="92">
        <f>(1-SUM(N$98:N$99)-N$93-N$101)*N85/SUM(N$83:N$86,N$89)</f>
        <v>0.21026507516443443</v>
      </c>
      <c r="O96" s="92">
        <f t="shared" si="3"/>
        <v>0.11326260804693741</v>
      </c>
      <c r="P96" s="92">
        <f t="shared" si="3"/>
        <v>1.2379387202385994E-2</v>
      </c>
      <c r="Q96" s="97">
        <f>IF(Übersicht!$H$3=2020,N96,IF(Übersicht!$H$3=2035,O96,P96))</f>
        <v>0.21026507516443443</v>
      </c>
    </row>
    <row r="97" spans="1:17" hidden="1" outlineLevel="1" x14ac:dyDescent="0.25">
      <c r="B97" t="s">
        <v>276</v>
      </c>
      <c r="C97" s="18" t="s">
        <v>13</v>
      </c>
      <c r="D97" s="82">
        <f>IF(Übersicht!$H$6=Übersicht!$L$6,L97,Q97)</f>
        <v>1.8222667585284822E-2</v>
      </c>
      <c r="H97" s="28">
        <v>5</v>
      </c>
      <c r="I97" s="92">
        <f>(1-SUM(I$98:I$99)-I$93-I$101)*I86/SUM(I$83:I$86,I$89)</f>
        <v>1.8222667585284822E-2</v>
      </c>
      <c r="J97" s="92">
        <f t="shared" si="2"/>
        <v>1.2679347636123607E-2</v>
      </c>
      <c r="K97" s="92">
        <f t="shared" si="2"/>
        <v>4.8095566531015108E-3</v>
      </c>
      <c r="L97" s="97">
        <f>IF(Übersicht!$H$3=2020,I97,IF(Übersicht!$H$3=2035,J97,K97))</f>
        <v>1.8222667585284822E-2</v>
      </c>
      <c r="N97" s="92">
        <f>(1-SUM(N$98:N$99)-N$93-N$101)*N86/SUM(N$83:N$86,N$89)</f>
        <v>1.8222667585284822E-2</v>
      </c>
      <c r="O97" s="92">
        <f t="shared" si="3"/>
        <v>1.1980259229521301E-2</v>
      </c>
      <c r="P97" s="92">
        <f t="shared" si="3"/>
        <v>3.4328024773635189E-3</v>
      </c>
      <c r="Q97" s="97">
        <f>IF(Übersicht!$H$3=2020,N97,IF(Übersicht!$H$3=2035,O97,P97))</f>
        <v>1.8222667585284822E-2</v>
      </c>
    </row>
    <row r="98" spans="1:17" hidden="1" outlineLevel="1" x14ac:dyDescent="0.25">
      <c r="B98" t="s">
        <v>8</v>
      </c>
      <c r="C98" s="18" t="s">
        <v>13</v>
      </c>
      <c r="D98" s="82">
        <f>IF(Übersicht!$H$6=Übersicht!$L$6,L98,Q98)</f>
        <v>0.19200000000000003</v>
      </c>
      <c r="H98" s="28">
        <v>6</v>
      </c>
      <c r="I98" s="92">
        <f>I87</f>
        <v>0.19200000000000003</v>
      </c>
      <c r="J98" s="92">
        <f t="shared" si="2"/>
        <v>0.12464444198902912</v>
      </c>
      <c r="K98" s="92">
        <f t="shared" si="2"/>
        <v>4.5452540178881687E-2</v>
      </c>
      <c r="L98" s="97">
        <f>IF(Übersicht!$H$3=2020,I98,IF(Übersicht!$H$3=2035,J98,K98))</f>
        <v>0.19200000000000003</v>
      </c>
      <c r="N98" s="92">
        <f>N87</f>
        <v>0.19200000000000003</v>
      </c>
      <c r="O98" s="92">
        <f t="shared" si="3"/>
        <v>0.10599541390267572</v>
      </c>
      <c r="P98" s="92">
        <f t="shared" si="3"/>
        <v>2.9197574872666339E-2</v>
      </c>
      <c r="Q98" s="97">
        <f>IF(Übersicht!$H$3=2020,N98,IF(Übersicht!$H$3=2035,O98,P98))</f>
        <v>0.19200000000000003</v>
      </c>
    </row>
    <row r="99" spans="1:17" hidden="1" outlineLevel="1" x14ac:dyDescent="0.25">
      <c r="B99" t="s">
        <v>7</v>
      </c>
      <c r="C99" s="18" t="s">
        <v>13</v>
      </c>
      <c r="D99" s="82">
        <f>IF(Übersicht!$H$6=Übersicht!$L$6,L99,Q99)</f>
        <v>0.18</v>
      </c>
      <c r="H99" s="28">
        <v>7</v>
      </c>
      <c r="I99" s="92">
        <f>I73</f>
        <v>0.18</v>
      </c>
      <c r="J99" s="92">
        <f>J73</f>
        <v>0.28746303399735729</v>
      </c>
      <c r="K99" s="92">
        <f t="shared" ref="K99" si="4">K73</f>
        <v>0.41452003881049088</v>
      </c>
      <c r="L99" s="97">
        <f>IF(Übersicht!$H$3=2020,I99,IF(Übersicht!$H$3=2035,J99,K99))</f>
        <v>0.18</v>
      </c>
      <c r="N99" s="92">
        <f>N73</f>
        <v>0.18</v>
      </c>
      <c r="O99" s="92">
        <f t="shared" ref="O99:P99" si="5">O73</f>
        <v>0.28652510636623685</v>
      </c>
      <c r="P99" s="92">
        <f t="shared" si="5"/>
        <v>0.41471579052847585</v>
      </c>
      <c r="Q99" s="97">
        <f>IF(Übersicht!$H$3=2020,N99,IF(Übersicht!$H$3=2035,O99,P99))</f>
        <v>0.18</v>
      </c>
    </row>
    <row r="100" spans="1:17" hidden="1" outlineLevel="1" x14ac:dyDescent="0.25">
      <c r="B100" t="s">
        <v>277</v>
      </c>
      <c r="C100" s="18" t="s">
        <v>13</v>
      </c>
      <c r="D100" s="82">
        <f>IF(Übersicht!$H$6=Übersicht!$L$6,L100,Q100)</f>
        <v>8.7773003033583784E-3</v>
      </c>
      <c r="H100" s="28">
        <v>8</v>
      </c>
      <c r="I100" s="92">
        <f>(1-SUM(I$98:I$99)-I$93-I$101)*I89/SUM(I$83:I$86,I$89)</f>
        <v>8.7773003033583784E-3</v>
      </c>
      <c r="J100" s="92">
        <f>(1-J$99-J$93-J$101)*J89/SUM(J$83:J$87,J$89)</f>
        <v>6.6771427781323528E-2</v>
      </c>
      <c r="K100" s="92">
        <f>(1-K$99-K$93-K$101)*K89/SUM(K$83:K$87,K$89)</f>
        <v>5.3746755470297024E-2</v>
      </c>
      <c r="L100" s="97">
        <f>IF(Übersicht!$H$3=2020,I100,IF(Übersicht!$H$3=2035,J100,K100))</f>
        <v>8.7773003033583784E-3</v>
      </c>
      <c r="N100" s="92">
        <f>(1-SUM(N$98:N$99)-N$93-N$101)*N89/SUM(N$83:N$86,N$89)</f>
        <v>8.7773003033583784E-3</v>
      </c>
      <c r="O100" s="92">
        <f>(1-O$99-O$93-O$101)*O89/SUM(O$83:O$87,O$89)</f>
        <v>8.9258738762603693E-2</v>
      </c>
      <c r="P100" s="92">
        <f>(1-P$99-P$93-P$101)*P89/SUM(P$83:P$87,P$89)</f>
        <v>3.543633940325347E-2</v>
      </c>
      <c r="Q100" s="97">
        <f>IF(Übersicht!$H$3=2020,N100,IF(Übersicht!$H$3=2035,O100,P100))</f>
        <v>8.7773003033583784E-3</v>
      </c>
    </row>
    <row r="101" spans="1:17" hidden="1" outlineLevel="1" x14ac:dyDescent="0.25">
      <c r="B101" t="s">
        <v>278</v>
      </c>
      <c r="C101" s="18" t="s">
        <v>13</v>
      </c>
      <c r="D101" s="82">
        <f>IF(Übersicht!$H$6=Übersicht!$L$6,L101,Q101)</f>
        <v>6.6880000000000004E-3</v>
      </c>
      <c r="H101" s="28">
        <v>9</v>
      </c>
      <c r="I101" s="92">
        <f>I90</f>
        <v>6.6880000000000004E-3</v>
      </c>
      <c r="J101" s="92">
        <f>J90</f>
        <v>0.19498353245771891</v>
      </c>
      <c r="K101" s="92">
        <f>K90</f>
        <v>0.38906295577663969</v>
      </c>
      <c r="L101" s="97">
        <f>IF(Übersicht!$H$3=2020,I101,IF(Übersicht!$H$3=2035,J101,K101))</f>
        <v>6.6880000000000004E-3</v>
      </c>
      <c r="N101" s="92">
        <f>N90</f>
        <v>6.6880000000000004E-3</v>
      </c>
      <c r="O101" s="92">
        <f>O90</f>
        <v>0.30258408553749611</v>
      </c>
      <c r="P101" s="92">
        <f>P90</f>
        <v>0.41015141470252303</v>
      </c>
      <c r="Q101" s="97">
        <f>IF(Übersicht!$H$3=2020,N101,IF(Übersicht!$H$3=2035,O101,P101))</f>
        <v>6.6880000000000004E-3</v>
      </c>
    </row>
    <row r="102" spans="1:17" s="22" customFormat="1" collapsed="1" x14ac:dyDescent="0.25">
      <c r="A102" s="21" t="s">
        <v>251</v>
      </c>
      <c r="C102" s="23"/>
      <c r="I102" s="24"/>
    </row>
    <row r="103" spans="1:17" s="46" customFormat="1" hidden="1" outlineLevel="1" x14ac:dyDescent="0.25">
      <c r="A103" s="47"/>
      <c r="B103" s="47" t="s">
        <v>10</v>
      </c>
      <c r="C103" s="47"/>
      <c r="I103" s="49" t="s">
        <v>200</v>
      </c>
      <c r="K103" s="47" t="s">
        <v>212</v>
      </c>
      <c r="N103" s="47" t="s">
        <v>856</v>
      </c>
    </row>
    <row r="104" spans="1:17" s="45" customFormat="1" hidden="1" outlineLevel="1" x14ac:dyDescent="0.25">
      <c r="A104" s="48"/>
      <c r="B104" s="48"/>
      <c r="C104" s="48"/>
      <c r="D104" s="45" t="s">
        <v>223</v>
      </c>
      <c r="I104" s="45">
        <v>2020</v>
      </c>
      <c r="J104" s="45">
        <v>2035</v>
      </c>
      <c r="K104" s="45">
        <v>2050</v>
      </c>
      <c r="L104" s="45" t="s">
        <v>223</v>
      </c>
      <c r="N104" s="45">
        <v>2020</v>
      </c>
      <c r="O104" s="45">
        <v>2035</v>
      </c>
      <c r="P104" s="45">
        <v>2050</v>
      </c>
      <c r="Q104" s="45" t="s">
        <v>223</v>
      </c>
    </row>
    <row r="105" spans="1:17" hidden="1" outlineLevel="1" x14ac:dyDescent="0.25">
      <c r="B105" t="s">
        <v>758</v>
      </c>
      <c r="C105" s="18" t="s">
        <v>13</v>
      </c>
      <c r="D105" s="82">
        <f>IF(Übersicht!$H$6=Übersicht!$L$6,L105,Q105)</f>
        <v>0.09</v>
      </c>
      <c r="I105" s="92">
        <v>0.09</v>
      </c>
      <c r="J105" s="92">
        <v>6.0642892002243487E-2</v>
      </c>
      <c r="K105" s="92">
        <v>2.0974466882903796E-2</v>
      </c>
      <c r="L105" s="97">
        <f>IF(Übersicht!$H$3=2020,I105,IF(Übersicht!$H$3=2035,J105,K105))</f>
        <v>0.09</v>
      </c>
      <c r="N105" s="92">
        <v>0.09</v>
      </c>
      <c r="O105" s="92">
        <v>6.1439118336575928E-2</v>
      </c>
      <c r="P105" s="92">
        <v>2.2622298375438717E-2</v>
      </c>
      <c r="Q105" s="97">
        <f>IF(Übersicht!$H$3=2020,N105,IF(Übersicht!$H$3=2035,O105,P105))</f>
        <v>0.09</v>
      </c>
    </row>
    <row r="106" spans="1:17" s="46" customFormat="1" hidden="1" outlineLevel="1" x14ac:dyDescent="0.25">
      <c r="A106" s="47"/>
      <c r="B106" s="47" t="s">
        <v>9</v>
      </c>
      <c r="C106" s="47"/>
      <c r="I106" s="49" t="s">
        <v>201</v>
      </c>
      <c r="K106" s="47" t="s">
        <v>213</v>
      </c>
      <c r="N106" s="47" t="s">
        <v>856</v>
      </c>
    </row>
    <row r="107" spans="1:17" s="45" customFormat="1" hidden="1" outlineLevel="1" x14ac:dyDescent="0.25">
      <c r="A107" s="48"/>
      <c r="B107" s="48"/>
      <c r="C107" s="48"/>
      <c r="D107" s="45" t="s">
        <v>223</v>
      </c>
      <c r="I107" s="45">
        <v>2020</v>
      </c>
      <c r="J107" s="45">
        <v>2035</v>
      </c>
      <c r="K107" s="45">
        <v>2050</v>
      </c>
      <c r="L107" s="45" t="s">
        <v>223</v>
      </c>
      <c r="N107" s="45">
        <v>2020</v>
      </c>
      <c r="O107" s="45">
        <v>2035</v>
      </c>
      <c r="P107" s="45">
        <v>2050</v>
      </c>
      <c r="Q107" s="45" t="s">
        <v>223</v>
      </c>
    </row>
    <row r="108" spans="1:17" customFormat="1" hidden="1" outlineLevel="1" x14ac:dyDescent="0.25">
      <c r="B108" t="s">
        <v>757</v>
      </c>
      <c r="C108" s="10" t="s">
        <v>13</v>
      </c>
      <c r="D108" s="82">
        <f>IF(Übersicht!$H$6=Übersicht!$L$6,L108,Q108)</f>
        <v>0.06</v>
      </c>
      <c r="E108" s="9"/>
      <c r="F108" s="9"/>
      <c r="G108" s="9"/>
      <c r="I108" s="77">
        <v>0.06</v>
      </c>
      <c r="J108" s="92">
        <v>0.35991094991777056</v>
      </c>
      <c r="K108" s="92">
        <v>0.64903289848401569</v>
      </c>
      <c r="L108" s="97">
        <f>IF(Übersicht!$H$3=2020,I108,IF(Übersicht!$H$3=2035,J108,K108))</f>
        <v>0.06</v>
      </c>
      <c r="N108" s="92">
        <v>0.06</v>
      </c>
      <c r="O108" s="92">
        <v>0.45955012943719725</v>
      </c>
      <c r="P108" s="92">
        <v>0.68685068279706396</v>
      </c>
      <c r="Q108" s="97">
        <f>IF(Übersicht!$H$3=2020,N108,IF(Übersicht!$H$3=2035,O108,P108))</f>
        <v>0.06</v>
      </c>
    </row>
    <row r="109" spans="1:17" customFormat="1" hidden="1" outlineLevel="1" x14ac:dyDescent="0.25">
      <c r="B109" t="s">
        <v>693</v>
      </c>
      <c r="C109" s="10" t="s">
        <v>13</v>
      </c>
      <c r="D109" s="82">
        <f>IF(Übersicht!$H$6=Übersicht!$L$6,L109,Q109)</f>
        <v>0.1</v>
      </c>
      <c r="E109" s="9"/>
      <c r="F109" s="9"/>
      <c r="G109" s="9"/>
      <c r="I109" s="77">
        <v>0.1</v>
      </c>
      <c r="J109" s="92">
        <v>0.45</v>
      </c>
      <c r="K109" s="92">
        <v>0.5</v>
      </c>
      <c r="L109" s="97">
        <f>IF(Übersicht!$H$3=2020,I109,IF(Übersicht!$H$3=2035,J109,K109))</f>
        <v>0.1</v>
      </c>
      <c r="N109" s="92">
        <v>0.1</v>
      </c>
      <c r="O109" s="92">
        <v>0.52</v>
      </c>
      <c r="P109" s="92">
        <v>0.62</v>
      </c>
      <c r="Q109" s="97">
        <f>IF(Übersicht!$H$3=2020,N109,IF(Übersicht!$H$3=2035,O109,P109))</f>
        <v>0.1</v>
      </c>
    </row>
    <row r="110" spans="1:17" s="46" customFormat="1" hidden="1" outlineLevel="1" x14ac:dyDescent="0.25">
      <c r="A110" s="47"/>
      <c r="B110" s="47" t="s">
        <v>53</v>
      </c>
      <c r="C110" s="47"/>
      <c r="I110" s="49" t="s">
        <v>200</v>
      </c>
      <c r="K110" s="47" t="s">
        <v>221</v>
      </c>
      <c r="N110" s="47" t="s">
        <v>856</v>
      </c>
    </row>
    <row r="111" spans="1:17" s="45" customFormat="1" hidden="1" outlineLevel="1" x14ac:dyDescent="0.25">
      <c r="A111" s="48"/>
      <c r="B111" s="48"/>
      <c r="C111" s="48"/>
      <c r="D111" s="45" t="s">
        <v>223</v>
      </c>
      <c r="I111" s="45">
        <v>2020</v>
      </c>
      <c r="J111" s="45">
        <v>2035</v>
      </c>
      <c r="K111" s="45">
        <v>2050</v>
      </c>
      <c r="L111" s="45" t="s">
        <v>223</v>
      </c>
      <c r="N111" s="45">
        <v>2020</v>
      </c>
      <c r="O111" s="45">
        <v>2035</v>
      </c>
      <c r="P111" s="45">
        <v>2050</v>
      </c>
      <c r="Q111" s="45" t="s">
        <v>223</v>
      </c>
    </row>
    <row r="112" spans="1:17" customFormat="1" hidden="1" outlineLevel="1" x14ac:dyDescent="0.25">
      <c r="B112" t="s">
        <v>24</v>
      </c>
      <c r="C112" s="10" t="s">
        <v>13</v>
      </c>
      <c r="D112" s="82">
        <f>IF(Übersicht!$H$6=Übersicht!$L$6,L112,Q112)</f>
        <v>0.01</v>
      </c>
      <c r="E112" s="9"/>
      <c r="F112" s="9"/>
      <c r="G112" s="9"/>
      <c r="I112" s="77">
        <v>0.01</v>
      </c>
      <c r="J112" s="92">
        <v>9.8366117915336962E-2</v>
      </c>
      <c r="K112" s="92">
        <v>0.17941128183025404</v>
      </c>
      <c r="L112" s="97">
        <f>IF(Übersicht!$H$3=2020,I112,IF(Übersicht!$H$3=2035,J112,K112))</f>
        <v>0.01</v>
      </c>
      <c r="N112" s="77">
        <v>0.01</v>
      </c>
      <c r="O112" s="92">
        <v>0.12590205372164018</v>
      </c>
      <c r="P112" s="92">
        <v>0.22671353430185975</v>
      </c>
      <c r="Q112" s="105">
        <f>IF(Übersicht!$H$3=2020,N112,IF(Übersicht!$H$3=2035,O112,P112))</f>
        <v>0.01</v>
      </c>
    </row>
    <row r="113" spans="2:17" customFormat="1" hidden="1" outlineLevel="1" x14ac:dyDescent="0.25">
      <c r="B113" t="s">
        <v>30</v>
      </c>
      <c r="C113" s="10" t="s">
        <v>13</v>
      </c>
      <c r="D113" s="80">
        <f>IF(Übersicht!$H$6=Übersicht!$L$6,L113,Q113)</f>
        <v>0.04</v>
      </c>
      <c r="E113" s="9"/>
      <c r="F113" s="9"/>
      <c r="G113" s="9"/>
      <c r="I113" s="88">
        <v>0.04</v>
      </c>
      <c r="J113" s="88">
        <v>0.12</v>
      </c>
      <c r="K113" s="88">
        <v>0.2</v>
      </c>
      <c r="L113" s="88">
        <f>IF(Übersicht!$H$3=2020,I113,IF(Übersicht!$H$3=2035,J113,K113))</f>
        <v>0.04</v>
      </c>
      <c r="N113" s="88">
        <v>0.04</v>
      </c>
      <c r="O113" s="88">
        <v>0.12</v>
      </c>
      <c r="P113" s="88">
        <v>0.2</v>
      </c>
      <c r="Q113" s="88">
        <f>IF(Übersicht!$H$3=2020,N113,IF(Übersicht!$H$3=2035,O113,P113))</f>
        <v>0.04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10</vt:i4>
      </vt:variant>
    </vt:vector>
  </HeadingPairs>
  <TitlesOfParts>
    <vt:vector size="10" baseType="lpstr">
      <vt:lpstr>Hinweise</vt:lpstr>
      <vt:lpstr>Übersicht</vt:lpstr>
      <vt:lpstr>Bil_EZFH_mQS</vt:lpstr>
      <vt:lpstr>Bil_EZFH_oQS</vt:lpstr>
      <vt:lpstr>Bil_MFH_mQS</vt:lpstr>
      <vt:lpstr>Bil_MFH_oQS</vt:lpstr>
      <vt:lpstr>Daten_ALLG</vt:lpstr>
      <vt:lpstr>Daten_EZFH</vt:lpstr>
      <vt:lpstr>Daten_MFH</vt:lpstr>
      <vt:lpstr>Gegenprobe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Kati Jagnow</dc:creator>
  <cp:lastModifiedBy>Kati Jagnow</cp:lastModifiedBy>
  <dcterms:created xsi:type="dcterms:W3CDTF">2020-06-18T06:51:42Z</dcterms:created>
  <dcterms:modified xsi:type="dcterms:W3CDTF">2021-02-04T18:48:11Z</dcterms:modified>
</cp:coreProperties>
</file>