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50 Projekte\2020 - Beiblatt 3 Dorsch\Geb 1 Wohnbau\"/>
    </mc:Choice>
  </mc:AlternateContent>
  <xr:revisionPtr revIDLastSave="0" documentId="13_ncr:1_{2DC68204-A6BC-446B-B40B-628FA2FCF534}" xr6:coauthVersionLast="36" xr6:coauthVersionMax="36" xr10:uidLastSave="{00000000-0000-0000-0000-000000000000}"/>
  <bookViews>
    <workbookView xWindow="0" yWindow="0" windowWidth="20490" windowHeight="7695" tabRatio="896" xr2:uid="{00000000-000D-0000-FFFF-FFFF00000000}"/>
  </bookViews>
  <sheets>
    <sheet name="DOKU" sheetId="46" r:id="rId1"/>
    <sheet name="GEB_Belüftung_Details_Abs" sheetId="1" state="hidden" r:id="rId2"/>
    <sheet name="GEB_Erg_Det_Nutz_All_Abs" sheetId="2" state="hidden" r:id="rId3"/>
    <sheet name="GEB_Erg_Det_Nutz_HZG_Abs" sheetId="3" state="hidden" r:id="rId4"/>
    <sheet name="GEB_Erg_Det_Nutz_TWW_Abs" sheetId="4" state="hidden" r:id="rId5"/>
    <sheet name="GEB_Erg_Det_End_All_Abs" sheetId="5" state="hidden" r:id="rId6"/>
    <sheet name="GEB_Erg_Det_End_HZG_Abs" sheetId="8" state="hidden" r:id="rId7"/>
    <sheet name="GEB_Erg_Det_End_TWW_Abs" sheetId="6" state="hidden" r:id="rId8"/>
    <sheet name="GEB_Erg_Det_End_Bon_Abs" sheetId="9" state="hidden" r:id="rId9"/>
    <sheet name="GEB_Erg_Det_Pri_All_Abs" sheetId="7" state="hidden" r:id="rId10"/>
    <sheet name="GEB_Erg_Det_Pri_HZG_Abs" sheetId="11" state="hidden" r:id="rId11"/>
    <sheet name="GEB_Erg_Det_Pri_TWW_Abs" sheetId="10" state="hidden" r:id="rId12"/>
    <sheet name="GEB_Erg_Det_Pri_Bon_Abs" sheetId="12" state="hidden" r:id="rId13"/>
    <sheet name="GEB_Erg_Det_E-Träger_Abs" sheetId="14" state="hidden" r:id="rId14"/>
    <sheet name="GEB_Erg_Norm_HT" sheetId="15" state="hidden" r:id="rId15"/>
    <sheet name="GEB_Erg_Norm_T2_HZG" sheetId="16" state="hidden" r:id="rId16"/>
    <sheet name="GEB_Erg_Norm_T5" sheetId="13" state="hidden" r:id="rId17"/>
    <sheet name="GEB_Erg_Norm_T8" sheetId="17" state="hidden" r:id="rId18"/>
    <sheet name="GEB_Erg_EnEV" sheetId="33" state="hidden" r:id="rId19"/>
    <sheet name="TGA_WE-HZG_Det_Abs" sheetId="28" state="hidden" r:id="rId20"/>
    <sheet name="TGA_WE-HZG_Erz_Det_Abs" sheetId="43" state="hidden" r:id="rId21"/>
    <sheet name="TGA_WE-TWW_Det_Abs" sheetId="32" state="hidden" r:id="rId22"/>
    <sheet name="TGA_WE-TWW_Erz1_Det_Abs" sheetId="29" state="hidden" r:id="rId23"/>
    <sheet name="TGA_WE-TWW_Erz2_Det_Abs" sheetId="45" state="hidden" r:id="rId24"/>
    <sheet name="TGA_EE-PV_Det_Abs" sheetId="34" state="hidden" r:id="rId25"/>
    <sheet name="TGA_VK-HZG_HK_Det_Abs" sheetId="37" state="hidden" r:id="rId26"/>
    <sheet name="TGA_VK-HZG_FBH_Det_Abs" sheetId="36" state="hidden" r:id="rId27"/>
    <sheet name="TGA_VK-TWW_Det_Abs" sheetId="35" state="hidden" r:id="rId28"/>
    <sheet name="TGA_TK-WLA_Det_Abs" sheetId="38" state="hidden" r:id="rId29"/>
    <sheet name="ERG_Erg_Nutz_All_Abs" sheetId="40" state="hidden" r:id="rId30"/>
    <sheet name="ERG_Erg_Nutz_HZG_Abs" sheetId="39" state="hidden" r:id="rId31"/>
    <sheet name="ERG_Erg_Nutz_TWW_Abs" sheetId="41" state="hidden" r:id="rId32"/>
    <sheet name="ERG_Erg_Nutz_WLA_Abs" sheetId="42" state="hidden" r:id="rId33"/>
    <sheet name="ERG_Erg_End_All_Abs" sheetId="44" state="hidden" r:id="rId34"/>
    <sheet name="ERG_Erg_End_HZG_Abs" sheetId="30" state="hidden" r:id="rId35"/>
    <sheet name="ERG_Erg_End_TWW_Abs" sheetId="31" state="hidden" r:id="rId36"/>
    <sheet name="ERG_Erg_End_WLA_Abs" sheetId="27" state="hidden" r:id="rId37"/>
    <sheet name="ERG_Erg_Pri_All_Abs" sheetId="19" state="hidden" r:id="rId38"/>
    <sheet name="ERG_Erg_Pri_HZG_Abs" sheetId="23" state="hidden" r:id="rId39"/>
    <sheet name="ERG_Erg_Pri_TWW_Abs" sheetId="25" state="hidden" r:id="rId40"/>
    <sheet name="ERG_Erg_Pri_WLA_Abs" sheetId="24" state="hidden" r:id="rId41"/>
    <sheet name="ERG_Erg_E-Träger_All_Abs" sheetId="22" state="hidden" r:id="rId42"/>
    <sheet name="ERG_Erg_E-Träger_Strom_Abs" sheetId="20" state="hidden" r:id="rId43"/>
    <sheet name="ERG_Erg_E-Träger_Heizöl_Abs" sheetId="18" state="hidden" r:id="rId44"/>
    <sheet name="ERG_Erg_Emission_CO2" sheetId="26" state="hidden" r:id="rId45"/>
    <sheet name="ERG_EnEV_Detail" sheetId="21" state="hidden" r:id="rId46"/>
  </sheets>
  <definedNames>
    <definedName name="_Toc17215761" localSheetId="0">DOKU!#REF!</definedName>
    <definedName name="_Toc17215762" localSheetId="0">DOKU!$A$1</definedName>
    <definedName name="_Toc17215763" localSheetId="0">DOKU!$B$2</definedName>
    <definedName name="_Toc17215764" localSheetId="0">DOKU!$B$5</definedName>
    <definedName name="_Toc17215765" localSheetId="0">DOKU!$B$13</definedName>
    <definedName name="_Toc17215766" localSheetId="0">DOKU!$B$15</definedName>
    <definedName name="_Toc17215767" localSheetId="0">DOKU!$B$19</definedName>
    <definedName name="_Toc17215768" localSheetId="0">DOKU!$A$31</definedName>
    <definedName name="_Toc17215769" localSheetId="0">DOKU!$B$32</definedName>
    <definedName name="_Toc17215770" localSheetId="0">DOKU!$B$34</definedName>
    <definedName name="_Toc17215771" localSheetId="0">DOKU!$B$39</definedName>
    <definedName name="_Toc17215772" localSheetId="0">DOKU!$B$42</definedName>
    <definedName name="_Toc17215773" localSheetId="0">DOKU!$B$47</definedName>
    <definedName name="_Toc17215774" localSheetId="0">DOKU!$A$64</definedName>
    <definedName name="_Toc17215776" localSheetId="0">DOKU!$B$71</definedName>
    <definedName name="_Toc17215777" localSheetId="0">DOKU!#REF!</definedName>
    <definedName name="_Toc17215778" localSheetId="0">DOKU!$C$86</definedName>
    <definedName name="_Toc17215779" localSheetId="0">DOKU!$C$87</definedName>
    <definedName name="_Toc17215780" localSheetId="0">DOKU!$B$104</definedName>
    <definedName name="_Toc17215781" localSheetId="0">DOKU!$A$192</definedName>
    <definedName name="_Toc17215782" localSheetId="0">DOKU!$B$193</definedName>
    <definedName name="_Toc17215784" localSheetId="0">DOKU!$C$207</definedName>
    <definedName name="_Toc17215785" localSheetId="0">DOKU!$C$209</definedName>
    <definedName name="_Toc17215786" localSheetId="0">DOKU!$C$224</definedName>
    <definedName name="_Toc17215787" localSheetId="0">DOKU!$C$245</definedName>
    <definedName name="_Toc17215788" localSheetId="0">DOKU!$B$266</definedName>
    <definedName name="_Toc17215789" localSheetId="0">DOKU!$C$267</definedName>
    <definedName name="_Toc17215790" localSheetId="0">DOKU!$C$269</definedName>
    <definedName name="_Toc17215791" localSheetId="0">DOKU!$C$294</definedName>
    <definedName name="_Toc17215794" localSheetId="0">DOKU!$A$362</definedName>
    <definedName name="_Toc17215795" localSheetId="0">DOKU!$B$363</definedName>
    <definedName name="_Toc17215796" localSheetId="0">DOKU!$B$365</definedName>
    <definedName name="_Toc17215797" localSheetId="0">DOKU!$B$367</definedName>
    <definedName name="_Toc17215798" localSheetId="0">DOKU!$D$371</definedName>
    <definedName name="_Toc17215799" localSheetId="0">DOKU!$B$395</definedName>
    <definedName name="_Toc17215800" localSheetId="0">DOKU!$C$396</definedName>
    <definedName name="_Toc17215801" localSheetId="0">DOKU!$C$402</definedName>
    <definedName name="_Toc17215803" localSheetId="0">DOKU!$C$412</definedName>
    <definedName name="_Toc17215804" localSheetId="0">DOKU!$C$418</definedName>
    <definedName name="_Toc17215805" localSheetId="0">DOKU!$C$423</definedName>
    <definedName name="_Toc17215806" localSheetId="0">DOKU!$A$424</definedName>
    <definedName name="_Toc17215807" localSheetId="0">DOKU!$B$425</definedName>
    <definedName name="_Toc17215808" localSheetId="0">DOKU!$B$427</definedName>
    <definedName name="_Toc17215809" localSheetId="0">DOKU!$C$428</definedName>
    <definedName name="_Toc17215811" localSheetId="0">DOKU!$C$451</definedName>
    <definedName name="_Toc17215812" localSheetId="0">DOKU!$C$490</definedName>
    <definedName name="_Toc17215813" localSheetId="0">DOKU!$C$508</definedName>
    <definedName name="_Toc17215814" localSheetId="0">DOKU!$B$537</definedName>
    <definedName name="_Toc17215815" localSheetId="0">DOKU!$B$544</definedName>
    <definedName name="_Toc17215816" localSheetId="0">DOKU!$C$545</definedName>
    <definedName name="_Toc17215817" localSheetId="0">DOKU!$C$553</definedName>
    <definedName name="_Toc17215818" localSheetId="0">DOKU!$B$562</definedName>
    <definedName name="_Toc17215819" localSheetId="0">DOKU!$C$563</definedName>
    <definedName name="_Toc17215820" localSheetId="0">DOKU!$C$573</definedName>
    <definedName name="_Toc17215821" localSheetId="0">DOKU!$D$577</definedName>
    <definedName name="_Toc17215822" localSheetId="0">DOKU!$C$589</definedName>
    <definedName name="_Toc17215823" localSheetId="0">DOKU!$B$605</definedName>
    <definedName name="_Toc17215824" localSheetId="0">DOKU!$A$609</definedName>
    <definedName name="_Toc17215825" localSheetId="0">DOKU!$B$612</definedName>
    <definedName name="_Toc17215826" localSheetId="0">DOKU!$B$620</definedName>
    <definedName name="_Toc17215827" localSheetId="0">DOKU!$C$621</definedName>
    <definedName name="_Toc17215828" localSheetId="0">DOKU!$C$634</definedName>
    <definedName name="_Toc17215830" localSheetId="0">DOKU!$C$646</definedName>
    <definedName name="_Toc17215831" localSheetId="0">DOKU!$C$650</definedName>
    <definedName name="_Toc17215832" localSheetId="0">DOKU!$A$651</definedName>
    <definedName name="_Toc17215833" localSheetId="0">DOKU!$B$652</definedName>
    <definedName name="_Toc17215834" localSheetId="0">DOKU!$B$654</definedName>
    <definedName name="_Toc17215835" localSheetId="0">DOKU!$C$655</definedName>
    <definedName name="_Toc17215836" localSheetId="0">DOKU!$C$660</definedName>
    <definedName name="_Toc17215837" localSheetId="0">DOKU!$B$666</definedName>
    <definedName name="_Toc17215838" localSheetId="0">DOKU!$C$667</definedName>
    <definedName name="_Toc17215840" localSheetId="0">DOKU!$C$688</definedName>
    <definedName name="_Toc17215842" localSheetId="0">DOKU!$A$701</definedName>
    <definedName name="_Toc17215843" localSheetId="0">DOKU!$B$702</definedName>
    <definedName name="_Toc17215844" localSheetId="0">DOKU!$B$704</definedName>
    <definedName name="_Toc17215845" localSheetId="0">DOKU!$D$724</definedName>
    <definedName name="_Toc17215846" localSheetId="0">DOKU!$C$726</definedName>
    <definedName name="_Toc17215847" localSheetId="0">DOKU!$C$738</definedName>
    <definedName name="_Toc17215848" localSheetId="0">DOKU!$C$761</definedName>
    <definedName name="_Toc17215849" localSheetId="0">DOKU!#REF!</definedName>
    <definedName name="_Toc17215850" localSheetId="0">DOKU!$D$806</definedName>
    <definedName name="_Toc17215851" localSheetId="0">DOKU!$B$811</definedName>
    <definedName name="_Toc17215852" localSheetId="0">DOKU!$B$813</definedName>
    <definedName name="_Toc17215853" localSheetId="0">DOKU!$B$834</definedName>
    <definedName name="_Toc17215854" localSheetId="0">DOKU!$C$835</definedName>
    <definedName name="_Toc17215855" localSheetId="0">DOKU!$C$850</definedName>
    <definedName name="_Toc17215856" localSheetId="0">DOKU!$D$875</definedName>
    <definedName name="_Toc17215857" localSheetId="0">DOKU!#REF!</definedName>
    <definedName name="_Toc17215858" localSheetId="0">DOKU!$D$903</definedName>
    <definedName name="_Toc17215859" localSheetId="0">DOKU!$B$907</definedName>
    <definedName name="_Toc17215860" localSheetId="0">DOKU!$B$909</definedName>
    <definedName name="_Toc17215864" localSheetId="0">DOKU!#REF!</definedName>
    <definedName name="_Toc17215865" localSheetId="0">DOKU!#REF!</definedName>
    <definedName name="_Toc17215866" localSheetId="0">DOKU!$B$971</definedName>
    <definedName name="_Toc17215867" localSheetId="0">DOKU!#REF!</definedName>
    <definedName name="_Toc17215868" localSheetId="0">DOKU!#REF!</definedName>
    <definedName name="_Toc17215869" localSheetId="0">DOKU!#REF!</definedName>
    <definedName name="_Toc17215870" localSheetId="0">DOKU!#REF!</definedName>
    <definedName name="_Toc17215871" localSheetId="0">DOKU!$A$1032</definedName>
    <definedName name="_Toc17215872" localSheetId="0">DOKU!#REF!</definedName>
    <definedName name="_Toc17215873" localSheetId="0">DOKU!#REF!</definedName>
    <definedName name="_Toc17215874" localSheetId="0">DOKU!#REF!</definedName>
    <definedName name="_Toc17215875" localSheetId="0">DOKU!#REF!</definedName>
    <definedName name="_Toc17215876" localSheetId="0">DOKU!#REF!</definedName>
    <definedName name="_Toc17215877" localSheetId="0">DOKU!#REF!</definedName>
    <definedName name="_Toc17215878" localSheetId="0">DOKU!#REF!</definedName>
    <definedName name="_Toc17215879" localSheetId="0">DOKU!$A$1033</definedName>
    <definedName name="_Toc17215880" localSheetId="0">DOKU!#REF!</definedName>
    <definedName name="_Toc17215881" localSheetId="0">DOKU!#REF!</definedName>
    <definedName name="_Toc17215886" localSheetId="0">DOKU!#REF!</definedName>
    <definedName name="_Toc17215889" localSheetId="0">DOKU!#REF!</definedName>
    <definedName name="_Toc17215890" localSheetId="0">DOKU!#REF!</definedName>
    <definedName name="_Toc17215891" localSheetId="0">DOKU!#REF!</definedName>
    <definedName name="_Toc17215892" localSheetId="0">DOKU!$A$1034</definedName>
    <definedName name="_Toc17215893" localSheetId="0">DOKU!#REF!</definedName>
    <definedName name="_Toc17215894" localSheetId="0">DOKU!#REF!</definedName>
    <definedName name="_Toc17215895" localSheetId="0">DOKU!#REF!</definedName>
    <definedName name="_Toc17215896" localSheetId="0">DOKU!#REF!</definedName>
    <definedName name="_Toc17215897" localSheetId="0">DOKU!#REF!</definedName>
    <definedName name="_Toc17215898" localSheetId="0">DOKU!#REF!</definedName>
    <definedName name="_Toc17215899" localSheetId="0">DOKU!#REF!</definedName>
    <definedName name="_Toc17215904" localSheetId="0">DOKU!#REF!</definedName>
    <definedName name="_Toc17215905" localSheetId="0">DOKU!$A$1036</definedName>
    <definedName name="_Toc17215906" localSheetId="0">DOKU!$B$1037</definedName>
    <definedName name="_Toc17215908" localSheetId="0">DOKU!#REF!</definedName>
    <definedName name="_Toc17215911" localSheetId="0">DOKU!#REF!</definedName>
    <definedName name="_Toc17215912" localSheetId="0">DOKU!#REF!</definedName>
    <definedName name="_Toc17215913" localSheetId="0">DOKU!$A$1067</definedName>
    <definedName name="_Toc17215914" localSheetId="0">DOKU!$B$1068</definedName>
    <definedName name="_Toc17215915" localSheetId="0">DOKU!$A$1074</definedName>
    <definedName name="_Toc17215916" localSheetId="0">DOKU!$B$1075</definedName>
    <definedName name="_Toc17215917" localSheetId="0">DOKU!$B$1078</definedName>
    <definedName name="_Toc17215920" localSheetId="0">DOKU!$C$1088</definedName>
    <definedName name="_Toc17215921" localSheetId="0">DOKU!$C$1094</definedName>
    <definedName name="_Toc17215922" localSheetId="0">DOKU!$C$1100</definedName>
    <definedName name="_Toc30794887" localSheetId="0">DOKU!$B$10</definedName>
    <definedName name="_Toc30794898" localSheetId="0">DOKU!$B$65</definedName>
    <definedName name="_Toc30794900" localSheetId="0">DOKU!$B$85</definedName>
    <definedName name="_Toc30794906" localSheetId="0">DOKU!$B$206</definedName>
    <definedName name="_Toc30794915" localSheetId="0">DOKU!$B$315</definedName>
    <definedName name="_Toc30794916" localSheetId="0">DOKU!$C$316</definedName>
    <definedName name="_Toc30794917" localSheetId="0">DOKU!$C$341</definedName>
    <definedName name="_Toc30794922" localSheetId="0">DOKU!$B$373</definedName>
    <definedName name="_Toc30794926" localSheetId="0">DOKU!$C$407</definedName>
    <definedName name="_Toc30794934" localSheetId="0">DOKU!$C$438</definedName>
    <definedName name="_Toc30794945" localSheetId="0">DOKU!$C$582</definedName>
    <definedName name="_Toc30794949" localSheetId="0">DOKU!$B$610</definedName>
    <definedName name="_Toc30794954" localSheetId="0">DOKU!$C$635</definedName>
    <definedName name="_Toc30794955" localSheetId="0">DOKU!$C$644</definedName>
    <definedName name="_Toc30794956" localSheetId="0">DOKU!$B$645</definedName>
    <definedName name="_Toc30794966" localSheetId="0">DOKU!$C$676</definedName>
    <definedName name="_Toc30794967" localSheetId="0">DOKU!$C$687</definedName>
    <definedName name="_Toc30794969" localSheetId="0">DOKU!$C$693</definedName>
    <definedName name="_Toc30794970" localSheetId="0">DOKU!$C$696</definedName>
    <definedName name="_Toc30794974" localSheetId="0">DOKU!$B$725</definedName>
    <definedName name="_Toc30794978" localSheetId="0">DOKU!$C$779</definedName>
    <definedName name="_Toc30794979" localSheetId="0">DOKU!$A$810</definedName>
    <definedName name="_Toc30794985" localSheetId="0">DOKU!$C$880</definedName>
    <definedName name="_Toc30794986" localSheetId="0">DOKU!$C$881</definedName>
    <definedName name="_Toc30794987" localSheetId="0">DOKU!$A$906</definedName>
    <definedName name="_Toc30794990" localSheetId="0">DOKU!$C$910</definedName>
    <definedName name="_Toc30794991" localSheetId="0">DOKU!$C$911</definedName>
    <definedName name="_Toc30794992" localSheetId="0">DOKU!$C$922</definedName>
    <definedName name="_Toc30794993" localSheetId="0">DOKU!$B$942</definedName>
    <definedName name="_Toc30794999" localSheetId="0">DOKU!#REF!</definedName>
    <definedName name="_Toc30795000" localSheetId="0">DOKU!#REF!</definedName>
    <definedName name="_Toc30795001" localSheetId="0">DOKU!$B$943</definedName>
    <definedName name="_Toc30795002" localSheetId="0">DOKU!#REF!</definedName>
    <definedName name="_Toc30795003" localSheetId="0">DOKU!#REF!</definedName>
    <definedName name="_Toc30795004" localSheetId="0">DOKU!#REF!</definedName>
    <definedName name="_Toc30795015" localSheetId="0">DOKU!#REF!</definedName>
    <definedName name="_Toc30795016" localSheetId="0">DOKU!#REF!</definedName>
    <definedName name="_Toc30795017" localSheetId="0">DOKU!#REF!</definedName>
    <definedName name="_Toc30795018" localSheetId="0">DOKU!#REF!</definedName>
    <definedName name="_Toc30795019" localSheetId="0">DOKU!#REF!</definedName>
    <definedName name="_Toc30795020" localSheetId="0">DOKU!#REF!</definedName>
    <definedName name="_Toc30795022" localSheetId="0">DOKU!#REF!</definedName>
    <definedName name="_Toc30795023" localSheetId="0">DOKU!#REF!</definedName>
    <definedName name="_Toc30795027" localSheetId="0">DOKU!#REF!</definedName>
    <definedName name="_Toc30795028" localSheetId="0">DOKU!#REF!</definedName>
    <definedName name="_Toc30795029" localSheetId="0">DOKU!#REF!</definedName>
    <definedName name="_Toc30795030" localSheetId="0">DOKU!#REF!</definedName>
    <definedName name="_Toc30795033" localSheetId="0">DOKU!#REF!</definedName>
    <definedName name="_Toc30795034" localSheetId="0">DOKU!$A$1035</definedName>
    <definedName name="_Toc30795036" localSheetId="0">DOKU!#REF!</definedName>
    <definedName name="_Toc30795039" localSheetId="0">DOKU!#REF!</definedName>
    <definedName name="_Toc30795040" localSheetId="0">DOKU!#REF!</definedName>
    <definedName name="_Toc30795041" localSheetId="0">DOKU!#REF!</definedName>
    <definedName name="_Toc30795044" localSheetId="0">DOKU!$B$1039</definedName>
    <definedName name="_Toc30795046" localSheetId="0">DOKU!#REF!</definedName>
    <definedName name="_Toc30795047" localSheetId="0">DOKU!#REF!</definedName>
    <definedName name="_Toc30795048" localSheetId="0">DOKU!$B$1064</definedName>
    <definedName name="_Toc30795049" localSheetId="0">DOKU!$B$1065</definedName>
    <definedName name="_Toc30795050" localSheetId="0">DOKU!$B$1066</definedName>
    <definedName name="_Toc30795058" localSheetId="0">DOKU!$B$1085</definedName>
    <definedName name="_Toc30795059" localSheetId="0">DOKU!$B$1087</definedName>
    <definedName name="_Toc30795063" localSheetId="0">DOKU!$C$1106</definedName>
    <definedName name="_Toc30795064" localSheetId="0">DOKU!$C$1120</definedName>
    <definedName name="_Toc30795065" localSheetId="0">DOKU!$B$1141</definedName>
  </definedNames>
  <calcPr calcId="191029"/>
</workbook>
</file>

<file path=xl/calcChain.xml><?xml version="1.0" encoding="utf-8"?>
<calcChain xmlns="http://schemas.openxmlformats.org/spreadsheetml/2006/main">
  <c r="I1031" i="46" l="1"/>
  <c r="I1027" i="46"/>
  <c r="F1027" i="46"/>
  <c r="G1022" i="46"/>
  <c r="F1022" i="46"/>
  <c r="G1017" i="46"/>
  <c r="G991" i="46" s="1"/>
  <c r="F1017" i="46"/>
  <c r="E1017" i="46"/>
  <c r="D1017" i="46"/>
  <c r="F991" i="46"/>
  <c r="I1004" i="46"/>
  <c r="J602" i="46"/>
  <c r="G604" i="46"/>
  <c r="G999" i="46" s="1"/>
  <c r="H604" i="46"/>
  <c r="H999" i="46" s="1"/>
  <c r="I604" i="46"/>
  <c r="I999" i="46" s="1"/>
  <c r="J604" i="46"/>
  <c r="J999" i="46" s="1"/>
  <c r="F604" i="46"/>
  <c r="F999" i="46" s="1"/>
  <c r="G602" i="46"/>
  <c r="H602" i="46"/>
  <c r="I602" i="46"/>
  <c r="F602" i="46"/>
  <c r="G601" i="46"/>
  <c r="H601" i="46"/>
  <c r="I601" i="46"/>
  <c r="J601" i="46"/>
  <c r="F601" i="46"/>
  <c r="G599" i="46"/>
  <c r="H599" i="46"/>
  <c r="I599" i="46"/>
  <c r="J599" i="46"/>
  <c r="F599" i="46"/>
  <c r="G979" i="46"/>
  <c r="H995" i="46"/>
  <c r="G995" i="46"/>
  <c r="F995" i="46"/>
  <c r="D987" i="46"/>
  <c r="D991" i="46" s="1"/>
  <c r="D995" i="46" s="1"/>
  <c r="D999" i="46" s="1"/>
  <c r="D1004" i="46" s="1"/>
  <c r="D1008" i="46" s="1"/>
  <c r="F983" i="46"/>
  <c r="H966" i="46"/>
  <c r="J98" i="28"/>
  <c r="D73" i="28"/>
  <c r="C75" i="28"/>
  <c r="J97" i="28"/>
  <c r="J96" i="28"/>
  <c r="F966" i="46"/>
  <c r="G962" i="46"/>
  <c r="I979" i="46" s="1"/>
  <c r="F962" i="46"/>
  <c r="H979" i="46" s="1"/>
  <c r="E916" i="46"/>
  <c r="F920" i="46" s="1"/>
  <c r="B11" i="5"/>
  <c r="D1022" i="46"/>
  <c r="D1027" i="46" s="1"/>
  <c r="D1031" i="46" s="1"/>
  <c r="E1022" i="46"/>
  <c r="E1027" i="46" s="1"/>
  <c r="E1031" i="46" s="1"/>
  <c r="E979" i="46"/>
  <c r="E983" i="46" s="1"/>
  <c r="D979" i="46"/>
  <c r="D983" i="46" s="1"/>
  <c r="E926" i="46" l="1"/>
  <c r="F929" i="46" s="1"/>
  <c r="H1022" i="46"/>
  <c r="J1022" i="46" s="1"/>
  <c r="G1027" i="46" s="1"/>
  <c r="H1027" i="46" s="1"/>
  <c r="E962" i="46" l="1"/>
  <c r="E966" i="46" s="1"/>
  <c r="E970" i="46" s="1"/>
  <c r="D962" i="46"/>
  <c r="D966" i="46" s="1"/>
  <c r="D970" i="46" s="1"/>
  <c r="J90" i="28" l="1"/>
  <c r="J87" i="28"/>
  <c r="E94" i="28"/>
  <c r="J94" i="28" s="1"/>
  <c r="E91" i="28"/>
  <c r="E73" i="28"/>
  <c r="E72" i="28"/>
  <c r="E71" i="28"/>
  <c r="D5" i="28"/>
  <c r="D7" i="28"/>
  <c r="D9" i="28"/>
  <c r="D11" i="28"/>
  <c r="D12" i="28"/>
  <c r="D13" i="28"/>
  <c r="D41" i="28"/>
  <c r="D43" i="28"/>
  <c r="F37" i="28"/>
  <c r="D37" i="28" s="1"/>
  <c r="F36" i="28"/>
  <c r="F38" i="28"/>
  <c r="F39" i="28"/>
  <c r="F40" i="28"/>
  <c r="F41" i="28"/>
  <c r="F42" i="28"/>
  <c r="F43" i="28"/>
  <c r="F35" i="28"/>
  <c r="F6" i="28"/>
  <c r="F7" i="28"/>
  <c r="F8" i="28"/>
  <c r="F9" i="28"/>
  <c r="F72" i="28" s="1"/>
  <c r="F10" i="28"/>
  <c r="F11" i="28"/>
  <c r="F12" i="28"/>
  <c r="F13" i="28"/>
  <c r="F73" i="28" s="1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5" i="28"/>
  <c r="F71" i="28" s="1"/>
  <c r="D8" i="8"/>
  <c r="B14" i="5"/>
  <c r="D35" i="28" l="1"/>
  <c r="D71" i="28" s="1"/>
  <c r="C78" i="28" s="1"/>
  <c r="N11" i="5" s="1"/>
  <c r="D39" i="28"/>
  <c r="D72" i="28" s="1"/>
  <c r="E93" i="28"/>
  <c r="B20" i="5"/>
  <c r="B11" i="2"/>
  <c r="C11" i="2" s="1"/>
  <c r="E85" i="28" s="1"/>
  <c r="J85" i="28" s="1"/>
  <c r="G951" i="46"/>
  <c r="F951" i="46"/>
  <c r="I951" i="46"/>
  <c r="H951" i="46"/>
  <c r="E951" i="46"/>
  <c r="E955" i="46" s="1"/>
  <c r="D951" i="46"/>
  <c r="D955" i="46" s="1"/>
  <c r="F917" i="46" l="1"/>
  <c r="J86" i="28"/>
  <c r="J93" i="28"/>
  <c r="E92" i="28"/>
  <c r="L11" i="5"/>
  <c r="G1146" i="46"/>
  <c r="G1147" i="46" s="1"/>
  <c r="J1146" i="46"/>
  <c r="J1147" i="46" s="1"/>
  <c r="G1153" i="46"/>
  <c r="G1154" i="46" s="1"/>
  <c r="J1153" i="46"/>
  <c r="J1154" i="46" s="1"/>
  <c r="G1160" i="46"/>
  <c r="G1161" i="46" s="1"/>
  <c r="G1098" i="46"/>
  <c r="H1111" i="46"/>
  <c r="H1118" i="46"/>
  <c r="H1119" i="46" s="1"/>
  <c r="G955" i="46" l="1"/>
  <c r="F919" i="46"/>
  <c r="F921" i="46" s="1"/>
  <c r="F927" i="46" s="1"/>
  <c r="J89" i="28"/>
  <c r="J92" i="28"/>
  <c r="J91" i="28" s="1"/>
  <c r="F930" i="46" s="1"/>
  <c r="E89" i="28"/>
  <c r="F92" i="28"/>
  <c r="F932" i="46"/>
  <c r="G1104" i="46"/>
  <c r="G1092" i="46"/>
  <c r="H1092" i="46" s="1"/>
  <c r="D321" i="46"/>
  <c r="K920" i="46" l="1"/>
  <c r="K919" i="46"/>
  <c r="H955" i="46" s="1"/>
  <c r="F931" i="46"/>
  <c r="F933" i="46" s="1"/>
  <c r="F935" i="46" s="1"/>
  <c r="K935" i="46" s="1"/>
  <c r="K930" i="46"/>
  <c r="K929" i="46"/>
  <c r="D274" i="46"/>
  <c r="K265" i="46"/>
  <c r="I265" i="46"/>
  <c r="K259" i="46"/>
  <c r="J254" i="46"/>
  <c r="H250" i="46"/>
  <c r="J250" i="46"/>
  <c r="K260" i="46" s="1"/>
  <c r="I249" i="46"/>
  <c r="G249" i="46"/>
  <c r="G250" i="46" s="1"/>
  <c r="F249" i="46"/>
  <c r="F250" i="46" s="1"/>
  <c r="K244" i="46"/>
  <c r="I244" i="46"/>
  <c r="K238" i="46"/>
  <c r="I238" i="46"/>
  <c r="J234" i="46"/>
  <c r="J255" i="46" s="1"/>
  <c r="I233" i="46"/>
  <c r="I254" i="46" s="1"/>
  <c r="G233" i="46"/>
  <c r="F233" i="46"/>
  <c r="F234" i="46" s="1"/>
  <c r="F255" i="46" s="1"/>
  <c r="J229" i="46"/>
  <c r="K239" i="46" s="1"/>
  <c r="H229" i="46"/>
  <c r="I228" i="46"/>
  <c r="I345" i="46" s="1"/>
  <c r="G228" i="46"/>
  <c r="I222" i="46"/>
  <c r="F222" i="46"/>
  <c r="I216" i="46"/>
  <c r="F216" i="46"/>
  <c r="F228" i="46"/>
  <c r="F298" i="46" s="1"/>
  <c r="G11" i="5"/>
  <c r="E222" i="46"/>
  <c r="D17" i="5"/>
  <c r="H233" i="46" s="1"/>
  <c r="H254" i="46" s="1"/>
  <c r="B17" i="5"/>
  <c r="B23" i="5" s="1"/>
  <c r="E216" i="46" s="1"/>
  <c r="F23" i="5"/>
  <c r="F20" i="5"/>
  <c r="E17" i="5"/>
  <c r="E14" i="5"/>
  <c r="E11" i="5"/>
  <c r="H205" i="46"/>
  <c r="I205" i="46"/>
  <c r="J205" i="46"/>
  <c r="L205" i="46"/>
  <c r="K204" i="46"/>
  <c r="K205" i="46" s="1"/>
  <c r="G204" i="46"/>
  <c r="G205" i="46" s="1"/>
  <c r="F204" i="46"/>
  <c r="F205" i="46" s="1"/>
  <c r="L199" i="46"/>
  <c r="K198" i="46"/>
  <c r="K199" i="46" s="1"/>
  <c r="G198" i="46"/>
  <c r="G199" i="46" s="1"/>
  <c r="F198" i="46"/>
  <c r="F199" i="46" s="1"/>
  <c r="H199" i="46"/>
  <c r="I199" i="46"/>
  <c r="J199" i="46"/>
  <c r="G11" i="2"/>
  <c r="E1052" i="46"/>
  <c r="E1057" i="46"/>
  <c r="E1063" i="46" s="1"/>
  <c r="K218" i="46" s="1"/>
  <c r="F1045" i="46"/>
  <c r="E1051" i="46" s="1"/>
  <c r="E1062" i="46" s="1"/>
  <c r="K217" i="46" s="1"/>
  <c r="K902" i="46"/>
  <c r="K1031" i="46" s="1"/>
  <c r="J902" i="46"/>
  <c r="J1031" i="46" s="1"/>
  <c r="I898" i="46"/>
  <c r="G893" i="46"/>
  <c r="F898" i="46" s="1"/>
  <c r="F893" i="46"/>
  <c r="F884" i="46"/>
  <c r="E884" i="46"/>
  <c r="I873" i="46"/>
  <c r="H863" i="46"/>
  <c r="H862" i="46"/>
  <c r="G863" i="46"/>
  <c r="G862" i="46"/>
  <c r="F863" i="46"/>
  <c r="F862" i="46"/>
  <c r="I849" i="46"/>
  <c r="I848" i="46"/>
  <c r="H849" i="46"/>
  <c r="H848" i="46"/>
  <c r="G849" i="46"/>
  <c r="G848" i="46"/>
  <c r="D23" i="5" l="1"/>
  <c r="G216" i="46" s="1"/>
  <c r="G17" i="5"/>
  <c r="G14" i="5"/>
  <c r="G234" i="46"/>
  <c r="G229" i="46"/>
  <c r="I239" i="46"/>
  <c r="F303" i="46"/>
  <c r="F254" i="46"/>
  <c r="F259" i="46" s="1"/>
  <c r="F264" i="46" s="1"/>
  <c r="F265" i="46" s="1"/>
  <c r="J238" i="46"/>
  <c r="J243" i="46" s="1"/>
  <c r="J244" i="46" s="1"/>
  <c r="I234" i="46"/>
  <c r="I255" i="46" s="1"/>
  <c r="I229" i="46"/>
  <c r="J259" i="46"/>
  <c r="J264" i="46" s="1"/>
  <c r="J265" i="46" s="1"/>
  <c r="H234" i="46"/>
  <c r="H255" i="46" s="1"/>
  <c r="K233" i="46"/>
  <c r="I250" i="46"/>
  <c r="G254" i="46"/>
  <c r="E1059" i="46"/>
  <c r="F238" i="46"/>
  <c r="F243" i="46" s="1"/>
  <c r="F244" i="46" s="1"/>
  <c r="K249" i="46"/>
  <c r="K250" i="46" s="1"/>
  <c r="K228" i="46"/>
  <c r="F229" i="46"/>
  <c r="K222" i="46"/>
  <c r="K223" i="46" s="1"/>
  <c r="H23" i="5"/>
  <c r="H20" i="5"/>
  <c r="K216" i="46"/>
  <c r="E1053" i="46"/>
  <c r="G898" i="46"/>
  <c r="F849" i="46"/>
  <c r="F848" i="46"/>
  <c r="H1098" i="46" l="1"/>
  <c r="G255" i="46"/>
  <c r="J239" i="46"/>
  <c r="E280" i="46"/>
  <c r="K219" i="46"/>
  <c r="F239" i="46"/>
  <c r="F299" i="46"/>
  <c r="E1060" i="46"/>
  <c r="F1059" i="46" s="1"/>
  <c r="K234" i="46"/>
  <c r="K255" i="46" s="1"/>
  <c r="K254" i="46"/>
  <c r="K229" i="46"/>
  <c r="L238" i="46"/>
  <c r="L243" i="46" s="1"/>
  <c r="L244" i="46" s="1"/>
  <c r="F1051" i="46"/>
  <c r="F1052" i="46"/>
  <c r="D854" i="46"/>
  <c r="F844" i="46" s="1"/>
  <c r="E854" i="46"/>
  <c r="G844" i="46" s="1"/>
  <c r="E853" i="46"/>
  <c r="G843" i="46" s="1"/>
  <c r="D853" i="46"/>
  <c r="D857" i="46" s="1"/>
  <c r="D862" i="46" s="1"/>
  <c r="D867" i="46" s="1"/>
  <c r="D873" i="46" s="1"/>
  <c r="D878" i="46" s="1"/>
  <c r="I844" i="46"/>
  <c r="I843" i="46"/>
  <c r="H844" i="46"/>
  <c r="H843" i="46"/>
  <c r="D844" i="46"/>
  <c r="E844" i="46"/>
  <c r="E843" i="46"/>
  <c r="D843" i="46"/>
  <c r="G867" i="46"/>
  <c r="H867" i="46"/>
  <c r="I867" i="46"/>
  <c r="J867" i="46"/>
  <c r="F800" i="46"/>
  <c r="G793" i="46"/>
  <c r="F799" i="46" s="1"/>
  <c r="H788" i="46"/>
  <c r="H787" i="46"/>
  <c r="F793" i="46"/>
  <c r="F794" i="46"/>
  <c r="G787" i="46"/>
  <c r="G788" i="46" s="1"/>
  <c r="G767" i="46" s="1"/>
  <c r="D788" i="46"/>
  <c r="D787" i="46"/>
  <c r="D793" i="46" s="1"/>
  <c r="D799" i="46" s="1"/>
  <c r="D804" i="46" s="1"/>
  <c r="D808" i="46" s="1"/>
  <c r="E787" i="46"/>
  <c r="E793" i="46" s="1"/>
  <c r="E799" i="46" s="1"/>
  <c r="E804" i="46" s="1"/>
  <c r="E808" i="46" s="1"/>
  <c r="F775" i="46"/>
  <c r="H775" i="46"/>
  <c r="H771" i="46"/>
  <c r="F767" i="46"/>
  <c r="E767" i="46"/>
  <c r="E771" i="46" s="1"/>
  <c r="E775" i="46" s="1"/>
  <c r="E778" i="46" s="1"/>
  <c r="D767" i="46"/>
  <c r="D771" i="46" s="1"/>
  <c r="D775" i="46" s="1"/>
  <c r="D778" i="46" s="1"/>
  <c r="I757" i="46"/>
  <c r="G744" i="46"/>
  <c r="F744" i="46"/>
  <c r="F936" i="46" l="1"/>
  <c r="K932" i="46"/>
  <c r="E857" i="46"/>
  <c r="E862" i="46" s="1"/>
  <c r="E867" i="46" s="1"/>
  <c r="E873" i="46" s="1"/>
  <c r="E878" i="46" s="1"/>
  <c r="L239" i="46"/>
  <c r="F843" i="46"/>
  <c r="F1058" i="46"/>
  <c r="F1057" i="46"/>
  <c r="H793" i="46"/>
  <c r="J793" i="46" s="1"/>
  <c r="G799" i="46" s="1"/>
  <c r="H799" i="46" s="1"/>
  <c r="I733" i="46"/>
  <c r="E659" i="46" l="1"/>
  <c r="G671" i="46"/>
  <c r="E675" i="46" s="1"/>
  <c r="E681" i="46" s="1"/>
  <c r="E686" i="46" s="1"/>
  <c r="E692" i="46" s="1"/>
  <c r="E695" i="46" s="1"/>
  <c r="F671" i="46"/>
  <c r="D675" i="46" s="1"/>
  <c r="D681" i="46" s="1"/>
  <c r="D686" i="46" s="1"/>
  <c r="D692" i="46" s="1"/>
  <c r="D695" i="46" s="1"/>
  <c r="E671" i="46"/>
  <c r="D671" i="46"/>
  <c r="F649" i="46"/>
  <c r="F617" i="46"/>
  <c r="H617" i="46" s="1"/>
  <c r="F151" i="16"/>
  <c r="Q156" i="16"/>
  <c r="P156" i="16"/>
  <c r="O156" i="16"/>
  <c r="N156" i="16"/>
  <c r="M156" i="16"/>
  <c r="L156" i="16"/>
  <c r="K156" i="16"/>
  <c r="J156" i="16"/>
  <c r="I156" i="16"/>
  <c r="H156" i="16"/>
  <c r="G156" i="16"/>
  <c r="F156" i="16"/>
  <c r="D156" i="16" s="1"/>
  <c r="Q155" i="16"/>
  <c r="P155" i="16"/>
  <c r="O155" i="16"/>
  <c r="N155" i="16"/>
  <c r="M155" i="16"/>
  <c r="L155" i="16"/>
  <c r="K155" i="16"/>
  <c r="J155" i="16"/>
  <c r="I155" i="16"/>
  <c r="H155" i="16"/>
  <c r="G155" i="16"/>
  <c r="F155" i="16"/>
  <c r="D155" i="16" s="1"/>
  <c r="Q151" i="16"/>
  <c r="P151" i="16"/>
  <c r="O151" i="16"/>
  <c r="N151" i="16"/>
  <c r="M151" i="16"/>
  <c r="L151" i="16"/>
  <c r="K151" i="16"/>
  <c r="J151" i="16"/>
  <c r="I151" i="16"/>
  <c r="H151" i="16"/>
  <c r="G151" i="16"/>
  <c r="D151" i="16"/>
  <c r="Q152" i="16"/>
  <c r="Q153" i="16" s="1"/>
  <c r="P152" i="16"/>
  <c r="P153" i="16" s="1"/>
  <c r="O152" i="16"/>
  <c r="O153" i="16" s="1"/>
  <c r="N152" i="16"/>
  <c r="N153" i="16" s="1"/>
  <c r="M152" i="16"/>
  <c r="M153" i="16" s="1"/>
  <c r="L152" i="16"/>
  <c r="L153" i="16" s="1"/>
  <c r="K152" i="16"/>
  <c r="K153" i="16" s="1"/>
  <c r="J152" i="16"/>
  <c r="J153" i="16" s="1"/>
  <c r="I152" i="16"/>
  <c r="I153" i="16" s="1"/>
  <c r="H152" i="16"/>
  <c r="H153" i="16" s="1"/>
  <c r="G152" i="16"/>
  <c r="F152" i="16"/>
  <c r="F153" i="16" s="1"/>
  <c r="Q144" i="16"/>
  <c r="P144" i="16"/>
  <c r="O144" i="16"/>
  <c r="N144" i="16"/>
  <c r="M144" i="16"/>
  <c r="L144" i="16"/>
  <c r="K144" i="16"/>
  <c r="J144" i="16"/>
  <c r="I144" i="16"/>
  <c r="H144" i="16"/>
  <c r="G144" i="16"/>
  <c r="F144" i="16"/>
  <c r="Q143" i="16"/>
  <c r="P143" i="16"/>
  <c r="O143" i="16"/>
  <c r="N143" i="16"/>
  <c r="M143" i="16"/>
  <c r="L143" i="16"/>
  <c r="K143" i="16"/>
  <c r="J143" i="16"/>
  <c r="I143" i="16"/>
  <c r="H143" i="16"/>
  <c r="G143" i="16"/>
  <c r="F143" i="16"/>
  <c r="J608" i="46"/>
  <c r="E586" i="46"/>
  <c r="D586" i="46"/>
  <c r="E81" i="46"/>
  <c r="G617" i="46" l="1"/>
  <c r="G153" i="16"/>
  <c r="D152" i="16"/>
  <c r="D153" i="16" s="1"/>
  <c r="E481" i="46"/>
  <c r="F481" i="46"/>
  <c r="G481" i="46"/>
  <c r="E482" i="46"/>
  <c r="F482" i="46"/>
  <c r="G482" i="46"/>
  <c r="D482" i="46"/>
  <c r="D481" i="46"/>
  <c r="E465" i="46"/>
  <c r="F465" i="46"/>
  <c r="G465" i="46"/>
  <c r="E466" i="46"/>
  <c r="F466" i="46"/>
  <c r="G466" i="46"/>
  <c r="E467" i="46"/>
  <c r="F467" i="46"/>
  <c r="G467" i="46"/>
  <c r="E468" i="46"/>
  <c r="F468" i="46"/>
  <c r="G468" i="46"/>
  <c r="D466" i="46"/>
  <c r="D467" i="46"/>
  <c r="D468" i="46"/>
  <c r="D465" i="46"/>
  <c r="E463" i="46"/>
  <c r="F463" i="46"/>
  <c r="G463" i="46"/>
  <c r="E464" i="46"/>
  <c r="F464" i="46"/>
  <c r="G464" i="46"/>
  <c r="D464" i="46"/>
  <c r="D463" i="46"/>
  <c r="E488" i="46"/>
  <c r="F488" i="46"/>
  <c r="G488" i="46"/>
  <c r="D488" i="46"/>
  <c r="E455" i="46"/>
  <c r="F455" i="46"/>
  <c r="G455" i="46"/>
  <c r="E456" i="46"/>
  <c r="F456" i="46"/>
  <c r="G456" i="46"/>
  <c r="E457" i="46"/>
  <c r="F457" i="46"/>
  <c r="G457" i="46"/>
  <c r="E458" i="46"/>
  <c r="F458" i="46"/>
  <c r="G458" i="46"/>
  <c r="D456" i="46"/>
  <c r="D457" i="46"/>
  <c r="D458" i="46"/>
  <c r="D455" i="46"/>
  <c r="E474" i="46"/>
  <c r="F474" i="46"/>
  <c r="G474" i="46"/>
  <c r="D474" i="46"/>
  <c r="I536" i="46"/>
  <c r="H536" i="46"/>
  <c r="H502" i="46" s="1"/>
  <c r="H503" i="46" s="1"/>
  <c r="M502" i="46"/>
  <c r="E502" i="46"/>
  <c r="F502" i="46"/>
  <c r="G502" i="46"/>
  <c r="J502" i="46"/>
  <c r="K502" i="46"/>
  <c r="L502" i="46"/>
  <c r="D502" i="46"/>
  <c r="M495" i="46"/>
  <c r="M496" i="46"/>
  <c r="M497" i="46"/>
  <c r="M494" i="46"/>
  <c r="L494" i="46"/>
  <c r="L495" i="46"/>
  <c r="L496" i="46"/>
  <c r="L497" i="46"/>
  <c r="D495" i="46"/>
  <c r="E495" i="46"/>
  <c r="F495" i="46"/>
  <c r="G495" i="46"/>
  <c r="J495" i="46"/>
  <c r="K495" i="46"/>
  <c r="D496" i="46"/>
  <c r="E496" i="46"/>
  <c r="F496" i="46"/>
  <c r="G496" i="46"/>
  <c r="J496" i="46"/>
  <c r="K496" i="46"/>
  <c r="D497" i="46"/>
  <c r="E497" i="46"/>
  <c r="F497" i="46"/>
  <c r="G497" i="46"/>
  <c r="J497" i="46"/>
  <c r="K497" i="46"/>
  <c r="E494" i="46"/>
  <c r="F494" i="46"/>
  <c r="G494" i="46"/>
  <c r="J494" i="46"/>
  <c r="K494" i="46"/>
  <c r="D494" i="46"/>
  <c r="J528" i="46"/>
  <c r="J468" i="46" s="1"/>
  <c r="J526" i="46"/>
  <c r="J466" i="46" s="1"/>
  <c r="J527" i="46"/>
  <c r="J467" i="46" s="1"/>
  <c r="J525" i="46"/>
  <c r="J465" i="46" s="1"/>
  <c r="I528" i="46"/>
  <c r="I468" i="46" s="1"/>
  <c r="H528" i="46"/>
  <c r="H468" i="46" s="1"/>
  <c r="H526" i="46"/>
  <c r="H466" i="46" s="1"/>
  <c r="I526" i="46"/>
  <c r="I466" i="46" s="1"/>
  <c r="H527" i="46"/>
  <c r="H467" i="46" s="1"/>
  <c r="I527" i="46"/>
  <c r="I467" i="46" s="1"/>
  <c r="I525" i="46"/>
  <c r="I465" i="46" s="1"/>
  <c r="H525" i="46"/>
  <c r="H465" i="46" s="1"/>
  <c r="J524" i="46"/>
  <c r="J482" i="46" s="1"/>
  <c r="J523" i="46"/>
  <c r="J481" i="46" s="1"/>
  <c r="H524" i="46"/>
  <c r="H482" i="46" s="1"/>
  <c r="I524" i="46"/>
  <c r="I482" i="46" s="1"/>
  <c r="I523" i="46"/>
  <c r="I481" i="46" s="1"/>
  <c r="H523" i="46"/>
  <c r="H481" i="46" s="1"/>
  <c r="I502" i="46"/>
  <c r="J522" i="46"/>
  <c r="J464" i="46" s="1"/>
  <c r="J521" i="46"/>
  <c r="J463" i="46" s="1"/>
  <c r="I522" i="46"/>
  <c r="I464" i="46" s="1"/>
  <c r="I521" i="46"/>
  <c r="I463" i="46" s="1"/>
  <c r="H522" i="46"/>
  <c r="H464" i="46" s="1"/>
  <c r="H521" i="46"/>
  <c r="H463" i="46" s="1"/>
  <c r="J520" i="46"/>
  <c r="J488" i="46" s="1"/>
  <c r="I520" i="46"/>
  <c r="I488" i="46" s="1"/>
  <c r="H520" i="46"/>
  <c r="H488" i="46" s="1"/>
  <c r="I535" i="46"/>
  <c r="I497" i="46" s="1"/>
  <c r="I534" i="46"/>
  <c r="I496" i="46" s="1"/>
  <c r="I533" i="46"/>
  <c r="I495" i="46" s="1"/>
  <c r="I532" i="46"/>
  <c r="I494" i="46" s="1"/>
  <c r="H535" i="46"/>
  <c r="H497" i="46" s="1"/>
  <c r="H534" i="46"/>
  <c r="H496" i="46" s="1"/>
  <c r="H533" i="46"/>
  <c r="H495" i="46" s="1"/>
  <c r="H532" i="46"/>
  <c r="J519" i="46"/>
  <c r="I519" i="46"/>
  <c r="I474" i="46" s="1"/>
  <c r="H519" i="46"/>
  <c r="J518" i="46"/>
  <c r="J458" i="46" s="1"/>
  <c r="J517" i="46"/>
  <c r="J457" i="46" s="1"/>
  <c r="J516" i="46"/>
  <c r="J456" i="46" s="1"/>
  <c r="J515" i="46"/>
  <c r="J455" i="46" s="1"/>
  <c r="I515" i="46"/>
  <c r="I455" i="46" s="1"/>
  <c r="I516" i="46"/>
  <c r="I456" i="46" s="1"/>
  <c r="I517" i="46"/>
  <c r="I457" i="46" s="1"/>
  <c r="I518" i="46"/>
  <c r="I458" i="46" s="1"/>
  <c r="H518" i="46"/>
  <c r="H458" i="46" s="1"/>
  <c r="H517" i="46"/>
  <c r="H457" i="46" s="1"/>
  <c r="H516" i="46"/>
  <c r="H456" i="46" s="1"/>
  <c r="H515" i="46"/>
  <c r="E510" i="46"/>
  <c r="E371" i="46"/>
  <c r="I561" i="46"/>
  <c r="E547" i="46"/>
  <c r="F371" i="46"/>
  <c r="H410" i="46" l="1"/>
  <c r="G692" i="46"/>
  <c r="I700" i="46" s="1"/>
  <c r="F692" i="46"/>
  <c r="F700" i="46" s="1"/>
  <c r="G700" i="46" s="1"/>
  <c r="I643" i="46"/>
  <c r="G639" i="46"/>
  <c r="F632" i="46"/>
  <c r="F626" i="46"/>
  <c r="H643" i="46"/>
  <c r="F639" i="46"/>
  <c r="I626" i="46"/>
  <c r="G643" i="46"/>
  <c r="H632" i="46"/>
  <c r="H626" i="46"/>
  <c r="J643" i="46"/>
  <c r="F643" i="46"/>
  <c r="G632" i="46"/>
  <c r="G626" i="46"/>
  <c r="F618" i="46"/>
  <c r="J474" i="46"/>
  <c r="I586" i="46"/>
  <c r="H474" i="46"/>
  <c r="F586" i="46"/>
  <c r="H455" i="46"/>
  <c r="H459" i="46" s="1"/>
  <c r="I543" i="46"/>
  <c r="H494" i="46"/>
  <c r="H498" i="46" s="1"/>
  <c r="E448" i="46" s="1"/>
  <c r="H572" i="46"/>
  <c r="J572" i="46"/>
  <c r="I572" i="46"/>
  <c r="H483" i="46"/>
  <c r="E446" i="46" s="1"/>
  <c r="H446" i="46" s="1"/>
  <c r="H469" i="46"/>
  <c r="E443" i="46" s="1"/>
  <c r="H443" i="46" s="1"/>
  <c r="H489" i="46"/>
  <c r="H552" i="46"/>
  <c r="I552" i="46" s="1"/>
  <c r="F391" i="46"/>
  <c r="I391" i="46"/>
  <c r="J391" i="46"/>
  <c r="K391" i="46"/>
  <c r="H581" i="46" l="1"/>
  <c r="I581" i="46"/>
  <c r="E442" i="46"/>
  <c r="G442" i="46" s="1"/>
  <c r="F435" i="46"/>
  <c r="I1134" i="46" s="1"/>
  <c r="E567" i="46"/>
  <c r="E566" i="46"/>
  <c r="H448" i="46"/>
  <c r="H442" i="46" l="1"/>
  <c r="E97" i="46" l="1"/>
  <c r="H1112" i="46" l="1"/>
  <c r="G888" i="46"/>
  <c r="F888" i="46"/>
  <c r="F857" i="46" s="1"/>
  <c r="F858" i="46" s="1"/>
  <c r="E888" i="46"/>
  <c r="E893" i="46" s="1"/>
  <c r="E898" i="46" s="1"/>
  <c r="E902" i="46" s="1"/>
  <c r="E905" i="46" s="1"/>
  <c r="D888" i="46"/>
  <c r="D893" i="46" s="1"/>
  <c r="D898" i="46" s="1"/>
  <c r="D902" i="46" s="1"/>
  <c r="D905" i="46" s="1"/>
  <c r="D858" i="46"/>
  <c r="D863" i="46" s="1"/>
  <c r="D868" i="46" s="1"/>
  <c r="D874" i="46" s="1"/>
  <c r="D879" i="46" s="1"/>
  <c r="E858" i="46"/>
  <c r="E863" i="46" s="1"/>
  <c r="E868" i="46" s="1"/>
  <c r="E874" i="46" s="1"/>
  <c r="E879" i="46" s="1"/>
  <c r="E849" i="46"/>
  <c r="D849" i="46"/>
  <c r="E848" i="46"/>
  <c r="D848" i="46"/>
  <c r="E788" i="46"/>
  <c r="E794" i="46" s="1"/>
  <c r="E800" i="46" s="1"/>
  <c r="E805" i="46" s="1"/>
  <c r="E809" i="46" s="1"/>
  <c r="D794" i="46"/>
  <c r="D800" i="46" s="1"/>
  <c r="D805" i="46" s="1"/>
  <c r="D809" i="46" s="1"/>
  <c r="J752" i="46"/>
  <c r="I752" i="46"/>
  <c r="H752" i="46"/>
  <c r="G752" i="46"/>
  <c r="F752" i="46"/>
  <c r="E744" i="46"/>
  <c r="E748" i="46" s="1"/>
  <c r="E752" i="46" s="1"/>
  <c r="E757" i="46" s="1"/>
  <c r="E760" i="46" s="1"/>
  <c r="E741" i="46"/>
  <c r="D741" i="46"/>
  <c r="D744" i="46" s="1"/>
  <c r="D748" i="46" s="1"/>
  <c r="D752" i="46" s="1"/>
  <c r="D757" i="46" s="1"/>
  <c r="D760" i="46" s="1"/>
  <c r="G733" i="46"/>
  <c r="E733" i="46"/>
  <c r="E737" i="46" s="1"/>
  <c r="D733" i="46"/>
  <c r="G662" i="46"/>
  <c r="F662" i="46"/>
  <c r="E700" i="46"/>
  <c r="J868" i="46"/>
  <c r="I868" i="46"/>
  <c r="H868" i="46"/>
  <c r="G868" i="46"/>
  <c r="I594" i="46"/>
  <c r="H594" i="46"/>
  <c r="G594" i="46"/>
  <c r="F594" i="46"/>
  <c r="G78" i="46"/>
  <c r="D405" i="46"/>
  <c r="D410" i="46" s="1"/>
  <c r="D415" i="46" s="1"/>
  <c r="D421" i="46" s="1"/>
  <c r="F400" i="46"/>
  <c r="F405" i="46" s="1"/>
  <c r="F410" i="46" s="1"/>
  <c r="F415" i="46" s="1"/>
  <c r="F421" i="46" s="1"/>
  <c r="F335" i="46"/>
  <c r="F345" i="46" s="1"/>
  <c r="E329" i="46"/>
  <c r="H329" i="46" s="1"/>
  <c r="E328" i="46"/>
  <c r="H328" i="46" s="1"/>
  <c r="E282" i="46"/>
  <c r="H282" i="46" s="1"/>
  <c r="E281" i="46"/>
  <c r="H281" i="46" s="1"/>
  <c r="D198" i="46"/>
  <c r="D204" i="46" s="1"/>
  <c r="E377" i="46"/>
  <c r="G857" i="46" l="1"/>
  <c r="G858" i="46"/>
  <c r="H475" i="46"/>
  <c r="E445" i="46" s="1"/>
  <c r="F1146" i="46"/>
  <c r="F350" i="46"/>
  <c r="H794" i="46"/>
  <c r="G663" i="46"/>
  <c r="H893" i="46"/>
  <c r="J893" i="46" s="1"/>
  <c r="G303" i="46"/>
  <c r="G400" i="46"/>
  <c r="G405" i="46" s="1"/>
  <c r="G410" i="46" s="1"/>
  <c r="F1160" i="46"/>
  <c r="G298" i="46"/>
  <c r="I298" i="46"/>
  <c r="G299" i="46"/>
  <c r="I350" i="46"/>
  <c r="G649" i="46"/>
  <c r="D228" i="46"/>
  <c r="D233" i="46" s="1"/>
  <c r="D243" i="46" s="1"/>
  <c r="H1093" i="46"/>
  <c r="E817" i="46"/>
  <c r="E593" i="46"/>
  <c r="G446" i="46"/>
  <c r="I874" i="46"/>
  <c r="G447" i="46"/>
  <c r="G444" i="46"/>
  <c r="E708" i="46"/>
  <c r="H748" i="46" s="1"/>
  <c r="E581" i="46"/>
  <c r="E617" i="46"/>
  <c r="E626" i="46" s="1"/>
  <c r="E632" i="46" s="1"/>
  <c r="E639" i="46" s="1"/>
  <c r="E643" i="46" s="1"/>
  <c r="E649" i="46" s="1"/>
  <c r="E608" i="46"/>
  <c r="E543" i="46"/>
  <c r="E572" i="46"/>
  <c r="E400" i="46"/>
  <c r="E405" i="46" s="1"/>
  <c r="E410" i="46" s="1"/>
  <c r="E415" i="46" s="1"/>
  <c r="E421" i="46" s="1"/>
  <c r="E552" i="46"/>
  <c r="E561" i="46" s="1"/>
  <c r="E198" i="46"/>
  <c r="H618" i="46"/>
  <c r="J700" i="46"/>
  <c r="F663" i="46"/>
  <c r="H561" i="46"/>
  <c r="F664" i="46" l="1"/>
  <c r="F665" i="46"/>
  <c r="E991" i="46"/>
  <c r="E995" i="46" s="1"/>
  <c r="E999" i="46" s="1"/>
  <c r="E1004" i="46" s="1"/>
  <c r="E1008" i="46" s="1"/>
  <c r="F867" i="46"/>
  <c r="F868" i="46"/>
  <c r="F821" i="46"/>
  <c r="F824" i="46"/>
  <c r="F820" i="46"/>
  <c r="F818" i="46"/>
  <c r="F822" i="46"/>
  <c r="I794" i="46"/>
  <c r="I800" i="46" s="1"/>
  <c r="I799" i="46" s="1"/>
  <c r="F714" i="46"/>
  <c r="F709" i="46"/>
  <c r="L415" i="46" s="1"/>
  <c r="F712" i="46"/>
  <c r="F771" i="46" s="1"/>
  <c r="F718" i="46"/>
  <c r="F710" i="46"/>
  <c r="F711" i="46"/>
  <c r="F748" i="46" s="1"/>
  <c r="H737" i="46"/>
  <c r="H445" i="46"/>
  <c r="F434" i="46"/>
  <c r="I1125" i="46" s="1"/>
  <c r="E539" i="46"/>
  <c r="J561" i="46"/>
  <c r="G377" i="46"/>
  <c r="G445" i="46"/>
  <c r="F1153" i="46"/>
  <c r="H1153" i="46" s="1"/>
  <c r="D238" i="46"/>
  <c r="D1146" i="46"/>
  <c r="D1153" i="46" s="1"/>
  <c r="D1160" i="46" s="1"/>
  <c r="G345" i="46"/>
  <c r="I1146" i="46"/>
  <c r="K1146" i="46" s="1"/>
  <c r="G239" i="46"/>
  <c r="J355" i="46"/>
  <c r="J360" i="46" s="1"/>
  <c r="I308" i="46"/>
  <c r="I259" i="46"/>
  <c r="G308" i="46"/>
  <c r="G313" i="46" s="1"/>
  <c r="G664" i="46"/>
  <c r="F355" i="46"/>
  <c r="F360" i="46" s="1"/>
  <c r="H1146" i="46"/>
  <c r="I355" i="46"/>
  <c r="H259" i="46"/>
  <c r="H264" i="46" s="1"/>
  <c r="H265" i="46" s="1"/>
  <c r="H238" i="46"/>
  <c r="H243" i="46" s="1"/>
  <c r="H244" i="46" s="1"/>
  <c r="H350" i="46"/>
  <c r="H355" i="46" s="1"/>
  <c r="H360" i="46" s="1"/>
  <c r="G618" i="46"/>
  <c r="H1160" i="46"/>
  <c r="H303" i="46"/>
  <c r="H308" i="46" s="1"/>
  <c r="H313" i="46" s="1"/>
  <c r="G346" i="46"/>
  <c r="I303" i="46"/>
  <c r="J308" i="46" s="1"/>
  <c r="J313" i="46" s="1"/>
  <c r="G238" i="46"/>
  <c r="G243" i="46" s="1"/>
  <c r="G244" i="46" s="1"/>
  <c r="I1153" i="46"/>
  <c r="K1153" i="46" s="1"/>
  <c r="G350" i="46"/>
  <c r="H627" i="46"/>
  <c r="I627" i="46"/>
  <c r="E555" i="46"/>
  <c r="O121" i="46" s="1"/>
  <c r="G411" i="46"/>
  <c r="H411" i="46" s="1"/>
  <c r="G415" i="46"/>
  <c r="E228" i="46"/>
  <c r="E204" i="46"/>
  <c r="I1147" i="46"/>
  <c r="K1147" i="46" s="1"/>
  <c r="F304" i="46"/>
  <c r="F351" i="46"/>
  <c r="F1161" i="46"/>
  <c r="H1161" i="46" s="1"/>
  <c r="H351" i="46"/>
  <c r="H356" i="46" s="1"/>
  <c r="H304" i="46"/>
  <c r="H309" i="46" s="1"/>
  <c r="H239" i="46"/>
  <c r="E594" i="46"/>
  <c r="F627" i="46"/>
  <c r="I309" i="46"/>
  <c r="I356" i="46"/>
  <c r="H633" i="46"/>
  <c r="G633" i="46"/>
  <c r="G627" i="46"/>
  <c r="I632" i="46"/>
  <c r="G406" i="46"/>
  <c r="I1154" i="46"/>
  <c r="K1154" i="46" s="1"/>
  <c r="I304" i="46"/>
  <c r="I351" i="46"/>
  <c r="H1099" i="46"/>
  <c r="G443" i="46"/>
  <c r="F633" i="46"/>
  <c r="G351" i="46"/>
  <c r="G304" i="46"/>
  <c r="G309" i="46" s="1"/>
  <c r="G401" i="46"/>
  <c r="F1154" i="46"/>
  <c r="H1154" i="46" s="1"/>
  <c r="I346" i="46"/>
  <c r="I299" i="46"/>
  <c r="F1147" i="46"/>
  <c r="H1147" i="46" s="1"/>
  <c r="F346" i="46"/>
  <c r="D298" i="46"/>
  <c r="D303" i="46" s="1"/>
  <c r="D308" i="46" s="1"/>
  <c r="D249" i="46"/>
  <c r="D254" i="46" s="1"/>
  <c r="D259" i="46" s="1"/>
  <c r="D264" i="46" s="1"/>
  <c r="F722" i="46" l="1"/>
  <c r="I212" i="46"/>
  <c r="K212" i="46" s="1"/>
  <c r="K213" i="46" s="1"/>
  <c r="F823" i="46"/>
  <c r="K415" i="46"/>
  <c r="J415" i="46" s="1"/>
  <c r="J794" i="46"/>
  <c r="G800" i="46" s="1"/>
  <c r="K712" i="46"/>
  <c r="G771" i="46" s="1"/>
  <c r="K711" i="46"/>
  <c r="G748" i="46" s="1"/>
  <c r="F713" i="46"/>
  <c r="F737" i="46"/>
  <c r="O125" i="46"/>
  <c r="G378" i="46"/>
  <c r="F389" i="46" s="1"/>
  <c r="F393" i="46" s="1"/>
  <c r="F394" i="46" s="1"/>
  <c r="K378" i="46"/>
  <c r="H916" i="46" s="1"/>
  <c r="H378" i="46"/>
  <c r="L378" i="46"/>
  <c r="H415" i="46"/>
  <c r="J314" i="46"/>
  <c r="J260" i="46"/>
  <c r="H361" i="46"/>
  <c r="F308" i="46"/>
  <c r="F313" i="46" s="1"/>
  <c r="L313" i="46" s="1"/>
  <c r="L314" i="46" s="1"/>
  <c r="J361" i="46"/>
  <c r="H260" i="46"/>
  <c r="K345" i="46"/>
  <c r="K350" i="46"/>
  <c r="K298" i="46"/>
  <c r="I260" i="46"/>
  <c r="G356" i="46"/>
  <c r="K303" i="46"/>
  <c r="G314" i="46"/>
  <c r="H314" i="46"/>
  <c r="F260" i="46"/>
  <c r="G355" i="46"/>
  <c r="G360" i="46" s="1"/>
  <c r="E556" i="46"/>
  <c r="O122" i="46" s="1"/>
  <c r="J309" i="46"/>
  <c r="I633" i="46"/>
  <c r="G259" i="46"/>
  <c r="I411" i="46"/>
  <c r="G448" i="46"/>
  <c r="F356" i="46"/>
  <c r="K346" i="46"/>
  <c r="K710" i="46"/>
  <c r="G737" i="46" s="1"/>
  <c r="E449" i="46"/>
  <c r="E575" i="46" s="1"/>
  <c r="J356" i="46"/>
  <c r="F309" i="46"/>
  <c r="K304" i="46"/>
  <c r="G421" i="46"/>
  <c r="G416" i="46"/>
  <c r="K820" i="46"/>
  <c r="K299" i="46"/>
  <c r="H401" i="46"/>
  <c r="I401" i="46"/>
  <c r="H389" i="46"/>
  <c r="H393" i="46" s="1"/>
  <c r="E1146" i="46"/>
  <c r="E1153" i="46" s="1"/>
  <c r="E1160" i="46" s="1"/>
  <c r="E233" i="46"/>
  <c r="E243" i="46" s="1"/>
  <c r="E238" i="46"/>
  <c r="K821" i="46"/>
  <c r="E335" i="46"/>
  <c r="H335" i="46" s="1"/>
  <c r="H336" i="46" s="1"/>
  <c r="E288" i="46"/>
  <c r="H288" i="46" s="1"/>
  <c r="H289" i="46" s="1"/>
  <c r="D345" i="46"/>
  <c r="D350" i="46" s="1"/>
  <c r="D355" i="46" s="1"/>
  <c r="D360" i="46" s="1"/>
  <c r="D313" i="46"/>
  <c r="H406" i="46"/>
  <c r="I406" i="46"/>
  <c r="K351" i="46"/>
  <c r="E327" i="46"/>
  <c r="H327" i="46" s="1"/>
  <c r="H330" i="46" s="1"/>
  <c r="H280" i="46"/>
  <c r="H283" i="46" s="1"/>
  <c r="H926" i="46" l="1"/>
  <c r="I917" i="46"/>
  <c r="J389" i="46"/>
  <c r="J393" i="46" s="1"/>
  <c r="G264" i="46"/>
  <c r="G265" i="46" s="1"/>
  <c r="L259" i="46"/>
  <c r="E274" i="46"/>
  <c r="H274" i="46" s="1"/>
  <c r="H275" i="46" s="1"/>
  <c r="E321" i="46"/>
  <c r="H321" i="46" s="1"/>
  <c r="H322" i="46" s="1"/>
  <c r="F715" i="46"/>
  <c r="F717" i="46" s="1"/>
  <c r="K717" i="46" s="1"/>
  <c r="E658" i="46"/>
  <c r="E656" i="46" s="1"/>
  <c r="E657" i="46" s="1"/>
  <c r="E565" i="46"/>
  <c r="G449" i="46"/>
  <c r="E430" i="46"/>
  <c r="I1111" i="46" s="1"/>
  <c r="F448" i="46"/>
  <c r="F442" i="46"/>
  <c r="I379" i="46"/>
  <c r="G379" i="46"/>
  <c r="L308" i="46"/>
  <c r="K379" i="46"/>
  <c r="H708" i="46"/>
  <c r="K389" i="46"/>
  <c r="K393" i="46" s="1"/>
  <c r="K394" i="46" s="1"/>
  <c r="L379" i="46"/>
  <c r="L355" i="46"/>
  <c r="L416" i="46"/>
  <c r="G260" i="46"/>
  <c r="H394" i="46"/>
  <c r="L309" i="46"/>
  <c r="F361" i="46"/>
  <c r="L356" i="46"/>
  <c r="H1104" i="46" s="1"/>
  <c r="H1105" i="46" s="1"/>
  <c r="I389" i="46"/>
  <c r="I393" i="46" s="1"/>
  <c r="I394" i="46" s="1"/>
  <c r="J379" i="46"/>
  <c r="G422" i="46"/>
  <c r="H422" i="46" s="1"/>
  <c r="J394" i="46"/>
  <c r="G361" i="46"/>
  <c r="L360" i="46"/>
  <c r="F314" i="46"/>
  <c r="F825" i="46"/>
  <c r="F827" i="46" s="1"/>
  <c r="H817" i="46"/>
  <c r="I823" i="46" s="1"/>
  <c r="H379" i="46"/>
  <c r="G389" i="46"/>
  <c r="G393" i="46" s="1"/>
  <c r="G394" i="46" s="1"/>
  <c r="E298" i="46"/>
  <c r="E303" i="46" s="1"/>
  <c r="E308" i="46" s="1"/>
  <c r="E249" i="46"/>
  <c r="E254" i="46" s="1"/>
  <c r="E259" i="46" s="1"/>
  <c r="E264" i="46" s="1"/>
  <c r="F449" i="46"/>
  <c r="E576" i="46"/>
  <c r="F446" i="46"/>
  <c r="F447" i="46"/>
  <c r="F444" i="46"/>
  <c r="F443" i="46"/>
  <c r="F445" i="46"/>
  <c r="I940" i="46" l="1"/>
  <c r="I938" i="46"/>
  <c r="I927" i="46"/>
  <c r="I930" i="46"/>
  <c r="I932" i="46"/>
  <c r="I929" i="46"/>
  <c r="I931" i="46"/>
  <c r="I933" i="46"/>
  <c r="I935" i="46"/>
  <c r="I936" i="46"/>
  <c r="H340" i="46"/>
  <c r="H293" i="46"/>
  <c r="I1092" i="46" s="1"/>
  <c r="I1093" i="46" s="1"/>
  <c r="I1112" i="46"/>
  <c r="I1118" i="46"/>
  <c r="I1119" i="46" s="1"/>
  <c r="L264" i="46"/>
  <c r="L265" i="46" s="1"/>
  <c r="L260" i="46"/>
  <c r="K714" i="46"/>
  <c r="I713" i="46"/>
  <c r="I711" i="46"/>
  <c r="I709" i="46"/>
  <c r="I710" i="46"/>
  <c r="I720" i="46"/>
  <c r="I712" i="46"/>
  <c r="I714" i="46"/>
  <c r="L361" i="46"/>
  <c r="E345" i="46"/>
  <c r="E350" i="46" s="1"/>
  <c r="E355" i="46" s="1"/>
  <c r="E360" i="46" s="1"/>
  <c r="E313" i="46"/>
  <c r="I830" i="46"/>
  <c r="I828" i="46"/>
  <c r="I832" i="46"/>
  <c r="I818" i="46"/>
  <c r="I824" i="46"/>
  <c r="I821" i="46"/>
  <c r="I820" i="46"/>
  <c r="I822" i="46"/>
  <c r="I715" i="46"/>
  <c r="I825" i="46"/>
  <c r="I718" i="46" l="1"/>
  <c r="I722" i="46"/>
  <c r="K827" i="46"/>
  <c r="I827" i="46"/>
  <c r="K824" i="46"/>
  <c r="H898" i="46" s="1"/>
  <c r="I717" i="4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Kati Jagnow</author>
  </authors>
  <commentList>
    <comment ref="D8" authorId="0" shapeId="0" xr:uid="{E2BE06D6-6944-4620-A7F9-E77DB45971EC}">
      <text>
        <r>
          <rPr>
            <b/>
            <sz val="9"/>
            <color indexed="81"/>
            <rFont val="Segoe UI"/>
            <family val="2"/>
          </rPr>
          <t>Kati Jagnow:</t>
        </r>
        <r>
          <rPr>
            <sz val="9"/>
            <color indexed="81"/>
            <rFont val="Segoe UI"/>
            <family val="2"/>
          </rPr>
          <t xml:space="preserve">
Menge fehlt hier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Kati Jagnow</author>
  </authors>
  <commentList>
    <comment ref="D5" authorId="0" shapeId="0" xr:uid="{A2529AA8-2C72-46BB-84C6-250962749907}">
      <text>
        <r>
          <rPr>
            <b/>
            <sz val="9"/>
            <color indexed="81"/>
            <rFont val="Segoe UI"/>
            <family val="2"/>
          </rPr>
          <t xml:space="preserve">Kati Jagnow:
</t>
        </r>
        <r>
          <rPr>
            <sz val="9"/>
            <color indexed="81"/>
            <rFont val="Segoe UI"/>
            <family val="2"/>
          </rPr>
          <t>unklar, müsste höher sein: 9283 (1275 zu wenig)</t>
        </r>
      </text>
    </comment>
    <comment ref="D35" authorId="0" shapeId="0" xr:uid="{632D7A05-C043-4EB0-B20A-5D2469AD93B8}">
      <text>
        <r>
          <rPr>
            <b/>
            <sz val="9"/>
            <color indexed="81"/>
            <rFont val="Segoe UI"/>
            <family val="2"/>
          </rPr>
          <t>Kati Jagnow:</t>
        </r>
        <r>
          <rPr>
            <sz val="9"/>
            <color indexed="81"/>
            <rFont val="Segoe UI"/>
            <family val="2"/>
          </rPr>
          <t xml:space="preserve">
unklar, müsste 5755 sein (3605 zu wenig)</t>
        </r>
      </text>
    </comment>
    <comment ref="D37" authorId="0" shapeId="0" xr:uid="{16A44AAC-B637-46C2-BC5E-787207D52C21}">
      <text>
        <r>
          <rPr>
            <b/>
            <sz val="9"/>
            <color indexed="81"/>
            <rFont val="Segoe UI"/>
            <family val="2"/>
          </rPr>
          <t>Kati Jagnow:</t>
        </r>
        <r>
          <rPr>
            <sz val="9"/>
            <color indexed="81"/>
            <rFont val="Segoe UI"/>
            <family val="2"/>
          </rPr>
          <t xml:space="preserve">
unklar, was das ist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Kati Jagnow</author>
  </authors>
  <commentList>
    <comment ref="E5" authorId="0" shapeId="0" xr:uid="{C62CD526-08AE-45D7-8927-68117963692E}">
      <text>
        <r>
          <rPr>
            <b/>
            <sz val="9"/>
            <color indexed="81"/>
            <rFont val="Segoe UI"/>
            <family val="2"/>
          </rPr>
          <t xml:space="preserve">Kati Jagnow:
</t>
        </r>
        <r>
          <rPr>
            <sz val="9"/>
            <color indexed="81"/>
            <rFont val="Segoe UI"/>
            <family val="2"/>
          </rPr>
          <t>unklar, müsste höher sein: 9283 (1275 zu wenig)</t>
        </r>
      </text>
    </comment>
    <comment ref="F35" authorId="0" shapeId="0" xr:uid="{B3DCE72A-9E0B-46A0-AA8F-974911E629C9}">
      <text>
        <r>
          <rPr>
            <b/>
            <sz val="9"/>
            <color indexed="81"/>
            <rFont val="Segoe UI"/>
            <family val="2"/>
          </rPr>
          <t>Kati Jagnow:</t>
        </r>
        <r>
          <rPr>
            <sz val="9"/>
            <color indexed="81"/>
            <rFont val="Segoe UI"/>
            <family val="2"/>
          </rPr>
          <t xml:space="preserve">
unklar, müsste 5755 sein (3605 zu wenig)</t>
        </r>
      </text>
    </comment>
    <comment ref="F37" authorId="0" shapeId="0" xr:uid="{E7F336B6-FA97-4B4E-BFF0-C3140A955EB3}">
      <text>
        <r>
          <rPr>
            <b/>
            <sz val="9"/>
            <color indexed="81"/>
            <rFont val="Segoe UI"/>
            <family val="2"/>
          </rPr>
          <t>Kati Jagnow:</t>
        </r>
        <r>
          <rPr>
            <sz val="9"/>
            <color indexed="81"/>
            <rFont val="Segoe UI"/>
            <family val="2"/>
          </rPr>
          <t xml:space="preserve">
unklar, was das ist</t>
        </r>
      </text>
    </comment>
    <comment ref="E39" authorId="0" shapeId="0" xr:uid="{AC93A77C-50D7-4889-9F4B-E223102C0A2B}">
      <text>
        <r>
          <rPr>
            <b/>
            <sz val="9"/>
            <color indexed="81"/>
            <rFont val="Segoe UI"/>
            <family val="2"/>
          </rPr>
          <t>Kati Jagnow:</t>
        </r>
        <r>
          <rPr>
            <sz val="9"/>
            <color indexed="81"/>
            <rFont val="Segoe UI"/>
            <family val="2"/>
          </rPr>
          <t xml:space="preserve">
unklar
müsste kleiner sein: 5131 (1276 zu viel)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Kati Jagnow</author>
  </authors>
  <commentList>
    <comment ref="D41" authorId="0" shapeId="0" xr:uid="{14C65C38-D3DE-442B-8F59-79423CD89625}">
      <text>
        <r>
          <rPr>
            <b/>
            <sz val="9"/>
            <color indexed="81"/>
            <rFont val="Segoe UI"/>
            <family val="2"/>
          </rPr>
          <t>Kati Jagnow:</t>
        </r>
        <r>
          <rPr>
            <sz val="9"/>
            <color indexed="81"/>
            <rFont val="Segoe UI"/>
            <family val="2"/>
          </rPr>
          <t xml:space="preserve">
Netz für Heizregister</t>
        </r>
      </text>
    </comment>
    <comment ref="D43" authorId="0" shapeId="0" xr:uid="{8505EFCF-B900-4A6E-AAF3-D8B0DED10169}">
      <text>
        <r>
          <rPr>
            <b/>
            <sz val="9"/>
            <color indexed="81"/>
            <rFont val="Segoe UI"/>
            <family val="2"/>
          </rPr>
          <t>Kati Jagnow:</t>
        </r>
        <r>
          <rPr>
            <sz val="9"/>
            <color indexed="81"/>
            <rFont val="Segoe UI"/>
            <family val="2"/>
          </rPr>
          <t xml:space="preserve">
das ist die vom TK bereitzustellende Wärmemenge; spricht dafür, dass incl. WRG, denn die Verteilverluste sind im Sommer null</t>
        </r>
      </text>
    </comment>
  </commentList>
</comments>
</file>

<file path=xl/sharedStrings.xml><?xml version="1.0" encoding="utf-8"?>
<sst xmlns="http://schemas.openxmlformats.org/spreadsheetml/2006/main" count="5641" uniqueCount="1402">
  <si>
    <t>Bezeichnung</t>
  </si>
  <si>
    <t>Formelzeichen</t>
  </si>
  <si>
    <t>Einheit</t>
  </si>
  <si>
    <t>Wert</t>
  </si>
  <si>
    <t>Monatseinheit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</si>
  <si>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</si>
  <si>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</si>
  <si>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</si>
  <si>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</si>
  <si>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</si>
  <si>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</si>
  <si>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</si>
  <si>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</si>
  <si>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</si>
  <si>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</si>
  <si>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</si>
  <si>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</si>
  <si>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Wärmetransferkoeffizient für Lüftung</t>
  </si>
  <si>
    <t>H_V</t>
  </si>
  <si>
    <t>W/K</t>
  </si>
  <si>
    <t>Wärmetransferkoeffizient für Infiltration</t>
  </si>
  <si>
    <t>H_V_inf</t>
  </si>
  <si>
    <t>Luftwechsel für Infiltration</t>
  </si>
  <si>
    <t>n_inf</t>
  </si>
  <si>
    <t>1/h</t>
  </si>
  <si>
    <t>Die Bestimmung der Luftdichtheit erfolgt mittels n_50.</t>
  </si>
  <si>
    <t>Luftwechsel</t>
  </si>
  <si>
    <t>n50</t>
  </si>
  <si>
    <t>Faktor zur Berücksichtigung der Aussenluftdurchlässe</t>
  </si>
  <si>
    <t>f_ADT</t>
  </si>
  <si>
    <t>-</t>
  </si>
  <si>
    <t>Bewertung der Infiltration bei mechanischen Lüftungsanlagen</t>
  </si>
  <si>
    <t>f_e</t>
  </si>
  <si>
    <t>Wärmetransferkoeffizient für Fensterlüftung</t>
  </si>
  <si>
    <t>H_V_win</t>
  </si>
  <si>
    <t>Luftwechsel für Fensterlüftung</t>
  </si>
  <si>
    <t>n_win</t>
  </si>
  <si>
    <t>Faktor zur saisonalen Anpassung</t>
  </si>
  <si>
    <t>f_win_seasonal</t>
  </si>
  <si>
    <t>Angepasster_Luftwechsel_fuer_Fensterlueftung</t>
  </si>
  <si>
    <t>n_win_mth</t>
  </si>
  <si>
    <t>Wärmetransferkoeffizient für mechanische Lüftung</t>
  </si>
  <si>
    <t>H_V_mech</t>
  </si>
  <si>
    <t>Luftwechsel durch die mechanische Lüftung</t>
  </si>
  <si>
    <t>n_mech</t>
  </si>
  <si>
    <t>Luftwechsel der Abluft durch die mechanische Lüftung</t>
  </si>
  <si>
    <t>n_mech_ETA</t>
  </si>
  <si>
    <t>Luftwechsel der Zuluft durch die mechanische Lüftung</t>
  </si>
  <si>
    <t>n_mech_ZUL</t>
  </si>
  <si>
    <t>Temperaturgewichteter Wärmetransferkoeffizient für mechanische Lüftung</t>
  </si>
  <si>
    <t>H_V_mech_theta</t>
  </si>
  <si>
    <t>Wärmetransferkoeffizient für Lüftung zwischen Zonen</t>
  </si>
  <si>
    <t>H_V_z</t>
  </si>
  <si>
    <t>Nutzungsbedingter Mindestaußenluftwechsel</t>
  </si>
  <si>
    <t>n_nutz</t>
  </si>
  <si>
    <t>kWh/mth</t>
  </si>
  <si>
    <t>kWh/a</t>
  </si>
  <si>
    <t>Q_prod</t>
  </si>
  <si>
    <t>Bonus z.B. duch KWK</t>
  </si>
  <si>
    <t>Q_l_b</t>
  </si>
  <si>
    <t>Beleuchtung</t>
  </si>
  <si>
    <t>Q_v_b</t>
  </si>
  <si>
    <t>Lüftung</t>
  </si>
  <si>
    <t>Q_c_b</t>
  </si>
  <si>
    <t>Kühlung</t>
  </si>
  <si>
    <t>Q_w_b</t>
  </si>
  <si>
    <t>Trinkwarmwasserbereitung</t>
  </si>
  <si>
    <t>Q_h_b</t>
  </si>
  <si>
    <t>Heizung</t>
  </si>
  <si>
    <t>Q_b</t>
  </si>
  <si>
    <t>Gesamt</t>
  </si>
  <si>
    <t>Raumheizung</t>
  </si>
  <si>
    <t>Hilfsenergie Raumheizung</t>
  </si>
  <si>
    <t>W_h_b</t>
  </si>
  <si>
    <t>Heizregister RLT</t>
  </si>
  <si>
    <t>Q_h_ac_b</t>
  </si>
  <si>
    <t>Hilfsenergie Heizregister RLT</t>
  </si>
  <si>
    <t>W_h_ac_b</t>
  </si>
  <si>
    <t>Hilfsenergie Wohnungslüftung</t>
  </si>
  <si>
    <t>W_rv_b</t>
  </si>
  <si>
    <t>W_w_b</t>
  </si>
  <si>
    <t>Hilfsenergie Trinkwarmwasser</t>
  </si>
  <si>
    <t>Trinkwarmwasser</t>
  </si>
  <si>
    <t>Q_l_f</t>
  </si>
  <si>
    <t>Q_v_f</t>
  </si>
  <si>
    <t>Q_c_f</t>
  </si>
  <si>
    <t>Q_w_f</t>
  </si>
  <si>
    <t>Q_h_f</t>
  </si>
  <si>
    <t>Q_f</t>
  </si>
  <si>
    <t>W_w_f</t>
  </si>
  <si>
    <t>Q_l_p</t>
  </si>
  <si>
    <t>Q_v_p</t>
  </si>
  <si>
    <t>Q_c_p</t>
  </si>
  <si>
    <t>Q_w_p</t>
  </si>
  <si>
    <t>Q_h_p</t>
  </si>
  <si>
    <t>Q_p</t>
  </si>
  <si>
    <t>W_h_f</t>
  </si>
  <si>
    <t>Q_h_ac_f</t>
  </si>
  <si>
    <t>W_h_ac_f</t>
  </si>
  <si>
    <t>W_rv_f</t>
  </si>
  <si>
    <t>Q_prod_f</t>
  </si>
  <si>
    <t>Produzierte Energie</t>
  </si>
  <si>
    <t>W_w_p</t>
  </si>
  <si>
    <t>W_rv_p</t>
  </si>
  <si>
    <t>W_h_ac_p</t>
  </si>
  <si>
    <t>Q_h_ac_p</t>
  </si>
  <si>
    <t>W_h_p</t>
  </si>
  <si>
    <t>Q_prod_p</t>
  </si>
  <si>
    <t>Q(h_rv,aux,ce)</t>
  </si>
  <si>
    <t>Übergabe</t>
  </si>
  <si>
    <t>Q(h_rv,aux,d)</t>
  </si>
  <si>
    <t>Verteilung</t>
  </si>
  <si>
    <t>Q(h_rv,aux,s)</t>
  </si>
  <si>
    <t>Speicherung</t>
  </si>
  <si>
    <t>Q(h_rv,aux,g)</t>
  </si>
  <si>
    <t>Erzeugung</t>
  </si>
  <si>
    <t>Q(h_rv,aux)</t>
  </si>
  <si>
    <t>Hilfsenergie Wohnungslüftungssystem</t>
  </si>
  <si>
    <t>Wohnungslüftungssystem</t>
  </si>
  <si>
    <t>Q(h_r,aux,ce)</t>
  </si>
  <si>
    <t>Q(h_r,aux,d)</t>
  </si>
  <si>
    <t>Q(h_r,aux,s)</t>
  </si>
  <si>
    <t>Q(h_r,aux,g)</t>
  </si>
  <si>
    <t>Q(h_r,aux)</t>
  </si>
  <si>
    <t>Hilfsenergie Absorptionskältemaschine</t>
  </si>
  <si>
    <t>Wärme Absorptionskältemaschine</t>
  </si>
  <si>
    <t>Q(h_ac,aux,ce)</t>
  </si>
  <si>
    <t>Q(h_ac,aux,d)</t>
  </si>
  <si>
    <t>Q(h_ac,aux,s)</t>
  </si>
  <si>
    <t>Q(h_ac,aux,g)</t>
  </si>
  <si>
    <t>Q(w,aux)</t>
  </si>
  <si>
    <t>Q(h,aux,ce)</t>
  </si>
  <si>
    <t>Q(h,aux,d)</t>
  </si>
  <si>
    <t>Q(h,aux,s)</t>
  </si>
  <si>
    <t>Q(h,aux,g)</t>
  </si>
  <si>
    <t>Q(h,aux)</t>
  </si>
  <si>
    <t>Hilfsenergie Wärme</t>
  </si>
  <si>
    <t>Hilfsenergien</t>
  </si>
  <si>
    <t>Wärme für Wohnungsstationen</t>
  </si>
  <si>
    <t>Q(h_rv,b)</t>
  </si>
  <si>
    <t>Nutzwärmebedarf</t>
  </si>
  <si>
    <t>Q(h_rv,ce)</t>
  </si>
  <si>
    <t>Verluste der Übergabe</t>
  </si>
  <si>
    <t>Q(h_rv,d)</t>
  </si>
  <si>
    <t>Verluste der Verteilung</t>
  </si>
  <si>
    <t>Q(h_rv,s)</t>
  </si>
  <si>
    <t>Verluste der Speicherung</t>
  </si>
  <si>
    <t>Q(h_rv,outg)</t>
  </si>
  <si>
    <t>Erzeugernutzwärmeabgabe</t>
  </si>
  <si>
    <t>Q(h_rv,reg)</t>
  </si>
  <si>
    <t>Regenerativer Energieeintrag</t>
  </si>
  <si>
    <t>Q(h_rv,g)</t>
  </si>
  <si>
    <t>Verluste der Erzeugung</t>
  </si>
  <si>
    <t>Q(h_rv,f,Bonus_CHP)</t>
  </si>
  <si>
    <t>Endenergie Bonus KWK</t>
  </si>
  <si>
    <t>Q(h_rv,f)</t>
  </si>
  <si>
    <t>Endenergie Wohnungslüftungssystem</t>
  </si>
  <si>
    <t>Q(h_r,b)</t>
  </si>
  <si>
    <t>Q(h_r,ce)</t>
  </si>
  <si>
    <t>Q(h_r,d)</t>
  </si>
  <si>
    <t>Q(h_r,s)</t>
  </si>
  <si>
    <t>Q(h_r,outg)</t>
  </si>
  <si>
    <t>Q(h_r,reg)</t>
  </si>
  <si>
    <t>Q(h,_rg)</t>
  </si>
  <si>
    <t>Q(h_r,f,Bonus_CHP)</t>
  </si>
  <si>
    <t>Q(h_r,f)</t>
  </si>
  <si>
    <t>Endenergiebedarf Absorptionskältemaschine</t>
  </si>
  <si>
    <t>Q(h*,b)</t>
  </si>
  <si>
    <t>Q(h*,ce)</t>
  </si>
  <si>
    <t>Q(h*,d)</t>
  </si>
  <si>
    <t>Q(h*,s)</t>
  </si>
  <si>
    <t>Q(h*,outg)</t>
  </si>
  <si>
    <t>Q(h*,reg)</t>
  </si>
  <si>
    <t>Q(h*,g)</t>
  </si>
  <si>
    <t>Q(h*,f,Bonus_CHP)</t>
  </si>
  <si>
    <t>Q(h*,f)</t>
  </si>
  <si>
    <t>Endenergie Heizregister RLT</t>
  </si>
  <si>
    <t>Q(h,b)</t>
  </si>
  <si>
    <t>Q(h,ce)</t>
  </si>
  <si>
    <t>Q(h,d)</t>
  </si>
  <si>
    <t>Q(h,s)</t>
  </si>
  <si>
    <t>Q(h,outg)</t>
  </si>
  <si>
    <t>Q(h,reg)</t>
  </si>
  <si>
    <t>Q(h,g)</t>
  </si>
  <si>
    <t>Q(h,f,Bonus_CHP)</t>
  </si>
  <si>
    <t>Q(h,f)</t>
  </si>
  <si>
    <t>Endenergie Wärme</t>
  </si>
  <si>
    <t>Wärme</t>
  </si>
  <si>
    <t>Endenergie Heizsystem</t>
  </si>
  <si>
    <t>Strom-Mix</t>
  </si>
  <si>
    <t>Heizöl EL</t>
  </si>
  <si>
    <t>H'T</t>
  </si>
  <si>
    <t>Summe Zone</t>
  </si>
  <si>
    <t>FE-1-w</t>
  </si>
  <si>
    <t>AW-1-w</t>
  </si>
  <si>
    <t>Haustür-1-n</t>
  </si>
  <si>
    <t>Boden-1</t>
  </si>
  <si>
    <t>FE-1-o</t>
  </si>
  <si>
    <t>AW-1-o</t>
  </si>
  <si>
    <t>Gaubendach-2-n</t>
  </si>
  <si>
    <t>Fenster Wintergarten-1-s</t>
  </si>
  <si>
    <t>Innenwand Wintergarten-1</t>
  </si>
  <si>
    <t>FE-1-n</t>
  </si>
  <si>
    <t>AW-1-n</t>
  </si>
  <si>
    <t>FE-2-n</t>
  </si>
  <si>
    <t>Gaubenfront-2-n</t>
  </si>
  <si>
    <t>Gaubenseite-2-w</t>
  </si>
  <si>
    <t>Gaubenseite-2-o</t>
  </si>
  <si>
    <t>FE-1-s</t>
  </si>
  <si>
    <t>AW-1-s</t>
  </si>
  <si>
    <t>DFF-1</t>
  </si>
  <si>
    <t>Dach-1-n</t>
  </si>
  <si>
    <t>Dach-1-s</t>
  </si>
  <si>
    <t>Bauteile</t>
  </si>
  <si>
    <t>Ergebnisse HT</t>
  </si>
  <si>
    <t>Zone Wohnen</t>
  </si>
  <si>
    <t>Transmission gesamt</t>
  </si>
  <si>
    <t>Transmission über Wärmebrücken</t>
  </si>
  <si>
    <t>Wärmebrücken-Zuschlag</t>
  </si>
  <si>
    <t>Transmission ohne Wärmebrücken</t>
  </si>
  <si>
    <t>FX-Wert</t>
  </si>
  <si>
    <t>U-Wert</t>
  </si>
  <si>
    <t>Fläche</t>
  </si>
  <si>
    <t>Bauteil</t>
  </si>
  <si>
    <t>kW</t>
  </si>
  <si>
    <t>Qdot_V_mech_min</t>
  </si>
  <si>
    <t>mittlere Wärmeleistung für mechanische Lüftung</t>
  </si>
  <si>
    <t>Qdot_V_max</t>
  </si>
  <si>
    <t>mittlere Wärmeleistung für Lüftung ohne mechanische Lüftung</t>
  </si>
  <si>
    <t>Qdot_T_max</t>
  </si>
  <si>
    <t>mittlere Wärmeleistung für Transmission</t>
  </si>
  <si>
    <t>Qdot_h_max_res</t>
  </si>
  <si>
    <t>Maximale Heizleistung für den Auslegungstag mit mechanischer Lüftung</t>
  </si>
  <si>
    <t>Q_h_max</t>
  </si>
  <si>
    <t>Maximale Heizleistung für den Auslegungstag ohne mechanische Lüftung</t>
  </si>
  <si>
    <t>h/mth</t>
  </si>
  <si>
    <t>h/a</t>
  </si>
  <si>
    <t>t_h_we</t>
  </si>
  <si>
    <t>Heizzeit an Nicht-Nutzungstagen</t>
  </si>
  <si>
    <t>°C</t>
  </si>
  <si>
    <t>theta_ih</t>
  </si>
  <si>
    <t>Bilanzinnentemperatur</t>
  </si>
  <si>
    <t>d/mth</t>
  </si>
  <si>
    <t>d/a</t>
  </si>
  <si>
    <t>dwe</t>
  </si>
  <si>
    <t>Nicht-Nutzungstage</t>
  </si>
  <si>
    <t>H_T_S</t>
  </si>
  <si>
    <t>Wärmetransferkoeffizient für Transmission über das Erdreich</t>
  </si>
  <si>
    <t>H_T_iz</t>
  </si>
  <si>
    <t>Wärmetransferkoeffizient für Transmission zwischen beheizter und benachbarter beheizter Gebäudezone</t>
  </si>
  <si>
    <t>H_T_iu</t>
  </si>
  <si>
    <t>Wärmetransferkoeffizient für Transmission zwischen beheizter und unbeheizter Gebäudezone</t>
  </si>
  <si>
    <t>H_T_D</t>
  </si>
  <si>
    <t>Wärmetransferkoeffizient für Transmission zwischen beheizter Gebäudezone und Außenluft</t>
  </si>
  <si>
    <t>H_T</t>
  </si>
  <si>
    <t>Wärmetransferkoeffizient für Transmission</t>
  </si>
  <si>
    <t>H</t>
  </si>
  <si>
    <t>Wärmetransferkoeffizient</t>
  </si>
  <si>
    <t>h</t>
  </si>
  <si>
    <t>tau</t>
  </si>
  <si>
    <t>Zeitkonstante der Gebäudezone</t>
  </si>
  <si>
    <t>eta</t>
  </si>
  <si>
    <t>Ausnutzungsgrad</t>
  </si>
  <si>
    <t>kWh</t>
  </si>
  <si>
    <t>delta_Q_C_b</t>
  </si>
  <si>
    <t>die während des reduzierten Betriebs an Wochenend- oder Ferientage genutzte aus den Bauteilen entspeicherte Wärme</t>
  </si>
  <si>
    <t>Q_I_source_goods</t>
  </si>
  <si>
    <t>Wärmeeintrag durch in die Gebäudezone eingebrachte Güter mit Temperaturen über der Bilanz-Innentemperatur</t>
  </si>
  <si>
    <t>Q_I_source_fac</t>
  </si>
  <si>
    <t>Wärmeeintrag durch Geräte oder Maschinen</t>
  </si>
  <si>
    <t>Q_I_source_p</t>
  </si>
  <si>
    <t>Wärmeeintrag durch Personen</t>
  </si>
  <si>
    <t>Q_I_source_L</t>
  </si>
  <si>
    <t>Wärmeeintrag durch künstliche Beleuchtung</t>
  </si>
  <si>
    <t>Q_I_ch</t>
  </si>
  <si>
    <t>ungeregelter Wärmeeintrag in die Zone durch das Kühlsystem der Kälteerzeugung</t>
  </si>
  <si>
    <t>Q_I_vh</t>
  </si>
  <si>
    <t>ungeregelter Wärmeeintrag in die Zone durch mechanische Lüftung</t>
  </si>
  <si>
    <t>Q_I_h</t>
  </si>
  <si>
    <t>ungeregelter Wärmeeintrag in die Zone durch das Heizungssystem</t>
  </si>
  <si>
    <t>Q_I_w</t>
  </si>
  <si>
    <t>ungeregelter Wärmeeintrag in die Zone durch das Trinkwarmwassersystem</t>
  </si>
  <si>
    <t>Q_I_source_h</t>
  </si>
  <si>
    <t>Wärmeeintrag durch Heiz- und Kühlsysteme</t>
  </si>
  <si>
    <t>Q_I_source</t>
  </si>
  <si>
    <t>Interne Wärmequellen</t>
  </si>
  <si>
    <t>Q_V_inf</t>
  </si>
  <si>
    <t>Lüftungswärmequellen durch Infiltration von Außenluft</t>
  </si>
  <si>
    <t>Q_V_win</t>
  </si>
  <si>
    <t>Lüftungswärmequellen durch Fensterlüftung</t>
  </si>
  <si>
    <t>Q_V_mech</t>
  </si>
  <si>
    <t>Wärmeeinträge durch mechanische Lüftungsanlagen</t>
  </si>
  <si>
    <t>Q_V_Z</t>
  </si>
  <si>
    <t>Lüftungswärmequellen durch Luftaustausch von/zu anderen Zonen</t>
  </si>
  <si>
    <t>Q_V</t>
  </si>
  <si>
    <t>Lüftungswärmequellen</t>
  </si>
  <si>
    <t>Q_T_s</t>
  </si>
  <si>
    <t>Transmission zum Erdreich</t>
  </si>
  <si>
    <t>Q_T_z</t>
  </si>
  <si>
    <t>Transmission zu angrenzenden beheizten oder gekühlten_Zonen</t>
  </si>
  <si>
    <t>Q_T_u</t>
  </si>
  <si>
    <t>Transmission zu angrenzenden unbeheizten Gebäudezonen oder Vorbauten</t>
  </si>
  <si>
    <t>Q_T_e</t>
  </si>
  <si>
    <t>Transmission durch Außenbauteile</t>
  </si>
  <si>
    <t>Q_T</t>
  </si>
  <si>
    <t>Transmissionswärmequellen</t>
  </si>
  <si>
    <t>Q_s_op_TI</t>
  </si>
  <si>
    <t>Wärmequellen durch Einstrahlung auf opake Flächen mit transparenter Wärmedämmung</t>
  </si>
  <si>
    <t>Q_s_op</t>
  </si>
  <si>
    <t>Wärmequellen durch Einstrahlung auf opake Flächen</t>
  </si>
  <si>
    <t>Q_s_tr</t>
  </si>
  <si>
    <t>Wärmequellen durch Einstrahlung auf transparente Flächen</t>
  </si>
  <si>
    <t>Q_s</t>
  </si>
  <si>
    <t>Solare Wärmeeinträge</t>
  </si>
  <si>
    <t>Q_source</t>
  </si>
  <si>
    <t>Wärmequellen</t>
  </si>
  <si>
    <t>delta_Q_C_sink</t>
  </si>
  <si>
    <t>die an Tagen mit normalen Betrieb gespeicherte Wärme, die an Tagen mit reduziertem Betrieb entspeichert wird</t>
  </si>
  <si>
    <t>Abstrahlverluste durch opake Bauteile</t>
  </si>
  <si>
    <t>Q_I_sink_goods</t>
  </si>
  <si>
    <t>Kälteeintrag durch in die Gebäudezone eingebrachte Güter mit Temperaturen unter der Innentemperatur</t>
  </si>
  <si>
    <t>Q_I_sink_fac</t>
  </si>
  <si>
    <t>Kälteeintrag durch Geräte oder Maschinen</t>
  </si>
  <si>
    <t>Q_I_c</t>
  </si>
  <si>
    <t>ungeregelter Kälteeintrag in die Zone durch das Kühlsystem die Kälteerzeugung</t>
  </si>
  <si>
    <t>Q_I_vc</t>
  </si>
  <si>
    <t>ungeregelter Kälteeintrag in die Zone durch mechanische Belüftung</t>
  </si>
  <si>
    <t>Q_I_sink_c</t>
  </si>
  <si>
    <t>Kälteeintrag durch Kühlsysteme</t>
  </si>
  <si>
    <t>Q_I_sink</t>
  </si>
  <si>
    <t>Interne Wärmesenken</t>
  </si>
  <si>
    <t>Lüftungswärmesenken durch Infiltration von Außenluft</t>
  </si>
  <si>
    <t>Lüftungswärmesenken durch Fensterlüftung</t>
  </si>
  <si>
    <t>Kälteeinträge durch mechanische Lüftungsanlagen</t>
  </si>
  <si>
    <t>Lüftungswärmesenken durch Luftaustausch von/zu anderen Zonen</t>
  </si>
  <si>
    <t>Lüftungswärmesenken</t>
  </si>
  <si>
    <t>Transmissionswärmesenken</t>
  </si>
  <si>
    <t>Q_sink</t>
  </si>
  <si>
    <t>Wärmesenken</t>
  </si>
  <si>
    <t>Qh_bwe</t>
  </si>
  <si>
    <t>Nutzenergie Nicht-Nutzungstage</t>
  </si>
  <si>
    <t>t_h_nutz</t>
  </si>
  <si>
    <t>Heizzeit an Nutzungstagen</t>
  </si>
  <si>
    <t>dnutz</t>
  </si>
  <si>
    <t>Nutzungstage</t>
  </si>
  <si>
    <t>Qh_bnutz</t>
  </si>
  <si>
    <t>Nutzenergie Nutzungstage</t>
  </si>
  <si>
    <t>Qh_b</t>
  </si>
  <si>
    <t>Nutzenergie Heizen</t>
  </si>
  <si>
    <t>Q(w,aux,ce)</t>
  </si>
  <si>
    <t>Q(w,aux,d)</t>
  </si>
  <si>
    <t>Q(w,aux,s)</t>
  </si>
  <si>
    <t>Q(w,aux,g)</t>
  </si>
  <si>
    <t>Q(w,b)</t>
  </si>
  <si>
    <t>Q(w,ce)</t>
  </si>
  <si>
    <t>Q(w,d)</t>
  </si>
  <si>
    <t>Q(w,s)</t>
  </si>
  <si>
    <t>Q(w,outg)</t>
  </si>
  <si>
    <t>Q(w,reg)</t>
  </si>
  <si>
    <t>Q(w,g)</t>
  </si>
  <si>
    <t>Q(w,f,Bonus_CHP)</t>
  </si>
  <si>
    <t>Q(w,f)</t>
  </si>
  <si>
    <t>Endenergie Trinkwarmwasser</t>
  </si>
  <si>
    <t>Endenergiebedarf Trinkwarmwasser</t>
  </si>
  <si>
    <t>Heizöl EL kWh/mth</t>
  </si>
  <si>
    <t>Stromerzeugung kWh/mth</t>
  </si>
  <si>
    <t>Kühlung kWh/mth</t>
  </si>
  <si>
    <t>Belüftung kWh/mth</t>
  </si>
  <si>
    <t>Beleuchtung kWh/mth</t>
  </si>
  <si>
    <t>Trinkwarmwasser kWh/mth</t>
  </si>
  <si>
    <t>Heizung kWh/mth</t>
  </si>
  <si>
    <t>Primärenergie kWh/mth</t>
  </si>
  <si>
    <t>elektrischer Strom gemäß EnEV 09 Anhang 1 2.1.1 kWh/mth</t>
  </si>
  <si>
    <t>W/m²K</t>
  </si>
  <si>
    <t>Bestehender Wert des spezifischen Transmissionswärmetrransferkoeffizienten</t>
  </si>
  <si>
    <t>Höchstwert (zulässiger Wert) des spezifischen Transmissionswärmetrransferkoeffizienten</t>
  </si>
  <si>
    <t>Bestehender Wert des Transmissionswärmetrransferkoeffizienten, multipliziert mit Temperaturkorrekturfaktoren</t>
  </si>
  <si>
    <t>Erzeugter Strom</t>
  </si>
  <si>
    <t>Kälte</t>
  </si>
  <si>
    <t>Belüftung</t>
  </si>
  <si>
    <t>Summe</t>
  </si>
  <si>
    <t>Primärenergiebedarf Istgebäude (EnEV)</t>
  </si>
  <si>
    <t>Primärenergiebedarf Referenzgebäude (EnEV)</t>
  </si>
  <si>
    <t>m³</t>
  </si>
  <si>
    <t>Bruttovolumen</t>
  </si>
  <si>
    <t>m²</t>
  </si>
  <si>
    <t>Nutzfläche</t>
  </si>
  <si>
    <t>Geometrie</t>
  </si>
  <si>
    <t>Wohngebäude</t>
  </si>
  <si>
    <t>Höchstwerte der Wärmedurchgangskoeffizienten</t>
  </si>
  <si>
    <t>Nettogrundfläche</t>
  </si>
  <si>
    <t>Nichtwohngebäude</t>
  </si>
  <si>
    <t>Hilfsenergie Wohnungslüftungsanlage kWh/mth</t>
  </si>
  <si>
    <t>Wohnungslüftungsanlage kWh/mth</t>
  </si>
  <si>
    <t>Hilfsenergie Heizregister kWh/mth</t>
  </si>
  <si>
    <t>Heizregister kWh/mth</t>
  </si>
  <si>
    <t>Hilfsenergie Raumheizung kWh/mth</t>
  </si>
  <si>
    <t>Raumheizung kWh/mth</t>
  </si>
  <si>
    <t>Hilfsen. Belüftung kWh/mth</t>
  </si>
  <si>
    <t>Hilfsen. Trinkwarmwasser kWh/mth</t>
  </si>
  <si>
    <t>Heizöl ELkg/a</t>
  </si>
  <si>
    <t>elektrischer Strom gemäß EnEV 09 Anhang 1 2.1.1kg/a</t>
  </si>
  <si>
    <t>CxHy</t>
  </si>
  <si>
    <t>NO2</t>
  </si>
  <si>
    <t>SO2</t>
  </si>
  <si>
    <t>CO2</t>
  </si>
  <si>
    <t>CO</t>
  </si>
  <si>
    <t>Name</t>
  </si>
  <si>
    <t>Erzeugerendenergie</t>
  </si>
  <si>
    <t>%</t>
  </si>
  <si>
    <t>Energieanteil des Erzeugers an der Nutzwärmeabgabe</t>
  </si>
  <si>
    <t>Endenergie Trinkwarmwassersystem</t>
  </si>
  <si>
    <t>Primärenergiebedarf</t>
  </si>
  <si>
    <t>spezifischer Transmissionswärmeverlust</t>
  </si>
  <si>
    <t>Transmissionswärmetransferkoeffizient</t>
  </si>
  <si>
    <t>Gebäudehülle</t>
  </si>
  <si>
    <t>Wärmeübertragende Hüllfläche</t>
  </si>
  <si>
    <t>PV</t>
  </si>
  <si>
    <t>Nutzenergie kWh/mth</t>
  </si>
  <si>
    <t>Wärmeverluste der Erzeugung</t>
  </si>
  <si>
    <t>Endenergie kWh/mth</t>
  </si>
  <si>
    <r>
      <t>1</t>
    </r>
    <r>
      <rPr>
        <b/>
        <sz val="7"/>
        <rFont val="Times New Roman"/>
        <family val="1"/>
      </rPr>
      <t xml:space="preserve">         </t>
    </r>
    <r>
      <rPr>
        <b/>
        <sz val="14"/>
        <rFont val="Cambria"/>
        <family val="1"/>
      </rPr>
      <t>Allgemeine Projektdaten</t>
    </r>
  </si>
  <si>
    <r>
      <t>1.1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Projektname</t>
    </r>
  </si>
  <si>
    <t>Ausführlicher Projekttitel</t>
  </si>
  <si>
    <t>Kurzprojekttitel</t>
  </si>
  <si>
    <r>
      <t>1.2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Projektart</t>
    </r>
  </si>
  <si>
    <t>U</t>
  </si>
  <si>
    <t>öffentlich-rechtlicher Nachweis</t>
  </si>
  <si>
    <t></t>
  </si>
  <si>
    <t>Nachweis für Förderung</t>
  </si>
  <si>
    <t>Energieberatung</t>
  </si>
  <si>
    <t>anderes Projekt</t>
  </si>
  <si>
    <r>
      <t>1.3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Variante</t>
    </r>
  </si>
  <si>
    <t>Referenzgebäude</t>
  </si>
  <si>
    <t>zu bewertendes Gebäude</t>
  </si>
  <si>
    <t>Name der Variante :</t>
  </si>
  <si>
    <r>
      <t>1.4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Normenfassung</t>
    </r>
  </si>
  <si>
    <t>DIN V 18599 Ausgabe</t>
  </si>
  <si>
    <r>
      <t>1.5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Software</t>
    </r>
  </si>
  <si>
    <t>Hersteller</t>
  </si>
  <si>
    <t>Softwareplus</t>
  </si>
  <si>
    <t>Programm</t>
  </si>
  <si>
    <t>Nachweisplus</t>
  </si>
  <si>
    <t>Version</t>
  </si>
  <si>
    <t>1.23.456.7890</t>
  </si>
  <si>
    <r>
      <t>1.6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Adressdaten</t>
    </r>
  </si>
  <si>
    <t>Objekt</t>
  </si>
  <si>
    <t>Straße, Nr.</t>
  </si>
  <si>
    <t>PLZ</t>
  </si>
  <si>
    <t>Ort</t>
  </si>
  <si>
    <t>Beispielstadt</t>
  </si>
  <si>
    <t>Erstellung</t>
  </si>
  <si>
    <t>Beratungsbüro</t>
  </si>
  <si>
    <t>der Bilanz</t>
  </si>
  <si>
    <t>Mustermann</t>
  </si>
  <si>
    <t>Beispielplatz 34</t>
  </si>
  <si>
    <t>Beispielort</t>
  </si>
  <si>
    <r>
      <t>2</t>
    </r>
    <r>
      <rPr>
        <b/>
        <sz val="7"/>
        <rFont val="Times New Roman"/>
        <family val="1"/>
      </rPr>
      <t xml:space="preserve">         </t>
    </r>
    <r>
      <rPr>
        <b/>
        <sz val="14"/>
        <rFont val="Cambria"/>
        <family val="1"/>
      </rPr>
      <t>Allgemeine Objektdaten</t>
    </r>
  </si>
  <si>
    <r>
      <t>2.1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Baujahr</t>
    </r>
  </si>
  <si>
    <t>Baujahr:</t>
  </si>
  <si>
    <r>
      <t>2.2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Projekteinordnung</t>
    </r>
  </si>
  <si>
    <t>Neubau</t>
  </si>
  <si>
    <t>Bestand</t>
  </si>
  <si>
    <t>Ausbau</t>
  </si>
  <si>
    <t>Erweiterung/Anbau</t>
  </si>
  <si>
    <r>
      <t>2.3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Klimastandort</t>
    </r>
  </si>
  <si>
    <t>Referenzstandort Deutschland</t>
  </si>
  <si>
    <t>Potsdam (Region 4)</t>
  </si>
  <si>
    <t>freie Wahl</t>
  </si>
  <si>
    <r>
      <t>2.4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Integration des Objektes in das Umfeld</t>
    </r>
  </si>
  <si>
    <t>freistehend</t>
  </si>
  <si>
    <t>einseitig angebaut</t>
  </si>
  <si>
    <t>beidseitig angebaut</t>
  </si>
  <si>
    <t>andere Situation</t>
  </si>
  <si>
    <r>
      <t>2.5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Geschosse und innere Erschließung</t>
    </r>
  </si>
  <si>
    <t>Anzahl der Vollgeschosse</t>
  </si>
  <si>
    <t>Treppenräume und Aufzugsschächte in den Regelgeschossen</t>
  </si>
  <si>
    <t>innerhalb der thermischen Hülle</t>
  </si>
  <si>
    <t>außerhalb der thermischen Hülle</t>
  </si>
  <si>
    <t>innerhalb und außerhalb der thermischen Hülle</t>
  </si>
  <si>
    <t>nicht vorhanden</t>
  </si>
  <si>
    <t>Kellergeschoss</t>
  </si>
  <si>
    <t>komplett innerhalb der thermischen Hülle</t>
  </si>
  <si>
    <t>teilweise innerhalb der thermischen Hülle, z.B. nur Treppenraum</t>
  </si>
  <si>
    <t>komplett außerhalb der thermischen Hülle</t>
  </si>
  <si>
    <t>Dachgeschoss</t>
  </si>
  <si>
    <t>teilweise innerhalb der thermischen Hülle, z.B. nur Treppenraum oder unbeheizter Spitzboden</t>
  </si>
  <si>
    <r>
      <t>3</t>
    </r>
    <r>
      <rPr>
        <b/>
        <sz val="7"/>
        <rFont val="Times New Roman"/>
        <family val="1"/>
      </rPr>
      <t xml:space="preserve">         </t>
    </r>
    <r>
      <rPr>
        <b/>
        <sz val="14"/>
        <rFont val="Cambria"/>
        <family val="1"/>
      </rPr>
      <t>Allgemeine Daten der Berechnung</t>
    </r>
  </si>
  <si>
    <r>
      <t>3.1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Gebäudeart</t>
    </r>
  </si>
  <si>
    <t>Gemischt genutztes Gebäude: nur Nichtwohngebäudeteil</t>
  </si>
  <si>
    <t>Gemischt genutztes Gebäude: nur Wohngebäudeteil</t>
  </si>
  <si>
    <t>Gemischt genutztes Gebäude: Wohn- und Nichtwohngebäudeanteil</t>
  </si>
  <si>
    <r>
      <t>3.2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Nettogrundfläche</t>
    </r>
  </si>
  <si>
    <t>Festlegung der Bezugsfläche</t>
  </si>
  <si>
    <t>Bezugs­fläche</t>
  </si>
  <si>
    <t>alle Gebäude</t>
  </si>
  <si>
    <t>freie Eingabe</t>
  </si>
  <si>
    <t>thermisch konditioniert</t>
  </si>
  <si>
    <t>nicht thermisch konditioniert</t>
  </si>
  <si>
    <t>thermisch konditioniert und nicht konditioniert</t>
  </si>
  <si>
    <t>nur Wohnbau</t>
  </si>
  <si>
    <t>berechnet pauschal aus der Wohnfläche</t>
  </si>
  <si>
    <t>k. A.</t>
  </si>
  <si>
    <t>berechnet aus dem umbauten Volumen bzw. der Gebäudenutzfläche</t>
  </si>
  <si>
    <r>
      <t>3.3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Schema der Zonierung und Versorgung</t>
    </r>
  </si>
  <si>
    <r>
      <t>3.3.1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Grafische Darstellung</t>
    </r>
  </si>
  <si>
    <r>
      <t>3.3.2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Tabellarische Darstellung</t>
    </r>
  </si>
  <si>
    <t>Versorgung der Zonen mit Wärme und Trinkwarmwasser</t>
  </si>
  <si>
    <t>Zone</t>
  </si>
  <si>
    <t>wird versorgt von</t>
  </si>
  <si>
    <t>Heizungs­system</t>
  </si>
  <si>
    <t>Trinkwarm­wassersystem</t>
  </si>
  <si>
    <t>H1</t>
  </si>
  <si>
    <t>W1</t>
  </si>
  <si>
    <t>Z1</t>
  </si>
  <si>
    <t>S</t>
  </si>
  <si>
    <t>£</t>
  </si>
  <si>
    <t>Versorgung der Zonen mit Kälte, Raumlufttechnik und Wohnungslüftung</t>
  </si>
  <si>
    <t>RLT1</t>
  </si>
  <si>
    <t>Versorgung der Technischen Systeme</t>
  </si>
  <si>
    <t>—</t>
  </si>
  <si>
    <t>Legende der verwendeten Abkürzungen</t>
  </si>
  <si>
    <t>Kürzel</t>
  </si>
  <si>
    <t>Beschreibung</t>
  </si>
  <si>
    <t>Heizsystem</t>
  </si>
  <si>
    <t>Trinkwassersystem</t>
  </si>
  <si>
    <t>3.4       Überblick Verfahren und Randbedingungen</t>
  </si>
  <si>
    <t>Zonierung und Nutzung</t>
  </si>
  <si>
    <t>Anzahl der Zonen:</t>
  </si>
  <si>
    <t>Nutzungsrand-</t>
  </si>
  <si>
    <t>Normprofile nach</t>
  </si>
  <si>
    <t>modifizierte Profile*</t>
  </si>
  <si>
    <t>freie Eingabe,</t>
  </si>
  <si>
    <t>bedingungen:</t>
  </si>
  <si>
    <t>DIN V 18599-10</t>
  </si>
  <si>
    <t>eigene Profile*</t>
  </si>
  <si>
    <t>Geometrische Daten und Aufmaß</t>
  </si>
  <si>
    <t>wärmeübertragende Hüllfläche:</t>
  </si>
  <si>
    <t>vereinfachte Ermittlung nach DIN V 18599-1, Anhang D*</t>
  </si>
  <si>
    <t>detailliertes Aufmaß bzw.</t>
  </si>
  <si>
    <t>nach DIN V 18599-1, Kap. 8*</t>
  </si>
  <si>
    <t>Raumluftvolumen:</t>
  </si>
  <si>
    <t>aus Nettogrundfläche</t>
  </si>
  <si>
    <t>pauschal aus dem umbauten Volumen (nur im Wohnbau)</t>
  </si>
  <si>
    <t>und lichter Raumhöhe</t>
  </si>
  <si>
    <t>Charakteristische Länge/Breite:</t>
  </si>
  <si>
    <t>Regelverfahren DIN V 18599-1*</t>
  </si>
  <si>
    <t>Näherungsansatz DIN V 18599-1</t>
  </si>
  <si>
    <t>freie Eingabe*</t>
  </si>
  <si>
    <t>Gebäudehülle (thermisch konditionierte Zonen)</t>
  </si>
  <si>
    <t>Wärmedurchgangskoeffizienten:</t>
  </si>
  <si>
    <t>Typologiewert</t>
  </si>
  <si>
    <t>Berechnung*</t>
  </si>
  <si>
    <t>Wärmefluss an das Erdreich:</t>
  </si>
  <si>
    <t>über Temperatur­­­­korrekturfaktoren</t>
  </si>
  <si>
    <t>Verfahren des</t>
  </si>
  <si>
    <t>stationären Leitwertes</t>
  </si>
  <si>
    <t>Wirksame Speicherfähigkeit:</t>
  </si>
  <si>
    <t>Standardwert (nachweisfrei)</t>
  </si>
  <si>
    <t>Berechnung aus Schichtenfolgen*</t>
  </si>
  <si>
    <t>freie Eingabe, Projektwert*</t>
  </si>
  <si>
    <t>Luftdichtheit:</t>
  </si>
  <si>
    <t>Standardwert (nachweispflichtig)*</t>
  </si>
  <si>
    <t>freie Eingabe, Messwert*</t>
  </si>
  <si>
    <r>
      <t>mittlerer Luftwechsel n</t>
    </r>
    <r>
      <rPr>
        <vertAlign val="subscript"/>
        <sz val="9"/>
        <color theme="1"/>
        <rFont val="Cambria"/>
        <family val="1"/>
      </rPr>
      <t>50</t>
    </r>
  </si>
  <si>
    <t>(m³/h)/m³</t>
  </si>
  <si>
    <r>
      <t>mittlere Luftdurchlässigkeit q</t>
    </r>
    <r>
      <rPr>
        <vertAlign val="subscript"/>
        <sz val="9"/>
        <color theme="1"/>
        <rFont val="Cambria"/>
        <family val="1"/>
      </rPr>
      <t>50</t>
    </r>
  </si>
  <si>
    <t>(m³/h)/m²</t>
  </si>
  <si>
    <t>Wärmebrücken:</t>
  </si>
  <si>
    <t>Standardwert (nachweis­­­pflichtig)*</t>
  </si>
  <si>
    <t>detaillierte</t>
  </si>
  <si>
    <t>mittlerer Wärmebrückenzuschlag:</t>
  </si>
  <si>
    <t>W/(m²K)</t>
  </si>
  <si>
    <t>Gesamtenergiedurchlassgrad der Fenster (incl. ggf. Verschattung):</t>
  </si>
  <si>
    <t>Standardwert</t>
  </si>
  <si>
    <t>freie Eingabe, Produktwert*</t>
  </si>
  <si>
    <t>Eingesetzte Beleuchtung:</t>
  </si>
  <si>
    <t>Glühlampen</t>
  </si>
  <si>
    <t>Halogen</t>
  </si>
  <si>
    <t>Leuchtstofflampen</t>
  </si>
  <si>
    <t>LED</t>
  </si>
  <si>
    <t>andere</t>
  </si>
  <si>
    <t>Bewertungsleistung</t>
  </si>
  <si>
    <t>Tabellen­verfahren</t>
  </si>
  <si>
    <t>Wirkungsgrad­verfahren*</t>
  </si>
  <si>
    <t>freie Eingabe, Fach­planung/</t>
  </si>
  <si>
    <t>Beleuchtung:</t>
  </si>
  <si>
    <t>Aufmaß*</t>
  </si>
  <si>
    <t>Tageslichtversorgte Bereiche:</t>
  </si>
  <si>
    <t>vereinfacht nach</t>
  </si>
  <si>
    <t>detailliert nach Raumgeometrie</t>
  </si>
  <si>
    <t>DIN V 18599-1, Anhang D</t>
  </si>
  <si>
    <t>Einfluss baulicher Verschattung:</t>
  </si>
  <si>
    <t>Art der Heizwärmeversorgung:</t>
  </si>
  <si>
    <t>Gas-/Ölkessel</t>
  </si>
  <si>
    <t>Holzkessel</t>
  </si>
  <si>
    <t>BHKW</t>
  </si>
  <si>
    <t>Wärmepumpe</t>
  </si>
  <si>
    <t>Solarthermie</t>
  </si>
  <si>
    <t>Nah/Fernwärme</t>
  </si>
  <si>
    <t>elektrisch</t>
  </si>
  <si>
    <t>Hallenheizung</t>
  </si>
  <si>
    <t>Versorgungsstruktur:</t>
  </si>
  <si>
    <t>zentral</t>
  </si>
  <si>
    <t>dezentral</t>
  </si>
  <si>
    <t>Heizlast:</t>
  </si>
  <si>
    <t>Näherung DIN V 18599-2</t>
  </si>
  <si>
    <t>Planwert (z.B. DIN EN 12831)*</t>
  </si>
  <si>
    <t>Erzeugerleistung:</t>
  </si>
  <si>
    <t>Effizienzmerkmale Erzeuger:</t>
  </si>
  <si>
    <t>Kollektorfläche Solarthermie:</t>
  </si>
  <si>
    <t>Deckungsanteile</t>
  </si>
  <si>
    <t>freie Eingabe, Fachplanung*</t>
  </si>
  <si>
    <t>Mehrer­zeugeranlagen:</t>
  </si>
  <si>
    <t>Leitungslängen:</t>
  </si>
  <si>
    <t>freie Eingabe, Fachplanung *</t>
  </si>
  <si>
    <t>Trinkwassererwärmung</t>
  </si>
  <si>
    <t>Art der Trinkwassererwärmung:</t>
  </si>
  <si>
    <t>Zirkulation</t>
  </si>
  <si>
    <t>Laufzeit TWW-Zirkulation:</t>
  </si>
  <si>
    <t>Art der Kälteversorgung:</t>
  </si>
  <si>
    <t>Kompression</t>
  </si>
  <si>
    <t>Ad-/Absorption</t>
  </si>
  <si>
    <t>Nah-/Fernkälte</t>
  </si>
  <si>
    <t>freie Kühlung</t>
  </si>
  <si>
    <t>geothermische K.</t>
  </si>
  <si>
    <t>sorptionsgestützte Kühlung</t>
  </si>
  <si>
    <t>indirekte Verdunstungskühl.</t>
  </si>
  <si>
    <t>Kühllast:</t>
  </si>
  <si>
    <t>Planwert (z.B. VDI 2078)*</t>
  </si>
  <si>
    <t>Hilfsenergien Kälteanlagen</t>
  </si>
  <si>
    <t>detailliertes</t>
  </si>
  <si>
    <t>vereinfachtes</t>
  </si>
  <si>
    <t>Verfahren</t>
  </si>
  <si>
    <t>Projektwert*</t>
  </si>
  <si>
    <t>Mechanische Lüftung und Raumlufttechnik</t>
  </si>
  <si>
    <t>Art der mechanischen Lüftung:</t>
  </si>
  <si>
    <t>Abluft</t>
  </si>
  <si>
    <t>Zuluft</t>
  </si>
  <si>
    <t>Zu-/Abluft</t>
  </si>
  <si>
    <t>WRG</t>
  </si>
  <si>
    <t>regenerative Luftvorwärmung</t>
  </si>
  <si>
    <t>Luftbehandlung RLT:</t>
  </si>
  <si>
    <t>zentrale</t>
  </si>
  <si>
    <t>Luftheizung</t>
  </si>
  <si>
    <t>Luftkühlung</t>
  </si>
  <si>
    <t>Befeuchtung</t>
  </si>
  <si>
    <t>Anlagenvolumenstrom:</t>
  </si>
  <si>
    <t>Ventilatorleistungen:</t>
  </si>
  <si>
    <t>Rückwärmzahl bzw.</t>
  </si>
  <si>
    <t>Wärmerückgewinnungsgrad:</t>
  </si>
  <si>
    <t>Wärme- und Kältenetzanschluss</t>
  </si>
  <si>
    <t>Primärenergiefaktoren</t>
  </si>
  <si>
    <t>eigene</t>
  </si>
  <si>
    <t>zertifizierter Kennwert*</t>
  </si>
  <si>
    <t>für Wärmenetze:</t>
  </si>
  <si>
    <t>Primärenergiefaktor Wärmenetz</t>
  </si>
  <si>
    <t>für Kältenetze:</t>
  </si>
  <si>
    <t>Primärenergiefaktor Kältenetz</t>
  </si>
  <si>
    <t>Regenerative Stromerzeugung</t>
  </si>
  <si>
    <t>Erzeugungsanlagen:</t>
  </si>
  <si>
    <t>Photovoltaik</t>
  </si>
  <si>
    <t>Mikrowindkraft</t>
  </si>
  <si>
    <t>* Es besteht eine Dokumentationspflicht für die nachvollziehbare Herkunft der Größen, die abweichend zu den Standardwerten angenommen wurden bzw. für Größen, für die es keine Standardwerte gibt.</t>
  </si>
  <si>
    <r>
      <t>4</t>
    </r>
    <r>
      <rPr>
        <b/>
        <sz val="7"/>
        <rFont val="Times New Roman"/>
        <family val="1"/>
      </rPr>
      <t xml:space="preserve">         </t>
    </r>
    <r>
      <rPr>
        <b/>
        <sz val="14"/>
        <rFont val="Cambria"/>
        <family val="1"/>
      </rPr>
      <t>Gesamtbilanz des Gebäudes</t>
    </r>
  </si>
  <si>
    <r>
      <t>4.1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Nutzenergiebedarf nach Zonen und Gewerken</t>
    </r>
  </si>
  <si>
    <t>Nutzenergien, flächenbezogen</t>
  </si>
  <si>
    <t>in kWh/(m²a)</t>
  </si>
  <si>
    <t>Beleuch­tung</t>
  </si>
  <si>
    <t>Trinkwarm-wasser</t>
  </si>
  <si>
    <t>Befeuch­tung</t>
  </si>
  <si>
    <t>gesamt</t>
  </si>
  <si>
    <t xml:space="preserve">davon </t>
  </si>
  <si>
    <t>über Luft</t>
  </si>
  <si>
    <t>Alle Zonen</t>
  </si>
  <si>
    <t>Nutzenergien, absolut</t>
  </si>
  <si>
    <t>in kWh/a</t>
  </si>
  <si>
    <r>
      <t>4.2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Endenergiebedarf</t>
    </r>
  </si>
  <si>
    <r>
      <t>4.2.1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Bezugssystem für die Energieträger</t>
    </r>
  </si>
  <si>
    <t>Bezugssystem</t>
  </si>
  <si>
    <t>Heizwert</t>
  </si>
  <si>
    <t>Brennwert (Standard)</t>
  </si>
  <si>
    <r>
      <t>4.2.2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Endenergiebedarf nach Energieträgern</t>
    </r>
  </si>
  <si>
    <t>nutzbar gemachte thermische Umweltenergien, flächenbezogen</t>
  </si>
  <si>
    <t>Luft-förderung</t>
  </si>
  <si>
    <t>Zwischensumme Umweltenergie</t>
  </si>
  <si>
    <t>elektrische Energie, flächenbezogen</t>
  </si>
  <si>
    <t>Strom (Bedarf)</t>
  </si>
  <si>
    <t>Strom (Produktion)</t>
  </si>
  <si>
    <t>Strom (angerechnet)</t>
  </si>
  <si>
    <t>Zwischensumme Strom</t>
  </si>
  <si>
    <t>andere Energieträger, flächenbezogen</t>
  </si>
  <si>
    <t>Zwischensumme andere Energieträger</t>
  </si>
  <si>
    <r>
      <t>4.2.3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Endenergiebedarf nach Zonen und Gewerken ohne Umweltenergien</t>
    </r>
  </si>
  <si>
    <t>Endenergien ohne Hilfsenergien, flächenbezogen</t>
  </si>
  <si>
    <t>Endenergie für Hilfsenergien, flächenbezogen</t>
  </si>
  <si>
    <t>alle Endenergien, flächenbezogen</t>
  </si>
  <si>
    <t>alle Endenergien, absolut</t>
  </si>
  <si>
    <r>
      <t>4.2.4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Endenergiebedarf nach Zonen und Gewerken mit Umweltenergien</t>
    </r>
  </si>
  <si>
    <r>
      <t>4.3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Primärenergiebedarf</t>
    </r>
  </si>
  <si>
    <r>
      <t>4.3.1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Bezugssystem für die Energieträger</t>
    </r>
  </si>
  <si>
    <t>Bezugssystem:</t>
  </si>
  <si>
    <t>Heizwert (Standard)</t>
  </si>
  <si>
    <t>Brennwert</t>
  </si>
  <si>
    <r>
      <t>4.3.2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Nicht erneuerbarer Primärenergiebedarf nach Energieträgern</t>
    </r>
  </si>
  <si>
    <t>Endenergie</t>
  </si>
  <si>
    <t>Umrechnungsfaktor</t>
  </si>
  <si>
    <t>Primärenergie­­faktor</t>
  </si>
  <si>
    <t>Brenn-/Heizwert</t>
  </si>
  <si>
    <t>[kWh/(m²a)]</t>
  </si>
  <si>
    <t>[-]</t>
  </si>
  <si>
    <t>hier nicht zutreffend</t>
  </si>
  <si>
    <t>Summe, flächenbezogen</t>
  </si>
  <si>
    <t>alle Energieträger</t>
  </si>
  <si>
    <r>
      <t>4.3.3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Nicht erneuerbarer Primärenergiebedarf nach Zonen und Gewerken</t>
    </r>
  </si>
  <si>
    <t>Primärenergie ohne Hilfsenergien, flächenbezogen</t>
  </si>
  <si>
    <t>Primärenergie für Hilfsenergien, flächenbezogen</t>
  </si>
  <si>
    <t>alle Primärenergien, flächenbezogen</t>
  </si>
  <si>
    <t>alle Primärenergien, absolut</t>
  </si>
  <si>
    <r>
      <t>4.4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CO</t>
    </r>
    <r>
      <rPr>
        <b/>
        <vertAlign val="subscript"/>
        <sz val="13"/>
        <color theme="1"/>
        <rFont val="Cambria"/>
        <family val="1"/>
      </rPr>
      <t>2</t>
    </r>
    <r>
      <rPr>
        <b/>
        <sz val="13"/>
        <color theme="1"/>
        <rFont val="Cambria"/>
        <family val="1"/>
      </rPr>
      <t>-Emissionen</t>
    </r>
  </si>
  <si>
    <r>
      <t>4.4.1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CO</t>
    </r>
    <r>
      <rPr>
        <b/>
        <vertAlign val="subscript"/>
        <sz val="12"/>
        <rFont val="Cambria"/>
        <family val="1"/>
      </rPr>
      <t>2</t>
    </r>
    <r>
      <rPr>
        <b/>
        <sz val="12"/>
        <rFont val="Cambria"/>
        <family val="1"/>
      </rPr>
      <t>-Emissionen nach Energieträgern</t>
    </r>
  </si>
  <si>
    <r>
      <t>CO</t>
    </r>
    <r>
      <rPr>
        <vertAlign val="subscript"/>
        <sz val="9"/>
        <color theme="1"/>
        <rFont val="Cambria"/>
        <family val="1"/>
      </rPr>
      <t>2</t>
    </r>
    <r>
      <rPr>
        <sz val="9"/>
        <color theme="1"/>
        <rFont val="Cambria"/>
        <family val="1"/>
      </rPr>
      <t>-Äquivalent</t>
    </r>
  </si>
  <si>
    <t>[kg/kWh]</t>
  </si>
  <si>
    <t>[kg/(m²a)]</t>
  </si>
  <si>
    <r>
      <t>4.4.2</t>
    </r>
    <r>
      <rPr>
        <b/>
        <sz val="7"/>
        <color rgb="FF000000"/>
        <rFont val="Times New Roman"/>
        <family val="1"/>
      </rPr>
      <t xml:space="preserve">      </t>
    </r>
    <r>
      <rPr>
        <b/>
        <sz val="12"/>
        <color rgb="FF000000"/>
        <rFont val="Cambria"/>
        <family val="1"/>
      </rPr>
      <t>CO</t>
    </r>
    <r>
      <rPr>
        <b/>
        <vertAlign val="subscript"/>
        <sz val="12"/>
        <color rgb="FF000000"/>
        <rFont val="Cambria"/>
        <family val="1"/>
      </rPr>
      <t>2</t>
    </r>
    <r>
      <rPr>
        <b/>
        <sz val="12"/>
        <color rgb="FF000000"/>
        <rFont val="Cambria"/>
        <family val="1"/>
      </rPr>
      <t>-Emissionen nach Zonen und Gewerken</t>
    </r>
  </si>
  <si>
    <r>
      <t>CO</t>
    </r>
    <r>
      <rPr>
        <b/>
        <vertAlign val="subscript"/>
        <sz val="9"/>
        <color theme="1"/>
        <rFont val="Cambria"/>
        <family val="1"/>
      </rPr>
      <t>2</t>
    </r>
    <r>
      <rPr>
        <b/>
        <sz val="9"/>
        <color theme="1"/>
        <rFont val="Cambria"/>
        <family val="1"/>
      </rPr>
      <t>-Emissionen ohne Hilfsenergien, flächenbezogen</t>
    </r>
  </si>
  <si>
    <t>in kg/(m²a)</t>
  </si>
  <si>
    <r>
      <t>CO</t>
    </r>
    <r>
      <rPr>
        <b/>
        <vertAlign val="subscript"/>
        <sz val="9"/>
        <color theme="1"/>
        <rFont val="Cambria"/>
        <family val="1"/>
      </rPr>
      <t>2</t>
    </r>
    <r>
      <rPr>
        <b/>
        <sz val="9"/>
        <color theme="1"/>
        <rFont val="Cambria"/>
        <family val="1"/>
      </rPr>
      <t>-Emissionen für Hilfsenergien, flächenbezogen</t>
    </r>
  </si>
  <si>
    <r>
      <t>alle CO</t>
    </r>
    <r>
      <rPr>
        <b/>
        <vertAlign val="subscript"/>
        <sz val="9"/>
        <color theme="1"/>
        <rFont val="Cambria"/>
        <family val="1"/>
      </rPr>
      <t>2</t>
    </r>
    <r>
      <rPr>
        <b/>
        <sz val="9"/>
        <color theme="1"/>
        <rFont val="Cambria"/>
        <family val="1"/>
      </rPr>
      <t>-Emissionen, flächenbezogen</t>
    </r>
  </si>
  <si>
    <r>
      <t>alle CO</t>
    </r>
    <r>
      <rPr>
        <b/>
        <vertAlign val="subscript"/>
        <sz val="9"/>
        <color theme="1"/>
        <rFont val="Cambria"/>
        <family val="1"/>
      </rPr>
      <t>2</t>
    </r>
    <r>
      <rPr>
        <b/>
        <sz val="9"/>
        <color theme="1"/>
        <rFont val="Cambria"/>
        <family val="1"/>
      </rPr>
      <t>-Emissionen, absolut</t>
    </r>
  </si>
  <si>
    <t>in kg/a</t>
  </si>
  <si>
    <r>
      <t>5</t>
    </r>
    <r>
      <rPr>
        <b/>
        <sz val="7"/>
        <rFont val="Times New Roman"/>
        <family val="1"/>
      </rPr>
      <t xml:space="preserve">         </t>
    </r>
    <r>
      <rPr>
        <b/>
        <sz val="14"/>
        <rFont val="Cambria"/>
        <family val="1"/>
      </rPr>
      <t>Nutzung, Konditionierung und Zonierung</t>
    </r>
  </si>
  <si>
    <r>
      <t>5.1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Anmerkungen</t>
    </r>
  </si>
  <si>
    <r>
      <t>5.2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Modellart</t>
    </r>
  </si>
  <si>
    <t>Zonierung:</t>
  </si>
  <si>
    <t>Mehrzonenmodell</t>
  </si>
  <si>
    <t>Einzonenmodell</t>
  </si>
  <si>
    <r>
      <t>5.3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Nutzungsprofile</t>
    </r>
  </si>
  <si>
    <t>Netto­grundfläche</t>
  </si>
  <si>
    <t>Profil­­nummer</t>
  </si>
  <si>
    <t>Normprofil</t>
  </si>
  <si>
    <t>andere Profile</t>
  </si>
  <si>
    <t>unver­ändert</t>
  </si>
  <si>
    <t>angepasst nach DIN V 18599*</t>
  </si>
  <si>
    <t>modifiziertes Normprofil</t>
  </si>
  <si>
    <t>freie Definition</t>
  </si>
  <si>
    <t>[m²]</t>
  </si>
  <si>
    <t>* Anpassung entsprechend den Regeln der DIN V 18599, z. B. Übernahme der Nutzungszeiten untergeordneter Profile (z.B. Sanitärflächen) an die Hauptnutzung (z.B. Klassenräume).</t>
  </si>
  <si>
    <r>
      <t>5.4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Konditionierung</t>
    </r>
  </si>
  <si>
    <t>thermisch konditionierte Nettogrundfläche</t>
  </si>
  <si>
    <t>Nettogrund­fläche</t>
  </si>
  <si>
    <t>mech.</t>
  </si>
  <si>
    <t>Trinkwarm­wasser</t>
  </si>
  <si>
    <t xml:space="preserve">Flächensummen </t>
  </si>
  <si>
    <t>anteilig</t>
  </si>
  <si>
    <t>thermisch nicht konditionierte Nettogrundfläche</t>
  </si>
  <si>
    <t>gesamte konditionierte Nettogrundfläche</t>
  </si>
  <si>
    <t>Zonenflächen</t>
  </si>
  <si>
    <t>thermisch nicht konditioniert</t>
  </si>
  <si>
    <t>Flächenanteil</t>
  </si>
  <si>
    <r>
      <t>5.5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Detaillierte Nutzungsrandbedingungen nach Zonen</t>
    </r>
  </si>
  <si>
    <r>
      <t>5.5.1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Nutzungszeiten</t>
    </r>
  </si>
  <si>
    <t xml:space="preserve">Zone </t>
  </si>
  <si>
    <t>Profil</t>
  </si>
  <si>
    <t xml:space="preserve">jährliche </t>
  </si>
  <si>
    <t xml:space="preserve">tägliche </t>
  </si>
  <si>
    <t>(thermisch konditioniert)</t>
  </si>
  <si>
    <t>Nutzungsstunden</t>
  </si>
  <si>
    <t>Nr.</t>
  </si>
  <si>
    <t>[d/a]</t>
  </si>
  <si>
    <t>[h/d]</t>
  </si>
  <si>
    <t>gewichteter Mittelwert</t>
  </si>
  <si>
    <r>
      <t>5.5.2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Raumsolltemperaturen</t>
    </r>
  </si>
  <si>
    <t>Raumsolltemperatur Heizen</t>
  </si>
  <si>
    <t>Raumsolltemperatur Kühlen</t>
  </si>
  <si>
    <t>[°C]</t>
  </si>
  <si>
    <r>
      <t>5.5.3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Mindestaußenluftvolumenstrom und Luftwechsel</t>
    </r>
  </si>
  <si>
    <t>spez. Mindestaußenluft­volumenstrom</t>
  </si>
  <si>
    <t>Mindestaußen­luftwechsel</t>
  </si>
  <si>
    <t>[m³/(h · m²)]</t>
  </si>
  <si>
    <t>[m³/(h · m³)]</t>
  </si>
  <si>
    <r>
      <t>5.5.4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Warmwasserbedarf</t>
    </r>
  </si>
  <si>
    <t>Bezugsgröße</t>
  </si>
  <si>
    <t>Nutzwärmebedarf Trinkwarmwasser</t>
  </si>
  <si>
    <t>(thermisch konditioniert)*</t>
  </si>
  <si>
    <t>Menge</t>
  </si>
  <si>
    <t>Bezug</t>
  </si>
  <si>
    <t>[Wh/­(Bezug·d)]</t>
  </si>
  <si>
    <t>[kWh/d]</t>
  </si>
  <si>
    <t>[kWh/ (m²a)]</t>
  </si>
  <si>
    <t>* Der Warmwasserbedarf wird in der oder den bedarfsdeckenden Zonen dargestellt (z.B. Sanitärzone), auch wenn eine andere Zone bedarfsauslösend ist (z.B. Büroflächen).</t>
  </si>
  <si>
    <r>
      <t>5.5.5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Interne Wärmequellen</t>
    </r>
  </si>
  <si>
    <t>Wärmeeintrag Personen und Arbeitshilfen</t>
  </si>
  <si>
    <t>[Wh/(m²d)]</t>
  </si>
  <si>
    <r>
      <t>5.5.6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Beleuchtungsstärke</t>
    </r>
  </si>
  <si>
    <r>
      <t>6</t>
    </r>
    <r>
      <rPr>
        <b/>
        <sz val="7"/>
        <rFont val="Times New Roman"/>
        <family val="1"/>
      </rPr>
      <t xml:space="preserve">         </t>
    </r>
    <r>
      <rPr>
        <b/>
        <sz val="14"/>
        <rFont val="Cambria"/>
        <family val="1"/>
      </rPr>
      <t>Gebäudehülle und Baukörper</t>
    </r>
  </si>
  <si>
    <r>
      <t>6.1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Anmerkungen</t>
    </r>
  </si>
  <si>
    <r>
      <t>6.2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Hüllflächen</t>
    </r>
  </si>
  <si>
    <r>
      <t>6.2.1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Mittlere Wärmedurchgangskoeffizienten und H</t>
    </r>
    <r>
      <rPr>
        <b/>
        <vertAlign val="subscript"/>
        <sz val="12"/>
        <rFont val="Cambria"/>
        <family val="1"/>
      </rPr>
      <t>T</t>
    </r>
    <r>
      <rPr>
        <b/>
        <sz val="12"/>
        <rFont val="Cambria"/>
        <family val="1"/>
      </rPr>
      <t>'</t>
    </r>
  </si>
  <si>
    <t>auf die wärmeübertragende Umfassungsfläche bezogener spezifischer Transmissionswärmeverlust</t>
  </si>
  <si>
    <r>
      <t>Mittelwert aller thermisch konditionierten Zonen (H</t>
    </r>
    <r>
      <rPr>
        <vertAlign val="subscript"/>
        <sz val="9"/>
        <color theme="1"/>
        <rFont val="Cambria"/>
        <family val="1"/>
      </rPr>
      <t>T</t>
    </r>
    <r>
      <rPr>
        <sz val="9"/>
        <color theme="1"/>
        <rFont val="Cambria"/>
        <family val="1"/>
      </rPr>
      <t>')</t>
    </r>
  </si>
  <si>
    <t>mittlere Wärmedurchgangskoeffizienten</t>
  </si>
  <si>
    <t>in W/(m²K)</t>
  </si>
  <si>
    <t>Mittelwert aller Zonen mit…</t>
  </si>
  <si>
    <t>normalen Innentemperaturen</t>
  </si>
  <si>
    <t>niedrigen Innentemperaturen</t>
  </si>
  <si>
    <t>opake Bauteile</t>
  </si>
  <si>
    <t>transparente Bauteile</t>
  </si>
  <si>
    <t>Wand- und Dachfenster</t>
  </si>
  <si>
    <t>Glasdoppel/-vorhangfassaden</t>
  </si>
  <si>
    <t>Glasdächer, Lichtbänder/-kuppeln</t>
  </si>
  <si>
    <r>
      <t>6.2.2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Gebäudeübersicht</t>
    </r>
  </si>
  <si>
    <t>Bauteilgruppe</t>
  </si>
  <si>
    <t>Flächen­anteil</t>
  </si>
  <si>
    <t xml:space="preserve">Fläche bezogen </t>
  </si>
  <si>
    <t>mittlerer</t>
  </si>
  <si>
    <t>(bezogen auf die thermisch konditionierten Zonen des Gebäudes)</t>
  </si>
  <si>
    <r>
      <t>auf A</t>
    </r>
    <r>
      <rPr>
        <vertAlign val="subscript"/>
        <sz val="9"/>
        <color theme="1"/>
        <rFont val="Cambria"/>
        <family val="1"/>
      </rPr>
      <t>NGF</t>
    </r>
  </si>
  <si>
    <t>[%]</t>
  </si>
  <si>
    <t>[m²/m²]</t>
  </si>
  <si>
    <t>[W/(m²K)]</t>
  </si>
  <si>
    <t>Fassade an Außenluft (opak)</t>
  </si>
  <si>
    <t>Oberer Gebäudeabschluss</t>
  </si>
  <si>
    <t>(opak; Dach, Flächen zum Dachraum usw.)</t>
  </si>
  <si>
    <t>Unterer Gebäudeabschluss (Bodenplatte, Fläche zum Keller usw.)</t>
  </si>
  <si>
    <t>Flächen zu unbeheizten Bereichen (Treppenhäuser, Wintergärten usw.)</t>
  </si>
  <si>
    <t>Flächen zu beheizten Bereichen (außerhalb des Gebäudes)</t>
  </si>
  <si>
    <t>transparente Flächen (nach außen)</t>
  </si>
  <si>
    <t>Summe (wärmeübertragende Umfassungsflächen des Gebäudes)</t>
  </si>
  <si>
    <t>Flächen zwischen thermisch konditionierten Zonen</t>
  </si>
  <si>
    <r>
      <t>6.2.3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Opake Flächen – gesamtes Gebäude</t>
    </r>
  </si>
  <si>
    <t>Fassade an Außenluft</t>
  </si>
  <si>
    <t>Code</t>
  </si>
  <si>
    <t>Orien­tierung</t>
  </si>
  <si>
    <t>Nei­gung</t>
  </si>
  <si>
    <r>
      <t>F</t>
    </r>
    <r>
      <rPr>
        <vertAlign val="subscript"/>
        <sz val="9"/>
        <color theme="1"/>
        <rFont val="Cambria"/>
        <family val="1"/>
      </rPr>
      <t>x</t>
    </r>
  </si>
  <si>
    <t>WA1</t>
  </si>
  <si>
    <t>Außenwand</t>
  </si>
  <si>
    <t>N</t>
  </si>
  <si>
    <t>90°</t>
  </si>
  <si>
    <t>O</t>
  </si>
  <si>
    <t>W</t>
  </si>
  <si>
    <t>Zwischensumme</t>
  </si>
  <si>
    <t>Flächen des oberen Gebäudeabschlusses, welche an Außenluft grenzen</t>
  </si>
  <si>
    <t>DA1</t>
  </si>
  <si>
    <t>Dach</t>
  </si>
  <si>
    <t>0°</t>
  </si>
  <si>
    <t>Flächen des unteren Gebäudeabschlusses, welche an Außenluft grenzen</t>
  </si>
  <si>
    <t>Flächen an Erdreich</t>
  </si>
  <si>
    <t>BE1</t>
  </si>
  <si>
    <t>Flächen des oberen Gebäudeabschlusses, welche nicht an Außenluft oder Erdreich grenzen</t>
  </si>
  <si>
    <t>Flächen des unteren Gebäudeabschlusses, welche nicht an Außenluft oder Erdreich grenzen</t>
  </si>
  <si>
    <t>WU1</t>
  </si>
  <si>
    <t>Flächen zu anderen unbeheizten Bereichen (ohne Dachraum und Keller)</t>
  </si>
  <si>
    <t>Flächen zu beheizten Bereichen außerhalb der Bilanzgrenzen</t>
  </si>
  <si>
    <t>Rolllädenkästen, Außentüren und sonstige Flächen</t>
  </si>
  <si>
    <r>
      <t>6.2.4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Transparente Flächen – gesamtes Gebäude</t>
    </r>
  </si>
  <si>
    <t>Fenster an Außenluft – Wandfenster (≥ 60° … 90°)</t>
  </si>
  <si>
    <r>
      <t>U</t>
    </r>
    <r>
      <rPr>
        <vertAlign val="subscript"/>
        <sz val="9"/>
        <color theme="1"/>
        <rFont val="Cambria"/>
        <family val="1"/>
      </rPr>
      <t>W</t>
    </r>
  </si>
  <si>
    <r>
      <t>τ</t>
    </r>
    <r>
      <rPr>
        <vertAlign val="subscript"/>
        <sz val="9"/>
        <color theme="1"/>
        <rFont val="Cambria"/>
        <family val="1"/>
      </rPr>
      <t>D65</t>
    </r>
    <r>
      <rPr>
        <sz val="9"/>
        <color theme="1"/>
        <rFont val="Cambria"/>
        <family val="1"/>
      </rPr>
      <t xml:space="preserve"> </t>
    </r>
  </si>
  <si>
    <r>
      <t>g</t>
    </r>
    <r>
      <rPr>
        <vertAlign val="subscript"/>
        <sz val="9"/>
        <color theme="1"/>
        <rFont val="Cambria Math"/>
        <family val="1"/>
      </rPr>
      <t>⟘</t>
    </r>
  </si>
  <si>
    <r>
      <t>g</t>
    </r>
    <r>
      <rPr>
        <vertAlign val="subscript"/>
        <sz val="9"/>
        <color theme="1"/>
        <rFont val="Cambria Math"/>
        <family val="1"/>
      </rPr>
      <t>tot,SO</t>
    </r>
  </si>
  <si>
    <r>
      <t>g</t>
    </r>
    <r>
      <rPr>
        <vertAlign val="subscript"/>
        <sz val="9"/>
        <color theme="1"/>
        <rFont val="Cambria Math"/>
        <family val="1"/>
      </rPr>
      <t>tot,WI</t>
    </r>
  </si>
  <si>
    <t>FA1</t>
  </si>
  <si>
    <t>Fenster an Außenluft – Dachflächenfenster (&lt; 60° … ≥ 22°)</t>
  </si>
  <si>
    <t>Fenster an Außenluft – Lichtkuppeln (&lt; 22° … 0°)</t>
  </si>
  <si>
    <t>Außentüren (transparent)</t>
  </si>
  <si>
    <r>
      <t>U</t>
    </r>
    <r>
      <rPr>
        <vertAlign val="subscript"/>
        <sz val="9"/>
        <color theme="1"/>
        <rFont val="Cambria"/>
        <family val="1"/>
      </rPr>
      <t>D</t>
    </r>
  </si>
  <si>
    <t>Glasdoppel-/-vorhangfassaden</t>
  </si>
  <si>
    <t>Pfosten-Riegel-Konstruktionen</t>
  </si>
  <si>
    <r>
      <t>6.2.5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Hüllflächen – zonenweise</t>
    </r>
  </si>
  <si>
    <t>Zusammenfassung je Zone</t>
  </si>
  <si>
    <t>Zone mit normaler Innentemperatur</t>
  </si>
  <si>
    <t>Zone mit niedriger Innentemperatur</t>
  </si>
  <si>
    <t>Boden an Erdreich</t>
  </si>
  <si>
    <r>
      <t>6.3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Wärmebrücken</t>
    </r>
  </si>
  <si>
    <t>Gebäudebezogener Wärmebrückenzuschlag (der thermisch konditionierten Zonen)</t>
  </si>
  <si>
    <t>Wärmebrückenzuschlag</t>
  </si>
  <si>
    <t>Zonenweise Wärmebrückenzuschläge</t>
  </si>
  <si>
    <t>Innentemperatur der Zone…</t>
  </si>
  <si>
    <t>Wärmebrücken­zuschlag</t>
  </si>
  <si>
    <t>wärmeübertragende Umfassungsfläche</t>
  </si>
  <si>
    <t>normal</t>
  </si>
  <si>
    <t>niedrig</t>
  </si>
  <si>
    <r>
      <t>6.4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Volumina und Luftdichtheit</t>
    </r>
  </si>
  <si>
    <r>
      <t>6.4.1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Luftvolumen und umbautes Volumen</t>
    </r>
  </si>
  <si>
    <t>Gebäudeweises Volumen (der thermisch konditionierten Zonen)</t>
  </si>
  <si>
    <t>Luftvolumen (Nettovolumen)</t>
  </si>
  <si>
    <t>umbautes Volumen (Bruttovolumen)</t>
  </si>
  <si>
    <t>Zonenweise mittlere Raumhöhen und Luftvolumina</t>
  </si>
  <si>
    <t>mittlere Raumhöhe</t>
  </si>
  <si>
    <t>Luftvolumen</t>
  </si>
  <si>
    <t>[m]</t>
  </si>
  <si>
    <t>[m³]</t>
  </si>
  <si>
    <r>
      <t>6.4.2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Luftdichtheit</t>
    </r>
  </si>
  <si>
    <t>Gebäudebezogene Luftdichtheit (der thermisch konditionierten Zonen)</t>
  </si>
  <si>
    <t>m³/(h · m²)</t>
  </si>
  <si>
    <t>Zonenweise Luftdichtheit</t>
  </si>
  <si>
    <t>Luftdichtheit…</t>
  </si>
  <si>
    <r>
      <t>volumen­bezogen n</t>
    </r>
    <r>
      <rPr>
        <vertAlign val="subscript"/>
        <sz val="9"/>
        <color theme="1"/>
        <rFont val="Cambria"/>
        <family val="1"/>
      </rPr>
      <t>50</t>
    </r>
  </si>
  <si>
    <r>
      <t>hüllflächen­bezogen q</t>
    </r>
    <r>
      <rPr>
        <vertAlign val="subscript"/>
        <sz val="9"/>
        <color theme="1"/>
        <rFont val="Cambria"/>
        <family val="1"/>
      </rPr>
      <t>50</t>
    </r>
  </si>
  <si>
    <t>[1/h]</t>
  </si>
  <si>
    <t>[m³/(h/m²)]</t>
  </si>
  <si>
    <r>
      <t>6.5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Weitere geometrische Daten</t>
    </r>
  </si>
  <si>
    <r>
      <t>6.5.1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Fensterflächenanteil</t>
    </r>
  </si>
  <si>
    <t>Fensterflächenanteil (der thermisch konditionierten Zonen)</t>
  </si>
  <si>
    <t>Fensterfläche bezogen auf die gesamte wärmeübertragende Hüllfläche</t>
  </si>
  <si>
    <t>m²/m²</t>
  </si>
  <si>
    <t>Fensterfläche bezogen auf die wärmeübertragende Hüllfläche an Außenluft</t>
  </si>
  <si>
    <t>Fensterfläche bezogen auf die Nettogrundfläche</t>
  </si>
  <si>
    <t>Zonenweise Fensterflächenanteile</t>
  </si>
  <si>
    <t>Fensterfläche bezogen auf die…</t>
  </si>
  <si>
    <t>gesamte wärmeüber­tragende Hülle</t>
  </si>
  <si>
    <t>wärmeüber­tragende Hülle an Außenluft</t>
  </si>
  <si>
    <r>
      <t>6.5.2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Kompaktheit</t>
    </r>
  </si>
  <si>
    <t>Kompaktheit (der thermisch konditionierten Zonen)</t>
  </si>
  <si>
    <t xml:space="preserve">Kompaktheit bezogen auf das umbaute Volumen </t>
  </si>
  <si>
    <t>m²/m³</t>
  </si>
  <si>
    <t>Kompaktheit bezogen auf die Nettogrundfläche</t>
  </si>
  <si>
    <t>Zonenweise Kompaktheit</t>
  </si>
  <si>
    <t>Kompaktheit bezogen auf…</t>
  </si>
  <si>
    <t>das umbaute Volumen</t>
  </si>
  <si>
    <t>die Nettogrundfläche</t>
  </si>
  <si>
    <t>[m²/m³]</t>
  </si>
  <si>
    <r>
      <t>6.5.3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Bodenplattenmaß</t>
    </r>
  </si>
  <si>
    <t>Bodenplatten auf Höhe der Erdreichoberkante</t>
  </si>
  <si>
    <t>an Erdreich grenzende Wände und Bodenplatten eines thermisch konditionierten Kellers</t>
  </si>
  <si>
    <t>erdreich­berührte Fläche</t>
  </si>
  <si>
    <t>exponierter Umfang (Perimeter)</t>
  </si>
  <si>
    <t>Boden­platten­maß (B')</t>
  </si>
  <si>
    <r>
      <t>Temperatur­korrektur­faktor (F</t>
    </r>
    <r>
      <rPr>
        <vertAlign val="subscript"/>
        <sz val="9"/>
        <color theme="1"/>
        <rFont val="Cambria"/>
        <family val="1"/>
      </rPr>
      <t>X</t>
    </r>
    <r>
      <rPr>
        <sz val="9"/>
        <color theme="1"/>
        <rFont val="Cambria"/>
        <family val="1"/>
      </rPr>
      <t>)</t>
    </r>
  </si>
  <si>
    <t>an Erdreich grenzende Wände und Bodenplatten eines thermisch nicht konditionierten Kellers</t>
  </si>
  <si>
    <r>
      <t>6.5.4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Charakteristische Längen und Breiten</t>
    </r>
  </si>
  <si>
    <t>Gebäude</t>
  </si>
  <si>
    <t>charakteris­tische Länge</t>
  </si>
  <si>
    <t>charakteris­tische Breite</t>
  </si>
  <si>
    <t>Geschosshöhe</t>
  </si>
  <si>
    <t>Geschosszahl</t>
  </si>
  <si>
    <t>gesamtes Gebäude</t>
  </si>
  <si>
    <t>alle Zonen mit Raumhöhe ≤ 4 m</t>
  </si>
  <si>
    <t>Detailangaben der Versorgungsbereiche</t>
  </si>
  <si>
    <t>Verteilkreise Trinkwarmwasser</t>
  </si>
  <si>
    <t>Wd1</t>
  </si>
  <si>
    <t>TW-Netz</t>
  </si>
  <si>
    <t>Verteilkreise statische Heizung</t>
  </si>
  <si>
    <t>Hd1</t>
  </si>
  <si>
    <t>Technikkreise</t>
  </si>
  <si>
    <r>
      <t>6.6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Gebäudeschwere</t>
    </r>
  </si>
  <si>
    <t>Art der Gebäudezone</t>
  </si>
  <si>
    <t>wirksame Speicherkapazität</t>
  </si>
  <si>
    <t>Zeitkonstante</t>
  </si>
  <si>
    <t>[Wh/(m²K)]</t>
  </si>
  <si>
    <t>[h]</t>
  </si>
  <si>
    <r>
      <t>7</t>
    </r>
    <r>
      <rPr>
        <b/>
        <sz val="7"/>
        <rFont val="Times New Roman"/>
        <family val="1"/>
      </rPr>
      <t xml:space="preserve">         </t>
    </r>
    <r>
      <rPr>
        <b/>
        <sz val="14"/>
        <rFont val="Cambria"/>
        <family val="1"/>
      </rPr>
      <t>Heizwärme- und Kühlbedarf</t>
    </r>
  </si>
  <si>
    <r>
      <t>7.1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Anmerkungen</t>
    </r>
  </si>
  <si>
    <r>
      <t>7.2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Wesentliche Bilanzranddaten nach Zonen</t>
    </r>
  </si>
  <si>
    <t>Daten der Heizperiode</t>
  </si>
  <si>
    <t>Heizperiode</t>
  </si>
  <si>
    <t>mittlere Bilanzinnentemperatur</t>
  </si>
  <si>
    <t>mittlerer Gesamtluftwechsel</t>
  </si>
  <si>
    <t>der Heizperiode</t>
  </si>
  <si>
    <r>
      <t>[h</t>
    </r>
    <r>
      <rPr>
        <vertAlign val="superscript"/>
        <sz val="9"/>
        <color theme="1"/>
        <rFont val="Cambria"/>
        <family val="1"/>
      </rPr>
      <t>-1</t>
    </r>
    <r>
      <rPr>
        <sz val="9"/>
        <color theme="1"/>
        <rFont val="Cambria"/>
        <family val="1"/>
      </rPr>
      <t>]</t>
    </r>
  </si>
  <si>
    <t> Z1</t>
  </si>
  <si>
    <t>Mittelwert aller beheizten Zonen</t>
  </si>
  <si>
    <t>Daten der Kühlperiode</t>
  </si>
  <si>
    <r>
      <t>7.3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Kennwerte für die Ermittlung des Nutzenergiebedarfs</t>
    </r>
  </si>
  <si>
    <r>
      <t>7.3.1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Jährlicher Heizwärmebedarf</t>
    </r>
  </si>
  <si>
    <t>Jährlicher Heizwärmebedarf und Wärmesenken</t>
  </si>
  <si>
    <t>Heizwärme­bedarf</t>
  </si>
  <si>
    <t>Transmissions­wärmesenken</t>
  </si>
  <si>
    <t>Lüftungs­wärmesenken</t>
  </si>
  <si>
    <t>Jährliche Wärmequellen und Fremdwärmenutzungsgrad</t>
  </si>
  <si>
    <t>solare</t>
  </si>
  <si>
    <t>interne</t>
  </si>
  <si>
    <t>Fremdwärme­nutzungsgrad</t>
  </si>
  <si>
    <r>
      <t>7.3.2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Jährlicher Kühlbedarf</t>
    </r>
  </si>
  <si>
    <r>
      <t>7.3.3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Detailkennwerte Heizwärmebedarf</t>
    </r>
  </si>
  <si>
    <t>Heizwärmebedarf in Nutzungs- und Nichtnutzungszeiten</t>
  </si>
  <si>
    <t>Heizwärme­bedarf in der Nutzungszeit</t>
  </si>
  <si>
    <t>Heizwärmebedarf in der Nichtnutzungszeit</t>
  </si>
  <si>
    <t>Aufteilung der internen Wärmequellen</t>
  </si>
  <si>
    <t>Personen und Geräte</t>
  </si>
  <si>
    <t>Sonstige</t>
  </si>
  <si>
    <r>
      <t>7.3.4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Detailkennwerte Kühlbedarf</t>
    </r>
  </si>
  <si>
    <r>
      <t>7.4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Überschlägig ermittelte Heiz- und Kühllast</t>
    </r>
  </si>
  <si>
    <r>
      <t>7.4.1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Heizlast</t>
    </r>
  </si>
  <si>
    <t>absolute Heizlast</t>
  </si>
  <si>
    <t>flächenbezogene Heizlast</t>
  </si>
  <si>
    <t>[kW]</t>
  </si>
  <si>
    <t>[W/m²]</t>
  </si>
  <si>
    <r>
      <t>7.4.2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Kühllast</t>
    </r>
  </si>
  <si>
    <r>
      <t>8</t>
    </r>
    <r>
      <rPr>
        <b/>
        <sz val="7"/>
        <rFont val="Times New Roman"/>
        <family val="1"/>
      </rPr>
      <t xml:space="preserve">         </t>
    </r>
    <r>
      <rPr>
        <b/>
        <sz val="14"/>
        <rFont val="Cambria"/>
        <family val="1"/>
      </rPr>
      <t>Lüftung</t>
    </r>
  </si>
  <si>
    <r>
      <t>8.1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Anmerkungen</t>
    </r>
  </si>
  <si>
    <r>
      <t>8.2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Kennwerte auf Gebäudeebene</t>
    </r>
  </si>
  <si>
    <r>
      <t>8.2.1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Außenluftvolumenstrom und Fensterlüftung</t>
    </r>
  </si>
  <si>
    <t xml:space="preserve">mittlerer Mindestaußenluftvolumenstrom (der thermisch konditionierten Zonen) </t>
  </si>
  <si>
    <t>m³/h</t>
  </si>
  <si>
    <t>… flächenbezogen</t>
  </si>
  <si>
    <t>m³/(hm²)</t>
  </si>
  <si>
    <t>… luftvolumenbezogen, d.h. Mindestaußenluftwechsel</t>
  </si>
  <si>
    <t>mittlerer Fensterluftwechsel</t>
  </si>
  <si>
    <r>
      <t>8.2.2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Kennwerte der mechanischen Lüftung</t>
    </r>
  </si>
  <si>
    <t>Auslegungsvolumenstrom aller RLT-/Lüftungsanlagen</t>
  </si>
  <si>
    <t>[m³/h]</t>
  </si>
  <si>
    <t>Ventilatorleistung aller RLT-/Lüftungsanlagen</t>
  </si>
  <si>
    <t>… spezifisch (volumenstrombezogen)</t>
  </si>
  <si>
    <t>[kW/(m³/s)]</t>
  </si>
  <si>
    <t>mittlere Vollbetriebszeit aller RLT-/Lüftungsanlagen</t>
  </si>
  <si>
    <t>[h/a]</t>
  </si>
  <si>
    <r>
      <t>8.3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Detailkennwerte der Versorgungsbereiche</t>
    </r>
  </si>
  <si>
    <r>
      <t>8.3.1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Funktionen</t>
    </r>
  </si>
  <si>
    <t>Heiz- und Kühlfunktion</t>
  </si>
  <si>
    <t>RLT-/Lüftungsanlage</t>
  </si>
  <si>
    <t>Funktionen</t>
  </si>
  <si>
    <t>Heizen</t>
  </si>
  <si>
    <t>Kühlen</t>
  </si>
  <si>
    <t>Regelungsoptionen des Volumenstroms</t>
  </si>
  <si>
    <t>bedarfsgeführt</t>
  </si>
  <si>
    <t>konstant</t>
  </si>
  <si>
    <t>bedarfsabhängig</t>
  </si>
  <si>
    <t>kühllastabhängig</t>
  </si>
  <si>
    <r>
      <t>8.3.2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Zuluftbehandlung</t>
    </r>
  </si>
  <si>
    <t>Regenerative Luftvorbehandlung im Wohngebäude</t>
  </si>
  <si>
    <t>Wärmerückgewinnung</t>
  </si>
  <si>
    <t>Rückgewinnung von…</t>
  </si>
  <si>
    <t>Rück­wärm­zahl</t>
  </si>
  <si>
    <t>Wärmerück­gewinnungsgrad</t>
  </si>
  <si>
    <t>Wärmerück­gewinnungsklasse</t>
  </si>
  <si>
    <t>Feuchte</t>
  </si>
  <si>
    <t>Zulufttemperatur</t>
  </si>
  <si>
    <t>Vorgabe einer Zulufttemperatur…</t>
  </si>
  <si>
    <t>Jahreswert</t>
  </si>
  <si>
    <t>Monatswert</t>
  </si>
  <si>
    <t>(von … bis …)</t>
  </si>
  <si>
    <t>jährlich</t>
  </si>
  <si>
    <t>monatlich</t>
  </si>
  <si>
    <r>
      <t>8.3.3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Befeuchtung</t>
    </r>
  </si>
  <si>
    <r>
      <t>8.3.4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 xml:space="preserve">Volumenströme </t>
    </r>
  </si>
  <si>
    <t>Auslegungsvolumenstrom</t>
  </si>
  <si>
    <t>Betriebsweise</t>
  </si>
  <si>
    <r>
      <t>8.3.5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Filter</t>
    </r>
  </si>
  <si>
    <t>Zuluftfilterklasse</t>
  </si>
  <si>
    <t>Abluftfilterklasse</t>
  </si>
  <si>
    <r>
      <t>8.3.6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Ventilatoren</t>
    </r>
  </si>
  <si>
    <t>Zuluftventilator</t>
  </si>
  <si>
    <t>Abluftventilator</t>
  </si>
  <si>
    <t>Leistung</t>
  </si>
  <si>
    <t>Leistungs­kennwert</t>
  </si>
  <si>
    <t>Gesamt­wirkungs­grad</t>
  </si>
  <si>
    <r>
      <t>9</t>
    </r>
    <r>
      <rPr>
        <b/>
        <sz val="7"/>
        <rFont val="Times New Roman"/>
        <family val="1"/>
      </rPr>
      <t xml:space="preserve">         </t>
    </r>
    <r>
      <rPr>
        <b/>
        <sz val="14"/>
        <rFont val="Cambria"/>
        <family val="1"/>
      </rPr>
      <t>Trinkwassererwärmung</t>
    </r>
  </si>
  <si>
    <r>
      <t>9.1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Anmerkungen</t>
    </r>
  </si>
  <si>
    <r>
      <t>9.2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Gesamtenergiebilanz auf Gebäudeebene</t>
    </r>
  </si>
  <si>
    <t xml:space="preserve">Energiemengen </t>
  </si>
  <si>
    <t>flächenbezogene Energiekennwerte für thermisch konditionierte…</t>
  </si>
  <si>
    <t>Aufwands-zahl</t>
  </si>
  <si>
    <t>Erläuterungen</t>
  </si>
  <si>
    <t>mit TWW*</t>
  </si>
  <si>
    <t>Nutzenergiebedarf Trinkwarmwasser</t>
  </si>
  <si>
    <t>Zonen mit TWW-Bedarfsdeckung*:</t>
  </si>
  <si>
    <t>Verluste der Wärmeübergabe</t>
  </si>
  <si>
    <t>+</t>
  </si>
  <si>
    <t>Anzahl der Übergabesysteme:</t>
  </si>
  <si>
    <t>Verluste der Wärmeverteilung</t>
  </si>
  <si>
    <t>Anzahl der Verteilnetze:</t>
  </si>
  <si>
    <t>Verluste der Wärmespeicherung</t>
  </si>
  <si>
    <t>Anzahl der Speichersysteme:</t>
  </si>
  <si>
    <t>=</t>
  </si>
  <si>
    <t>Verluste der Wärmeerzeugung</t>
  </si>
  <si>
    <t>Anzahl der Erzeugungssysteme:</t>
  </si>
  <si>
    <t>gesamte</t>
  </si>
  <si>
    <t>von außen zugeführte Endenergie</t>
  </si>
  <si>
    <t>(Gesamt)</t>
  </si>
  <si>
    <t>im System genutzte</t>
  </si>
  <si>
    <t>regenerative Endenergie</t>
  </si>
  <si>
    <t>aus dem System zurückgeführte</t>
  </si>
  <si>
    <t>produ­zierte</t>
  </si>
  <si>
    <t>regenerative Energie</t>
  </si>
  <si>
    <r>
      <t>9.3</t>
    </r>
    <r>
      <rPr>
        <b/>
        <sz val="7"/>
        <color theme="1"/>
        <rFont val="Times New Roman"/>
        <family val="1"/>
      </rPr>
      <t xml:space="preserve">       </t>
    </r>
    <r>
      <rPr>
        <b/>
        <sz val="13"/>
        <color theme="1"/>
        <rFont val="Cambria"/>
        <family val="1"/>
      </rPr>
      <t>Detailkennwerte der Versorgungsbereiche</t>
    </r>
  </si>
  <si>
    <r>
      <t>9.3.1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Wärmeübergabe</t>
    </r>
  </si>
  <si>
    <t>Allgemeine Daten und Beschreibung</t>
  </si>
  <si>
    <t>Beschreibung des Systems</t>
  </si>
  <si>
    <t>Wce1</t>
  </si>
  <si>
    <t>TW-Zapfstellen</t>
  </si>
  <si>
    <t>Einbindung in das Gesamtsystem</t>
  </si>
  <si>
    <t>erhält Energie von:</t>
  </si>
  <si>
    <t>versorgt Zone:</t>
  </si>
  <si>
    <t>Deckungsanteil</t>
  </si>
  <si>
    <t>Energetische Kennwerte</t>
  </si>
  <si>
    <t>Wärmeverlust</t>
  </si>
  <si>
    <t>Aufwandszahl</t>
  </si>
  <si>
    <t>Hilfsenergie</t>
  </si>
  <si>
    <r>
      <t>9.3.2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Wärmeverteilung</t>
    </r>
  </si>
  <si>
    <t>Wg1</t>
  </si>
  <si>
    <t>Detailangaben zur charakteristischen Geometrie des versorgten Bereiches</t>
  </si>
  <si>
    <t>Leitungslängen und Pumpe</t>
  </si>
  <si>
    <t>Leitungslängen</t>
  </si>
  <si>
    <t>Kennwert</t>
  </si>
  <si>
    <t>Pumpen­leistung</t>
  </si>
  <si>
    <t>Steigestränge</t>
  </si>
  <si>
    <t>Anbindung</t>
  </si>
  <si>
    <t>Länge/Fläche</t>
  </si>
  <si>
    <t>[m/m²]</t>
  </si>
  <si>
    <t>[W]</t>
  </si>
  <si>
    <t>Baujahr und Lage</t>
  </si>
  <si>
    <t>Zirku­lation</t>
  </si>
  <si>
    <t>Lage der Verteilleitung</t>
  </si>
  <si>
    <t>Baujahr bzw. Baualtersklasse</t>
  </si>
  <si>
    <t>Baujahr nach 1995</t>
  </si>
  <si>
    <r>
      <t>9.3.3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Wärmespeicherung</t>
    </r>
  </si>
  <si>
    <r>
      <t>9.3.4</t>
    </r>
    <r>
      <rPr>
        <b/>
        <sz val="7"/>
        <rFont val="Times New Roman"/>
        <family val="1"/>
      </rPr>
      <t xml:space="preserve">      </t>
    </r>
    <r>
      <rPr>
        <b/>
        <sz val="12"/>
        <rFont val="Cambria"/>
        <family val="1"/>
      </rPr>
      <t>Wärmeerzeugung</t>
    </r>
  </si>
  <si>
    <t>Teil von Zentrale:</t>
  </si>
  <si>
    <t>Bilanzierung der Energiemengen</t>
  </si>
  <si>
    <t>Wärme­abgabe an das System</t>
  </si>
  <si>
    <t>Erzeuger­verlust</t>
  </si>
  <si>
    <t>nutzbar gemachte regenerative Energie</t>
  </si>
  <si>
    <t>von außen zugeführte</t>
  </si>
  <si>
    <t>(gesamte Endenergie)</t>
  </si>
  <si>
    <t xml:space="preserve">Endenergie </t>
  </si>
  <si>
    <t>[kWh/a]</t>
  </si>
  <si>
    <t>Aufwands­zahl</t>
  </si>
  <si>
    <t>Nutzungsgrad,</t>
  </si>
  <si>
    <t>Arbeitszahl</t>
  </si>
  <si>
    <t>Detailkennwerte Erzeugung</t>
  </si>
  <si>
    <t>kombinierte Erzeugung mit…</t>
  </si>
  <si>
    <t>Energieträger</t>
  </si>
  <si>
    <t>Kollektor­fläche</t>
  </si>
  <si>
    <t>RLT</t>
  </si>
  <si>
    <t>Aufstellort Erzeuger</t>
  </si>
  <si>
    <t>Baujahr</t>
  </si>
  <si>
    <r>
      <t>10</t>
    </r>
    <r>
      <rPr>
        <b/>
        <sz val="7"/>
        <rFont val="Times New Roman"/>
        <family val="1"/>
      </rPr>
      <t xml:space="preserve">    </t>
    </r>
    <r>
      <rPr>
        <b/>
        <sz val="14"/>
        <rFont val="Cambria"/>
        <family val="1"/>
      </rPr>
      <t>Statische Heizsysteme</t>
    </r>
  </si>
  <si>
    <r>
      <t>10.1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Anmerkungen</t>
    </r>
  </si>
  <si>
    <r>
      <t>10.2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Gesamtenergiebilanz auf Gebäudeebene</t>
    </r>
  </si>
  <si>
    <t>mit stat. Heizung</t>
  </si>
  <si>
    <t>Nutzenergiebedarf</t>
  </si>
  <si>
    <t>Anzahl von Zonen mit statischer Heizung:</t>
  </si>
  <si>
    <t>Heizung (statisch)</t>
  </si>
  <si>
    <r>
      <t>10.3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Detailkennwerte der Versorgungsbereiche</t>
    </r>
  </si>
  <si>
    <r>
      <t>10.3.1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Wärmeübergabe</t>
    </r>
  </si>
  <si>
    <t>Hce1</t>
  </si>
  <si>
    <t>freie Heizflächen, überwiegend an den Außenwänden, P-Regler, hydraulischer Abgleich</t>
  </si>
  <si>
    <t>Hce2</t>
  </si>
  <si>
    <t xml:space="preserve">Temperatur­differenz </t>
  </si>
  <si>
    <t>[K]</t>
  </si>
  <si>
    <r>
      <t>10.3.2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Wärmeverteilung</t>
    </r>
  </si>
  <si>
    <t>Temperaturen, Baujahr und Lage</t>
  </si>
  <si>
    <t>Vor-/Rücklauf­temperatur</t>
  </si>
  <si>
    <t>Lage der Verteilung</t>
  </si>
  <si>
    <r>
      <t>10.3.3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Wärmespeicherung</t>
    </r>
  </si>
  <si>
    <r>
      <t>10.3.4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Wärmeerzeugung</t>
    </r>
  </si>
  <si>
    <t>Hg1</t>
  </si>
  <si>
    <t>Brennwertkessel</t>
  </si>
  <si>
    <t>Wärmeab­gabe an das System</t>
  </si>
  <si>
    <t>TWW</t>
  </si>
  <si>
    <r>
      <t>11</t>
    </r>
    <r>
      <rPr>
        <b/>
        <sz val="7"/>
        <rFont val="Times New Roman"/>
        <family val="1"/>
      </rPr>
      <t xml:space="preserve">    </t>
    </r>
    <r>
      <rPr>
        <b/>
        <sz val="14"/>
        <rFont val="Cambria"/>
        <family val="1"/>
      </rPr>
      <t>Luftheizungssysteme und deren Wärmeversorgung</t>
    </r>
  </si>
  <si>
    <r>
      <t>11.1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Anmerkungen</t>
    </r>
  </si>
  <si>
    <r>
      <t>11.2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Gesamtenergiebilanz auf Gebäudeebene</t>
    </r>
  </si>
  <si>
    <t>mit Luftheizung</t>
  </si>
  <si>
    <t>Kanalnetz</t>
  </si>
  <si>
    <r>
      <t>12</t>
    </r>
    <r>
      <rPr>
        <b/>
        <sz val="7"/>
        <rFont val="Times New Roman"/>
        <family val="1"/>
      </rPr>
      <t xml:space="preserve">    </t>
    </r>
    <r>
      <rPr>
        <b/>
        <sz val="14"/>
        <rFont val="Cambria"/>
        <family val="1"/>
      </rPr>
      <t>Statische Kühlsysteme</t>
    </r>
  </si>
  <si>
    <t>Pumpenleistung</t>
  </si>
  <si>
    <t>Strom</t>
  </si>
  <si>
    <r>
      <t>13</t>
    </r>
    <r>
      <rPr>
        <b/>
        <sz val="7"/>
        <rFont val="Times New Roman"/>
        <family val="1"/>
      </rPr>
      <t xml:space="preserve">    </t>
    </r>
    <r>
      <rPr>
        <b/>
        <sz val="14"/>
        <rFont val="Cambria"/>
        <family val="1"/>
      </rPr>
      <t>Luftkühlsysteme und deren Kälteversorgung</t>
    </r>
  </si>
  <si>
    <r>
      <t>14</t>
    </r>
    <r>
      <rPr>
        <b/>
        <sz val="7"/>
        <rFont val="Times New Roman"/>
        <family val="1"/>
      </rPr>
      <t xml:space="preserve">    </t>
    </r>
    <r>
      <rPr>
        <b/>
        <sz val="14"/>
        <rFont val="Cambria"/>
        <family val="1"/>
      </rPr>
      <t>Dampfversorgung bzw. Befeuchtung der RLT</t>
    </r>
  </si>
  <si>
    <r>
      <t>15</t>
    </r>
    <r>
      <rPr>
        <b/>
        <sz val="7"/>
        <rFont val="Times New Roman"/>
        <family val="1"/>
      </rPr>
      <t xml:space="preserve">    </t>
    </r>
    <r>
      <rPr>
        <b/>
        <sz val="14"/>
        <rFont val="Cambria"/>
        <family val="1"/>
      </rPr>
      <t>Beleuchtung</t>
    </r>
  </si>
  <si>
    <r>
      <t>16</t>
    </r>
    <r>
      <rPr>
        <b/>
        <sz val="7"/>
        <rFont val="Times New Roman"/>
        <family val="1"/>
      </rPr>
      <t xml:space="preserve">    </t>
    </r>
    <r>
      <rPr>
        <b/>
        <sz val="14"/>
        <rFont val="Cambria"/>
        <family val="1"/>
      </rPr>
      <t>Stromerzeugung und Netzanschlüsse</t>
    </r>
  </si>
  <si>
    <r>
      <t>16.1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Anmerkungen</t>
    </r>
  </si>
  <si>
    <r>
      <t>16.2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Photovoltaik</t>
    </r>
  </si>
  <si>
    <r>
      <t>16.3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Mikrowindkraft</t>
    </r>
  </si>
  <si>
    <r>
      <t>16.4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Gebäudeinterne BHKW-Zentrale</t>
    </r>
  </si>
  <si>
    <r>
      <t>16.5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Anschluss an ein Wärme- oder Kältenetz</t>
    </r>
  </si>
  <si>
    <r>
      <t>17</t>
    </r>
    <r>
      <rPr>
        <b/>
        <sz val="7"/>
        <rFont val="Times New Roman"/>
        <family val="1"/>
      </rPr>
      <t xml:space="preserve">    </t>
    </r>
    <r>
      <rPr>
        <b/>
        <sz val="14"/>
        <rFont val="Cambria"/>
        <family val="1"/>
      </rPr>
      <t>Gebäudeautomation</t>
    </r>
  </si>
  <si>
    <r>
      <t>17.1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Übersicht der Klassifizierung</t>
    </r>
  </si>
  <si>
    <t>Hei­zung</t>
  </si>
  <si>
    <t>Küh­lung</t>
  </si>
  <si>
    <t>Wohnungs-lüftung</t>
  </si>
  <si>
    <t>Gebäude-management</t>
  </si>
  <si>
    <t>Übergabe Wärme/Kälte/ Luft bzw. Präsenzerfassung bei Beleuchtung</t>
  </si>
  <si>
    <t>C/C</t>
  </si>
  <si>
    <t>C</t>
  </si>
  <si>
    <t>Verteilung Wärme/Kälte/ Luft bzw. Sonnenschutz</t>
  </si>
  <si>
    <t>C/B</t>
  </si>
  <si>
    <t>B</t>
  </si>
  <si>
    <t>bei Beleuchtung</t>
  </si>
  <si>
    <t>Speicherung und Erzeugung Wärme/Kälte bzw. Luftaufbereitung bei RLT bzw. Kunstlichtregelung</t>
  </si>
  <si>
    <r>
      <t>18</t>
    </r>
    <r>
      <rPr>
        <b/>
        <sz val="7"/>
        <rFont val="Times New Roman"/>
        <family val="1"/>
      </rPr>
      <t xml:space="preserve">    </t>
    </r>
    <r>
      <rPr>
        <b/>
        <sz val="14"/>
        <rFont val="Cambria"/>
        <family val="1"/>
      </rPr>
      <t>Nachweis</t>
    </r>
  </si>
  <si>
    <r>
      <t>18.1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Ausgabedatum der öffentlich-rechtlichen Regelungen</t>
    </r>
  </si>
  <si>
    <t>Gesetzliche Grundlage:</t>
  </si>
  <si>
    <t>GEG</t>
  </si>
  <si>
    <t>Ausgabejahr:</t>
  </si>
  <si>
    <r>
      <t>18.2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Grund der Ausstellung</t>
    </r>
  </si>
  <si>
    <t>Neubau/ Bauantrag:</t>
  </si>
  <si>
    <t>Neubau/ Energieausweis:</t>
  </si>
  <si>
    <t>Bestand / Bauantrag:</t>
  </si>
  <si>
    <t>Bestand / Energieausweis:</t>
  </si>
  <si>
    <t>Fördermittelnachweis:</t>
  </si>
  <si>
    <t>andere Gründe:</t>
  </si>
  <si>
    <r>
      <t>18.3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Registriernummer des Energieausweises</t>
    </r>
  </si>
  <si>
    <t>Registriernummer:</t>
  </si>
  <si>
    <r>
      <t>18.4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Energiesparrechtliche Nachweise</t>
    </r>
  </si>
  <si>
    <r>
      <t>18.4.1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Nicht erneuerbarer Primärenergiebedarf</t>
    </r>
  </si>
  <si>
    <t>Nachweispflichtige Größe:</t>
  </si>
  <si>
    <t>Wert des Referenzgebäudes</t>
  </si>
  <si>
    <t>Anforderungswert</t>
  </si>
  <si>
    <t>Wert des nachzu­weisenden Gebäudes</t>
  </si>
  <si>
    <t>(Referenz · Faktor)</t>
  </si>
  <si>
    <t>nicht erneuerbarer Primärenergiebedarf</t>
  </si>
  <si>
    <r>
      <t>18.4.2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Nicht erneuerbarer Endenergiebedarf</t>
    </r>
  </si>
  <si>
    <t>Wert des</t>
  </si>
  <si>
    <t xml:space="preserve">Wert des </t>
  </si>
  <si>
    <t>Referenzgebäudes</t>
  </si>
  <si>
    <t>nachzuweisenden Gebäudes</t>
  </si>
  <si>
    <t>nicht erneuerbarer Endenergiebedarf</t>
  </si>
  <si>
    <r>
      <t>18.4.3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CO</t>
    </r>
    <r>
      <rPr>
        <b/>
        <vertAlign val="subscript"/>
        <sz val="12"/>
        <rFont val="Cambria"/>
        <family val="1"/>
      </rPr>
      <t>2</t>
    </r>
    <r>
      <rPr>
        <b/>
        <sz val="12"/>
        <rFont val="Cambria"/>
        <family val="1"/>
      </rPr>
      <t>-Emissionen</t>
    </r>
  </si>
  <si>
    <r>
      <t>CO</t>
    </r>
    <r>
      <rPr>
        <vertAlign val="subscript"/>
        <sz val="9"/>
        <color theme="1"/>
        <rFont val="Cambria"/>
        <family val="1"/>
      </rPr>
      <t>2</t>
    </r>
    <r>
      <rPr>
        <sz val="9"/>
        <color theme="1"/>
        <rFont val="Cambria"/>
        <family val="1"/>
      </rPr>
      <t>-Emissionen</t>
    </r>
  </si>
  <si>
    <r>
      <t>18.4.4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spezifischer Transmissionswärmeverlust des Gebäudes</t>
    </r>
  </si>
  <si>
    <t>verglichen mit dem Referenzgebäude</t>
  </si>
  <si>
    <r>
      <t>H</t>
    </r>
    <r>
      <rPr>
        <vertAlign val="subscript"/>
        <sz val="9"/>
        <color theme="1"/>
        <rFont val="Cambria"/>
        <family val="1"/>
      </rPr>
      <t>T</t>
    </r>
    <r>
      <rPr>
        <sz val="9"/>
        <color theme="1"/>
        <rFont val="Cambria"/>
        <family val="1"/>
      </rPr>
      <t>'</t>
    </r>
  </si>
  <si>
    <t xml:space="preserve">spezifischer Transmis­sionswärmeverlust </t>
  </si>
  <si>
    <t>verglichen mit dem tabellierten Maximalwert</t>
  </si>
  <si>
    <t>tabellierter Höchstwert</t>
  </si>
  <si>
    <t>(Höchstwert · Faktor)</t>
  </si>
  <si>
    <r>
      <t>18.4.5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mittlere Wärmedurchgangskoeffizienten</t>
    </r>
  </si>
  <si>
    <t>Ū</t>
  </si>
  <si>
    <t>(normal) beheizte Zonen</t>
  </si>
  <si>
    <t>niedrig beheizte Zonen</t>
  </si>
  <si>
    <t>transparente Bauteile: Fenster und Dachflächenfenster</t>
  </si>
  <si>
    <t>transparente Bauteile: Glasdoppel-/Vorhangfassaden</t>
  </si>
  <si>
    <t>transparente Bauteile: Glasdächer, Lichtbänder/-kuppeln</t>
  </si>
  <si>
    <r>
      <t>18.5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Vergleich Gebäude und Referenzgebäude</t>
    </r>
  </si>
  <si>
    <t>Endenergien für Heizung (incl. RLT und Luftheizung), flächenbezogen</t>
  </si>
  <si>
    <t>Endenergie ohne Hilfsenergie</t>
  </si>
  <si>
    <t>Gebäude­kennwert</t>
  </si>
  <si>
    <t>Referenz-gebäude</t>
  </si>
  <si>
    <t>Abweichung</t>
  </si>
  <si>
    <t>Endenergien für Kühlung (incl. RLT und Luftkühlung), flächenbezogen</t>
  </si>
  <si>
    <t>Endenergien für Trinkwarmwasser, flächenbezogen</t>
  </si>
  <si>
    <t>Endenergien für Beleuchtung, flächenbezogen</t>
  </si>
  <si>
    <t>Endenergien für Luftförderung, flächenbezogen</t>
  </si>
  <si>
    <t>Endenergien für Befeuchtung, flächenbezogen</t>
  </si>
  <si>
    <t>Wohngebäude, 12345 Musterstadt</t>
  </si>
  <si>
    <t>Wohnbau</t>
  </si>
  <si>
    <t>Familie Testberger</t>
  </si>
  <si>
    <t>Beispielstaße 89</t>
  </si>
  <si>
    <t>Wohnfläche*</t>
  </si>
  <si>
    <t>Gebäudenutzfläche (aus dem umbauten Volumen berechnet)</t>
  </si>
  <si>
    <t>* nach 2. Berechnungsverordnung (II. BV), Wohnflächenverordnung, DIN 277 oder DIN 283</t>
  </si>
  <si>
    <t>Wohnen</t>
  </si>
  <si>
    <t>Wohnungslüftung</t>
  </si>
  <si>
    <t>RV1</t>
  </si>
  <si>
    <t>EFH</t>
  </si>
  <si>
    <t>Weitere Angaben für den Wohnungsbau</t>
  </si>
  <si>
    <t>Anzahl der Wohneinheiten</t>
  </si>
  <si>
    <t>Wandfenster</t>
  </si>
  <si>
    <t>TA1</t>
  </si>
  <si>
    <t>Hautür</t>
  </si>
  <si>
    <t>30°</t>
  </si>
  <si>
    <t>FD1</t>
  </si>
  <si>
    <t>Dachflächenfenster</t>
  </si>
  <si>
    <t>FU1</t>
  </si>
  <si>
    <t>Wintergartenfenster</t>
  </si>
  <si>
    <t>Wintergartenwand</t>
  </si>
  <si>
    <t>WA2</t>
  </si>
  <si>
    <t>DA2</t>
  </si>
  <si>
    <t>Gaubenwand</t>
  </si>
  <si>
    <t>Gaubendach</t>
  </si>
  <si>
    <t>mittelschwer</t>
  </si>
  <si>
    <t>ϑ e</t>
  </si>
  <si>
    <t>ϑ u</t>
  </si>
  <si>
    <t>Gt draußen</t>
  </si>
  <si>
    <t>Kh/a</t>
  </si>
  <si>
    <t>Kh/mth</t>
  </si>
  <si>
    <t>Gt unbeheizt</t>
  </si>
  <si>
    <t>Verhältnis (Fx)</t>
  </si>
  <si>
    <t>mitlere innentemperatur</t>
  </si>
  <si>
    <t>Heizzeit</t>
  </si>
  <si>
    <t>mitlere außentemperatur</t>
  </si>
  <si>
    <t>k., A.</t>
  </si>
  <si>
    <t>Zapfstellen</t>
  </si>
  <si>
    <t>zentrale Versorgung, ohne Zirkulation, Netztyp I/II, Verteilleitungen im beheizten Bereich</t>
  </si>
  <si>
    <t>Ws1</t>
  </si>
  <si>
    <t>Speichervolumen und Pumpe</t>
  </si>
  <si>
    <t>Speichervolumen</t>
  </si>
  <si>
    <t>Stückzahl Speicher (zentral)</t>
  </si>
  <si>
    <t>[l]</t>
  </si>
  <si>
    <t>Aufstellort Speicher</t>
  </si>
  <si>
    <t>beheizter Bereich, Zone Z1</t>
  </si>
  <si>
    <t>Solarspeicher</t>
  </si>
  <si>
    <t>bivalenter Solarspeicher</t>
  </si>
  <si>
    <t>Wg2</t>
  </si>
  <si>
    <t>Flachkollektoren</t>
  </si>
  <si>
    <t>Brennwertkessel verbessert, Heizöl</t>
  </si>
  <si>
    <t>Heizöl</t>
  </si>
  <si>
    <r>
      <t>16.2.1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Photovoltaikfeld</t>
    </r>
  </si>
  <si>
    <t>Systembeschreibung</t>
  </si>
  <si>
    <t>Peakleistung der Photovoltaikanlage</t>
  </si>
  <si>
    <t>Ausrichtung</t>
  </si>
  <si>
    <t>SW</t>
  </si>
  <si>
    <t>Neigung</t>
  </si>
  <si>
    <t>Ertrag der Anlage</t>
  </si>
  <si>
    <r>
      <t>16.2.2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Batteriespeicher</t>
    </r>
  </si>
  <si>
    <r>
      <t>16.2.3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Strombilanz</t>
    </r>
  </si>
  <si>
    <t>Stromzufuhr in den Bilanzraum</t>
  </si>
  <si>
    <t>Jahresenergiemenge</t>
  </si>
  <si>
    <t>Anteile</t>
  </si>
  <si>
    <t>produzierter PV-Strom</t>
  </si>
  <si>
    <t>Strom aus dem öffentlichen Netz</t>
  </si>
  <si>
    <t>Stromverwendung</t>
  </si>
  <si>
    <t>genutzter PV-Strom</t>
  </si>
  <si>
    <t>Batteriespeicherverluste</t>
  </si>
  <si>
    <t>Rückspeisung in das öffentliche Netz</t>
  </si>
  <si>
    <t>Bilanzielle Anrechenbarkeit</t>
  </si>
  <si>
    <t>anrechenbarer, nutzbarer Ertrag der Anlage</t>
  </si>
  <si>
    <t>Heizkörper</t>
  </si>
  <si>
    <t>FBH</t>
  </si>
  <si>
    <t>integrierte Heizflächen, mit Mindestdämmung, PI-Regler, hydraulischer Abgleich</t>
  </si>
  <si>
    <t>Hd2</t>
  </si>
  <si>
    <t>FBH-Netz</t>
  </si>
  <si>
    <t>HK-Netz</t>
  </si>
  <si>
    <t>zentrale Versorgung, Netztyp I, Verteilleitungen im Bereich, Zweirohrheizung, konstantgeregelte Pumpe, statischer hydraulischer Abgleich</t>
  </si>
  <si>
    <t>zentrale Versorgung, Netztyp IIb, Verteilleitungen im beheizten Bereich, Zweirohrheizung, konstantgeregelte Pumpe, statischer hydraulischer Abgleich</t>
  </si>
  <si>
    <t>Anzahl von Anlagen:</t>
  </si>
  <si>
    <t>RVce1</t>
  </si>
  <si>
    <t>RVd1</t>
  </si>
  <si>
    <t>Steigleitung</t>
  </si>
  <si>
    <t>Verteilleitung</t>
  </si>
  <si>
    <t>monokristallines Silizium, mäßig belüftete Module</t>
  </si>
  <si>
    <t>-/C/D</t>
  </si>
  <si>
    <t>-/-</t>
  </si>
  <si>
    <t>-/-/-</t>
  </si>
  <si>
    <t>H gesamt</t>
  </si>
  <si>
    <t>H RLT</t>
  </si>
  <si>
    <t>C gesamt</t>
  </si>
  <si>
    <t>C RLT</t>
  </si>
  <si>
    <t>Licht</t>
  </si>
  <si>
    <t>wohnen</t>
  </si>
  <si>
    <t>L</t>
  </si>
  <si>
    <t>St</t>
  </si>
  <si>
    <t>aux</t>
  </si>
  <si>
    <t>V</t>
  </si>
  <si>
    <t>k. A</t>
  </si>
  <si>
    <t>Q Gesamt</t>
  </si>
  <si>
    <t>Q ohne reg</t>
  </si>
  <si>
    <t>Solar</t>
  </si>
  <si>
    <t>Luftauslässe</t>
  </si>
  <si>
    <t>Zonenregelung, P-Regler (1K), Außenwandbereich</t>
  </si>
  <si>
    <t>Lüftungsnetz</t>
  </si>
  <si>
    <t xml:space="preserve">(durch Umschalten in Software: </t>
  </si>
  <si>
    <t>)</t>
  </si>
  <si>
    <t>aus Bilanz</t>
  </si>
  <si>
    <t>End:</t>
  </si>
  <si>
    <t>aus T5</t>
  </si>
  <si>
    <t>out:</t>
  </si>
  <si>
    <t>Nutz:</t>
  </si>
  <si>
    <t>die Endenergie liegt über der Endenergie für Heizöl</t>
  </si>
  <si>
    <t>das sollte dann der WRG-Gewinn sein…</t>
  </si>
  <si>
    <t>WRG (Vermutung)</t>
  </si>
  <si>
    <t>der Nutzwärmebedarf (HK+FBH+WLA) liegt über dem Heizwärmebedarf</t>
  </si>
  <si>
    <t>entweder ist das der Gewinn der WLA oder die Verluste (ce, d) nach dem HR oder beides anteilig/gegenläufig</t>
  </si>
  <si>
    <t>FAZIT:</t>
  </si>
  <si>
    <t>die WLA-Bilanz lässt sich nicht nachvollziehen</t>
  </si>
  <si>
    <t>es werden daher Annahmen getroffen</t>
  </si>
  <si>
    <t>Luftführendes System</t>
  </si>
  <si>
    <t>qh</t>
  </si>
  <si>
    <t>qce</t>
  </si>
  <si>
    <t>qd</t>
  </si>
  <si>
    <t>qoutg</t>
  </si>
  <si>
    <t>Wasserführendes System</t>
  </si>
  <si>
    <t>qg</t>
  </si>
  <si>
    <t>qf</t>
  </si>
  <si>
    <t>Rest bei der Heizölbilanz</t>
  </si>
  <si>
    <t>Rest bei der Raumbilanz</t>
  </si>
  <si>
    <t>ergibt sich</t>
  </si>
  <si>
    <t>für Ausdruck</t>
  </si>
  <si>
    <t>Nutzungsgrad wie im Heiznetz</t>
  </si>
  <si>
    <t>aus Teil 6 mit Δ ϑ  =1,2 K abgeschätzt</t>
  </si>
  <si>
    <t>Rest; kleiner, damit für Übergabe etwas übrig ist</t>
  </si>
  <si>
    <r>
      <t>11.2.1</t>
    </r>
    <r>
      <rPr>
        <b/>
        <sz val="12"/>
        <rFont val="Times New Roman"/>
        <family val="1"/>
      </rPr>
      <t xml:space="preserve">  Luft- und warmluftführende </t>
    </r>
    <r>
      <rPr>
        <b/>
        <sz val="12"/>
        <rFont val="Cambria"/>
        <family val="1"/>
      </rPr>
      <t>Systeme in Nichtwohngebäuden</t>
    </r>
  </si>
  <si>
    <r>
      <t>11.2.2</t>
    </r>
    <r>
      <rPr>
        <b/>
        <sz val="12"/>
        <rFont val="Times New Roman"/>
        <family val="1"/>
      </rPr>
      <t xml:space="preserve">  </t>
    </r>
    <r>
      <rPr>
        <b/>
        <sz val="12"/>
        <rFont val="Cambria"/>
        <family val="1"/>
      </rPr>
      <t>Wärmeversorgung der Lufterwärmung in Nichtwohngebäuden</t>
    </r>
  </si>
  <si>
    <r>
      <t>11.2.3</t>
    </r>
    <r>
      <rPr>
        <b/>
        <sz val="12"/>
        <rFont val="Times New Roman"/>
        <family val="1"/>
      </rPr>
      <t>  Luft- und w</t>
    </r>
    <r>
      <rPr>
        <b/>
        <sz val="12"/>
        <rFont val="Cambria"/>
        <family val="1"/>
      </rPr>
      <t>armluftführende Systeme in Wohngebäuden</t>
    </r>
  </si>
  <si>
    <t>11.2.4  Wärmeversorgung der Lufterwärmung in Wohngebäuden</t>
  </si>
  <si>
    <r>
      <t>11.3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Detailkennwerte der luft- und warmluftführende Systeme in Nichtwohngebäuden</t>
    </r>
  </si>
  <si>
    <r>
      <t>11.4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Detailkennwerte der luft- und warmluftführende Systeme in Wohngebäuden</t>
    </r>
  </si>
  <si>
    <r>
      <t>11.5</t>
    </r>
    <r>
      <rPr>
        <b/>
        <sz val="7"/>
        <color theme="1"/>
        <rFont val="Times New Roman"/>
        <family val="1"/>
      </rPr>
      <t xml:space="preserve">  </t>
    </r>
    <r>
      <rPr>
        <b/>
        <sz val="13"/>
        <color theme="1"/>
        <rFont val="Cambria"/>
        <family val="1"/>
      </rPr>
      <t>Detailkennwerte der Wärmeversorgung der Lufterwärmung</t>
    </r>
  </si>
  <si>
    <r>
      <t>11.4.1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Wärmeübergabe</t>
    </r>
  </si>
  <si>
    <r>
      <t>11.4.1</t>
    </r>
    <r>
      <rPr>
        <b/>
        <sz val="12"/>
        <rFont val="Times New Roman"/>
        <family val="1"/>
      </rPr>
      <t>  W</t>
    </r>
    <r>
      <rPr>
        <b/>
        <sz val="12"/>
        <rFont val="Cambria"/>
        <family val="1"/>
      </rPr>
      <t>armluftübergabe</t>
    </r>
  </si>
  <si>
    <r>
      <t>11.4.2</t>
    </r>
    <r>
      <rPr>
        <b/>
        <sz val="12"/>
        <rFont val="Times New Roman"/>
        <family val="1"/>
      </rPr>
      <t>  Warmluft</t>
    </r>
    <r>
      <rPr>
        <b/>
        <sz val="12"/>
        <rFont val="Cambria"/>
        <family val="1"/>
      </rPr>
      <t>verteilung</t>
    </r>
  </si>
  <si>
    <t>Anzahl von Zonen</t>
  </si>
  <si>
    <t>mit Luftheizung:</t>
  </si>
  <si>
    <t>H*ce1</t>
  </si>
  <si>
    <t>Regelung nach Raumtemperatur, hohqualitative Regelung</t>
  </si>
  <si>
    <t>versorgt Anlage:</t>
  </si>
  <si>
    <t>H*d1</t>
  </si>
  <si>
    <r>
      <t>11.4.2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Wärmeverteilung</t>
    </r>
  </si>
  <si>
    <r>
      <t>11.4.3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Wärmespeicherung</t>
    </r>
  </si>
  <si>
    <r>
      <t>11.4.4</t>
    </r>
    <r>
      <rPr>
        <b/>
        <sz val="7"/>
        <rFont val="Times New Roman"/>
        <family val="1"/>
      </rPr>
      <t xml:space="preserve">  </t>
    </r>
    <r>
      <rPr>
        <b/>
        <sz val="12"/>
        <rFont val="Cambria"/>
        <family val="1"/>
      </rPr>
      <t>Wärmeerzeugung</t>
    </r>
  </si>
  <si>
    <t>H*g1</t>
  </si>
  <si>
    <t>Wärme-abgabe an das System</t>
  </si>
  <si>
    <t>Luftführendes System; dort geführt unter "Erzeugung"</t>
  </si>
  <si>
    <t>zentrale Versorgung, Zu- und Abluftsystem, mit Wärmerückgewinnung, Gleichstromventilator</t>
  </si>
  <si>
    <t>Heizregister WLA</t>
  </si>
  <si>
    <t>Netztyp IV, Verteilleitungen im beheizten Bereich, konstantgeregelt Pumpe, statischer hydraulischer Abgleich</t>
  </si>
  <si>
    <t>Heizregisterkreis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</si>
</sst>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,##0.0"/>
    <numFmt numFmtId="167" formatCode="0.0%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mbria"/>
      <family val="1"/>
    </font>
    <font>
      <b/>
      <sz val="7"/>
      <name val="Times New Roman"/>
      <family val="1"/>
    </font>
    <font>
      <b/>
      <sz val="13"/>
      <color theme="1"/>
      <name val="Cambria"/>
      <family val="1"/>
    </font>
    <font>
      <b/>
      <sz val="7"/>
      <color theme="1"/>
      <name val="Times New Roman"/>
      <family val="1"/>
    </font>
    <font>
      <sz val="9"/>
      <color theme="1"/>
      <name val="Cambria"/>
      <family val="1"/>
    </font>
    <font>
      <sz val="12"/>
      <color theme="1"/>
      <name val="Wingdings 2"/>
      <family val="1"/>
      <charset val="2"/>
    </font>
    <font>
      <b/>
      <sz val="9"/>
      <color theme="1"/>
      <name val="Cambria"/>
      <family val="1"/>
    </font>
    <font>
      <b/>
      <sz val="12"/>
      <name val="Cambria"/>
      <family val="1"/>
    </font>
    <font>
      <vertAlign val="superscript"/>
      <sz val="9"/>
      <color theme="1"/>
      <name val="Cambria"/>
      <family val="1"/>
    </font>
    <font>
      <sz val="12"/>
      <color theme="1"/>
      <name val="Cambria"/>
      <family val="1"/>
    </font>
    <font>
      <vertAlign val="subscript"/>
      <sz val="9"/>
      <color theme="1"/>
      <name val="Cambria"/>
      <family val="1"/>
    </font>
    <font>
      <sz val="10"/>
      <color theme="1"/>
      <name val="Times New Roman"/>
      <family val="1"/>
    </font>
    <font>
      <b/>
      <vertAlign val="subscript"/>
      <sz val="13"/>
      <color theme="1"/>
      <name val="Cambria"/>
      <family val="1"/>
    </font>
    <font>
      <b/>
      <vertAlign val="subscript"/>
      <sz val="12"/>
      <name val="Cambria"/>
      <family val="1"/>
    </font>
    <font>
      <b/>
      <sz val="7"/>
      <color rgb="FF000000"/>
      <name val="Times New Roman"/>
      <family val="1"/>
    </font>
    <font>
      <b/>
      <sz val="12"/>
      <color rgb="FF000000"/>
      <name val="Cambria"/>
      <family val="1"/>
    </font>
    <font>
      <b/>
      <vertAlign val="subscript"/>
      <sz val="12"/>
      <color rgb="FF000000"/>
      <name val="Cambria"/>
      <family val="1"/>
    </font>
    <font>
      <b/>
      <vertAlign val="subscript"/>
      <sz val="9"/>
      <color theme="1"/>
      <name val="Cambria"/>
      <family val="1"/>
    </font>
    <font>
      <vertAlign val="subscript"/>
      <sz val="9"/>
      <color theme="1"/>
      <name val="Cambria Math"/>
      <family val="1"/>
    </font>
    <font>
      <b/>
      <sz val="1"/>
      <color theme="1"/>
      <name val="Cambria"/>
      <family val="1"/>
    </font>
    <font>
      <sz val="9"/>
      <color rgb="FF0070C0"/>
      <name val="Cambria"/>
      <family val="1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name val="Times New Roman"/>
      <family val="1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5D632"/>
        <bgColor indexed="64"/>
      </patternFill>
    </fill>
    <fill>
      <patternFill patternType="solid">
        <fgColor rgb="FFA2E98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AF6D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05">
    <xf numFmtId="0" fontId="0" fillId="0" borderId="0" xfId="0"/>
    <xf numFmtId="4" fontId="0" fillId="0" borderId="0" xfId="0" applyNumberFormat="1"/>
    <xf numFmtId="0" fontId="18" fillId="33" borderId="0" xfId="0" applyFont="1" applyFill="1" applyAlignment="1">
      <alignment horizontal="left" vertical="center"/>
    </xf>
    <xf numFmtId="0" fontId="0" fillId="33" borderId="0" xfId="0" applyFill="1" applyAlignment="1"/>
    <xf numFmtId="0" fontId="0" fillId="34" borderId="0" xfId="0" applyFill="1" applyAlignment="1"/>
    <xf numFmtId="0" fontId="20" fillId="34" borderId="0" xfId="0" applyFont="1" applyFill="1" applyAlignment="1">
      <alignment horizontal="left" vertical="center"/>
    </xf>
    <xf numFmtId="0" fontId="0" fillId="0" borderId="0" xfId="0" applyAlignment="1"/>
    <xf numFmtId="0" fontId="22" fillId="0" borderId="10" xfId="0" applyFont="1" applyBorder="1" applyAlignment="1">
      <alignment vertical="center"/>
    </xf>
    <xf numFmtId="0" fontId="22" fillId="35" borderId="10" xfId="0" applyFont="1" applyFill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35" borderId="11" xfId="0" applyFont="1" applyFill="1" applyBorder="1" applyAlignment="1">
      <alignment vertical="center"/>
    </xf>
    <xf numFmtId="0" fontId="23" fillId="36" borderId="10" xfId="0" applyFont="1" applyFill="1" applyBorder="1" applyAlignment="1">
      <alignment vertical="center"/>
    </xf>
    <xf numFmtId="0" fontId="23" fillId="36" borderId="11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12" xfId="0" applyFont="1" applyBorder="1" applyAlignment="1">
      <alignment vertical="center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37" borderId="0" xfId="0" applyFill="1" applyAlignment="1"/>
    <xf numFmtId="0" fontId="24" fillId="37" borderId="0" xfId="0" applyFont="1" applyFill="1" applyAlignment="1">
      <alignment vertical="center"/>
    </xf>
    <xf numFmtId="164" fontId="22" fillId="35" borderId="11" xfId="0" applyNumberFormat="1" applyFont="1" applyFill="1" applyBorder="1" applyAlignment="1">
      <alignment horizontal="center" vertical="center"/>
    </xf>
    <xf numFmtId="0" fontId="25" fillId="34" borderId="0" xfId="0" applyFont="1" applyFill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35" borderId="19" xfId="0" applyFont="1" applyFill="1" applyBorder="1" applyAlignment="1">
      <alignment horizontal="center" vertical="center"/>
    </xf>
    <xf numFmtId="0" fontId="22" fillId="35" borderId="21" xfId="0" applyFont="1" applyFill="1" applyBorder="1" applyAlignment="1">
      <alignment vertical="center"/>
    </xf>
    <xf numFmtId="0" fontId="22" fillId="35" borderId="19" xfId="0" applyFont="1" applyFill="1" applyBorder="1" applyAlignment="1">
      <alignment vertical="center"/>
    </xf>
    <xf numFmtId="0" fontId="23" fillId="36" borderId="19" xfId="0" applyFont="1" applyFill="1" applyBorder="1" applyAlignment="1">
      <alignment horizontal="center" vertical="center"/>
    </xf>
    <xf numFmtId="0" fontId="22" fillId="36" borderId="19" xfId="0" applyFont="1" applyFill="1" applyBorder="1" applyAlignment="1">
      <alignment horizontal="center" vertical="center"/>
    </xf>
    <xf numFmtId="0" fontId="22" fillId="0" borderId="21" xfId="0" applyFont="1" applyBorder="1" applyAlignment="1">
      <alignment vertical="center"/>
    </xf>
    <xf numFmtId="0" fontId="22" fillId="35" borderId="10" xfId="0" applyFont="1" applyFill="1" applyBorder="1" applyAlignment="1">
      <alignment horizontal="center" vertical="center"/>
    </xf>
    <xf numFmtId="0" fontId="23" fillId="36" borderId="11" xfId="0" applyFont="1" applyFill="1" applyBorder="1" applyAlignment="1">
      <alignment horizontal="center" vertical="center"/>
    </xf>
    <xf numFmtId="0" fontId="23" fillId="36" borderId="10" xfId="0" applyFont="1" applyFill="1" applyBorder="1" applyAlignment="1">
      <alignment vertical="center"/>
    </xf>
    <xf numFmtId="0" fontId="23" fillId="36" borderId="10" xfId="0" applyFont="1" applyFill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0" fontId="23" fillId="36" borderId="16" xfId="0" applyFont="1" applyFill="1" applyBorder="1" applyAlignment="1">
      <alignment horizontal="center" vertical="center"/>
    </xf>
    <xf numFmtId="0" fontId="22" fillId="0" borderId="16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35" borderId="11" xfId="0" applyFont="1" applyFill="1" applyBorder="1" applyAlignment="1">
      <alignment horizontal="center" vertical="center"/>
    </xf>
    <xf numFmtId="0" fontId="22" fillId="38" borderId="18" xfId="0" applyFont="1" applyFill="1" applyBorder="1" applyAlignment="1">
      <alignment horizontal="center" vertical="center"/>
    </xf>
    <xf numFmtId="0" fontId="22" fillId="38" borderId="19" xfId="0" applyFont="1" applyFill="1" applyBorder="1" applyAlignment="1">
      <alignment horizontal="center" vertical="center"/>
    </xf>
    <xf numFmtId="164" fontId="22" fillId="35" borderId="19" xfId="0" applyNumberFormat="1" applyFont="1" applyFill="1" applyBorder="1" applyAlignment="1">
      <alignment horizontal="center" vertical="center"/>
    </xf>
    <xf numFmtId="1" fontId="22" fillId="35" borderId="19" xfId="0" applyNumberFormat="1" applyFont="1" applyFill="1" applyBorder="1" applyAlignment="1">
      <alignment horizontal="center" vertical="center"/>
    </xf>
    <xf numFmtId="0" fontId="22" fillId="0" borderId="24" xfId="0" applyFont="1" applyBorder="1" applyAlignment="1">
      <alignment vertical="center"/>
    </xf>
    <xf numFmtId="0" fontId="22" fillId="38" borderId="16" xfId="0" applyFont="1" applyFill="1" applyBorder="1" applyAlignment="1">
      <alignment horizontal="center" vertical="center"/>
    </xf>
    <xf numFmtId="0" fontId="22" fillId="38" borderId="21" xfId="0" applyFont="1" applyFill="1" applyBorder="1" applyAlignment="1">
      <alignment vertical="center"/>
    </xf>
    <xf numFmtId="0" fontId="22" fillId="38" borderId="14" xfId="0" applyFont="1" applyFill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2" fontId="22" fillId="35" borderId="19" xfId="0" applyNumberFormat="1" applyFont="1" applyFill="1" applyBorder="1" applyAlignment="1">
      <alignment horizontal="center" vertical="center"/>
    </xf>
    <xf numFmtId="165" fontId="22" fillId="35" borderId="19" xfId="0" applyNumberFormat="1" applyFont="1" applyFill="1" applyBorder="1" applyAlignment="1">
      <alignment horizontal="center" vertical="center"/>
    </xf>
    <xf numFmtId="0" fontId="22" fillId="35" borderId="24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0" fontId="22" fillId="38" borderId="19" xfId="0" applyFont="1" applyFill="1" applyBorder="1" applyAlignment="1">
      <alignment vertical="center"/>
    </xf>
    <xf numFmtId="9" fontId="22" fillId="35" borderId="19" xfId="0" applyNumberFormat="1" applyFont="1" applyFill="1" applyBorder="1" applyAlignment="1">
      <alignment horizontal="center" vertical="center"/>
    </xf>
    <xf numFmtId="0" fontId="22" fillId="38" borderId="21" xfId="0" applyFont="1" applyFill="1" applyBorder="1" applyAlignment="1">
      <alignment vertical="center"/>
    </xf>
    <xf numFmtId="0" fontId="22" fillId="35" borderId="21" xfId="0" applyFont="1" applyFill="1" applyBorder="1" applyAlignment="1">
      <alignment horizontal="center" vertical="center"/>
    </xf>
    <xf numFmtId="164" fontId="22" fillId="35" borderId="21" xfId="0" applyNumberFormat="1" applyFont="1" applyFill="1" applyBorder="1" applyAlignment="1">
      <alignment horizontal="center" vertical="center"/>
    </xf>
    <xf numFmtId="0" fontId="22" fillId="38" borderId="10" xfId="0" applyFont="1" applyFill="1" applyBorder="1" applyAlignment="1">
      <alignment vertical="center"/>
    </xf>
    <xf numFmtId="165" fontId="22" fillId="35" borderId="10" xfId="0" applyNumberFormat="1" applyFont="1" applyFill="1" applyBorder="1" applyAlignment="1">
      <alignment horizontal="center" vertical="center"/>
    </xf>
    <xf numFmtId="0" fontId="22" fillId="38" borderId="22" xfId="0" applyFont="1" applyFill="1" applyBorder="1" applyAlignment="1">
      <alignment vertical="center"/>
    </xf>
    <xf numFmtId="0" fontId="22" fillId="38" borderId="23" xfId="0" applyFont="1" applyFill="1" applyBorder="1" applyAlignment="1">
      <alignment vertical="center"/>
    </xf>
    <xf numFmtId="0" fontId="0" fillId="38" borderId="21" xfId="0" applyFill="1" applyBorder="1" applyAlignment="1">
      <alignment vertical="center"/>
    </xf>
    <xf numFmtId="9" fontId="22" fillId="35" borderId="19" xfId="42" applyFont="1" applyFill="1" applyBorder="1" applyAlignment="1">
      <alignment horizontal="center" vertical="center"/>
    </xf>
    <xf numFmtId="9" fontId="22" fillId="38" borderId="19" xfId="42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35" borderId="19" xfId="0" applyFont="1" applyFill="1" applyBorder="1" applyAlignment="1">
      <alignment vertical="center"/>
    </xf>
    <xf numFmtId="0" fontId="22" fillId="38" borderId="12" xfId="0" applyFont="1" applyFill="1" applyBorder="1" applyAlignment="1">
      <alignment vertical="center"/>
    </xf>
    <xf numFmtId="164" fontId="22" fillId="35" borderId="12" xfId="0" applyNumberFormat="1" applyFont="1" applyFill="1" applyBorder="1" applyAlignment="1">
      <alignment horizontal="center" vertical="center"/>
    </xf>
    <xf numFmtId="0" fontId="22" fillId="38" borderId="11" xfId="0" applyFont="1" applyFill="1" applyBorder="1" applyAlignment="1">
      <alignment vertical="center"/>
    </xf>
    <xf numFmtId="2" fontId="22" fillId="35" borderId="12" xfId="0" applyNumberFormat="1" applyFont="1" applyFill="1" applyBorder="1" applyAlignment="1">
      <alignment horizontal="center" vertical="center"/>
    </xf>
    <xf numFmtId="0" fontId="22" fillId="38" borderId="19" xfId="0" applyFont="1" applyFill="1" applyBorder="1" applyAlignment="1">
      <alignment horizontal="center" vertical="center"/>
    </xf>
    <xf numFmtId="0" fontId="22" fillId="38" borderId="0" xfId="0" applyFont="1" applyFill="1" applyAlignment="1">
      <alignment vertical="center"/>
    </xf>
    <xf numFmtId="2" fontId="22" fillId="35" borderId="11" xfId="0" applyNumberFormat="1" applyFont="1" applyFill="1" applyBorder="1" applyAlignment="1">
      <alignment horizontal="center" vertical="center"/>
    </xf>
    <xf numFmtId="3" fontId="22" fillId="35" borderId="19" xfId="0" applyNumberFormat="1" applyFont="1" applyFill="1" applyBorder="1" applyAlignment="1">
      <alignment horizontal="center" vertical="center"/>
    </xf>
    <xf numFmtId="166" fontId="22" fillId="35" borderId="19" xfId="0" applyNumberFormat="1" applyFont="1" applyFill="1" applyBorder="1" applyAlignment="1">
      <alignment horizontal="center" vertical="center"/>
    </xf>
    <xf numFmtId="1" fontId="22" fillId="35" borderId="10" xfId="0" applyNumberFormat="1" applyFont="1" applyFill="1" applyBorder="1" applyAlignment="1">
      <alignment horizontal="center" vertical="center"/>
    </xf>
    <xf numFmtId="0" fontId="29" fillId="0" borderId="24" xfId="0" applyFont="1" applyBorder="1" applyAlignment="1">
      <alignment vertical="center"/>
    </xf>
    <xf numFmtId="0" fontId="0" fillId="38" borderId="23" xfId="0" applyFill="1" applyBorder="1" applyAlignment="1">
      <alignment vertical="center"/>
    </xf>
    <xf numFmtId="0" fontId="22" fillId="38" borderId="16" xfId="0" applyFont="1" applyFill="1" applyBorder="1" applyAlignment="1">
      <alignment vertical="center"/>
    </xf>
    <xf numFmtId="0" fontId="22" fillId="35" borderId="21" xfId="0" applyFont="1" applyFill="1" applyBorder="1" applyAlignment="1">
      <alignment vertical="center"/>
    </xf>
    <xf numFmtId="4" fontId="22" fillId="35" borderId="19" xfId="0" applyNumberFormat="1" applyFont="1" applyFill="1" applyBorder="1" applyAlignment="1">
      <alignment horizontal="center" vertical="center"/>
    </xf>
    <xf numFmtId="3" fontId="22" fillId="35" borderId="11" xfId="0" applyNumberFormat="1" applyFont="1" applyFill="1" applyBorder="1" applyAlignment="1">
      <alignment horizontal="center" vertical="center"/>
    </xf>
    <xf numFmtId="0" fontId="22" fillId="38" borderId="24" xfId="0" applyFont="1" applyFill="1" applyBorder="1" applyAlignment="1">
      <alignment vertical="center"/>
    </xf>
    <xf numFmtId="0" fontId="22" fillId="36" borderId="19" xfId="0" quotePrefix="1" applyFont="1" applyFill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164" fontId="22" fillId="35" borderId="10" xfId="0" applyNumberFormat="1" applyFont="1" applyFill="1" applyBorder="1" applyAlignment="1">
      <alignment horizontal="center" vertical="center"/>
    </xf>
    <xf numFmtId="164" fontId="22" fillId="35" borderId="0" xfId="0" applyNumberFormat="1" applyFont="1" applyFill="1" applyAlignment="1">
      <alignment horizontal="center" vertical="center"/>
    </xf>
    <xf numFmtId="1" fontId="22" fillId="35" borderId="0" xfId="0" applyNumberFormat="1" applyFont="1" applyFill="1" applyAlignment="1">
      <alignment horizontal="center" vertical="center"/>
    </xf>
    <xf numFmtId="0" fontId="39" fillId="0" borderId="0" xfId="0" applyFont="1" applyFill="1"/>
    <xf numFmtId="2" fontId="22" fillId="35" borderId="21" xfId="0" applyNumberFormat="1" applyFont="1" applyFill="1" applyBorder="1" applyAlignment="1">
      <alignment horizontal="center" vertical="center"/>
    </xf>
    <xf numFmtId="0" fontId="0" fillId="34" borderId="0" xfId="0" applyFill="1"/>
    <xf numFmtId="1" fontId="0" fillId="34" borderId="0" xfId="0" applyNumberFormat="1" applyFill="1"/>
    <xf numFmtId="2" fontId="0" fillId="34" borderId="0" xfId="0" applyNumberFormat="1" applyFill="1"/>
    <xf numFmtId="164" fontId="0" fillId="34" borderId="0" xfId="0" applyNumberFormat="1" applyFill="1"/>
    <xf numFmtId="3" fontId="22" fillId="35" borderId="10" xfId="0" applyNumberFormat="1" applyFont="1" applyFill="1" applyBorder="1" applyAlignment="1">
      <alignment horizontal="center" vertical="center"/>
    </xf>
    <xf numFmtId="3" fontId="0" fillId="34" borderId="0" xfId="0" applyNumberFormat="1" applyFill="1"/>
    <xf numFmtId="0" fontId="0" fillId="34" borderId="0" xfId="0" applyFill="1" applyAlignment="1">
      <alignment horizontal="right"/>
    </xf>
    <xf numFmtId="0" fontId="0" fillId="34" borderId="0" xfId="0" applyFill="1" applyAlignment="1">
      <alignment horizontal="center"/>
    </xf>
    <xf numFmtId="3" fontId="0" fillId="34" borderId="0" xfId="0" applyNumberFormat="1" applyFill="1" applyAlignment="1">
      <alignment horizontal="center"/>
    </xf>
    <xf numFmtId="164" fontId="0" fillId="0" borderId="0" xfId="0" applyNumberFormat="1" applyAlignment="1"/>
    <xf numFmtId="0" fontId="0" fillId="34" borderId="0" xfId="0" applyFill="1" applyAlignment="1">
      <alignment horizontal="left"/>
    </xf>
    <xf numFmtId="0" fontId="22" fillId="38" borderId="19" xfId="0" applyFont="1" applyFill="1" applyBorder="1" applyAlignment="1">
      <alignment horizontal="center" vertical="center"/>
    </xf>
    <xf numFmtId="0" fontId="22" fillId="38" borderId="22" xfId="0" applyFont="1" applyFill="1" applyBorder="1" applyAlignment="1">
      <alignment vertical="center"/>
    </xf>
    <xf numFmtId="0" fontId="22" fillId="38" borderId="21" xfId="0" applyFont="1" applyFill="1" applyBorder="1" applyAlignment="1">
      <alignment vertical="center"/>
    </xf>
    <xf numFmtId="0" fontId="22" fillId="38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35" borderId="19" xfId="0" applyFont="1" applyFill="1" applyBorder="1" applyAlignment="1">
      <alignment vertical="center"/>
    </xf>
    <xf numFmtId="3" fontId="0" fillId="0" borderId="0" xfId="0" applyNumberFormat="1"/>
    <xf numFmtId="164" fontId="0" fillId="0" borderId="0" xfId="0" applyNumberFormat="1"/>
    <xf numFmtId="1" fontId="0" fillId="0" borderId="0" xfId="0" applyNumberFormat="1"/>
    <xf numFmtId="3" fontId="0" fillId="39" borderId="0" xfId="0" applyNumberFormat="1" applyFill="1"/>
    <xf numFmtId="0" fontId="0" fillId="40" borderId="0" xfId="0" applyFill="1"/>
    <xf numFmtId="1" fontId="0" fillId="40" borderId="0" xfId="0" applyNumberFormat="1" applyFill="1"/>
    <xf numFmtId="4" fontId="0" fillId="39" borderId="0" xfId="0" applyNumberFormat="1" applyFill="1"/>
    <xf numFmtId="3" fontId="0" fillId="37" borderId="0" xfId="0" applyNumberFormat="1" applyFill="1"/>
    <xf numFmtId="0" fontId="0" fillId="0" borderId="0" xfId="0" applyFill="1"/>
    <xf numFmtId="0" fontId="0" fillId="41" borderId="0" xfId="0" applyFill="1"/>
    <xf numFmtId="3" fontId="0" fillId="41" borderId="0" xfId="0" applyNumberFormat="1" applyFill="1"/>
    <xf numFmtId="167" fontId="0" fillId="0" borderId="0" xfId="42" applyNumberFormat="1" applyFont="1"/>
    <xf numFmtId="1" fontId="0" fillId="37" borderId="0" xfId="0" applyNumberFormat="1" applyFill="1"/>
    <xf numFmtId="1" fontId="0" fillId="39" borderId="0" xfId="0" applyNumberFormat="1" applyFill="1"/>
    <xf numFmtId="0" fontId="0" fillId="0" borderId="0" xfId="0" applyFill="1" applyAlignment="1"/>
    <xf numFmtId="0" fontId="22" fillId="0" borderId="22" xfId="0" applyFont="1" applyFill="1" applyBorder="1" applyAlignment="1">
      <alignment vertical="center"/>
    </xf>
    <xf numFmtId="0" fontId="22" fillId="0" borderId="23" xfId="0" applyFont="1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22" fillId="0" borderId="19" xfId="0" applyFont="1" applyFill="1" applyBorder="1" applyAlignment="1">
      <alignment vertical="center"/>
    </xf>
    <xf numFmtId="0" fontId="22" fillId="0" borderId="21" xfId="0" applyFont="1" applyFill="1" applyBorder="1" applyAlignment="1">
      <alignment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2" fillId="42" borderId="19" xfId="0" applyFont="1" applyFill="1" applyBorder="1" applyAlignment="1">
      <alignment vertical="center"/>
    </xf>
    <xf numFmtId="2" fontId="22" fillId="42" borderId="19" xfId="0" applyNumberFormat="1" applyFont="1" applyFill="1" applyBorder="1" applyAlignment="1">
      <alignment horizontal="center" vertical="center"/>
    </xf>
    <xf numFmtId="0" fontId="22" fillId="42" borderId="16" xfId="0" applyFont="1" applyFill="1" applyBorder="1" applyAlignment="1">
      <alignment vertical="center"/>
    </xf>
    <xf numFmtId="0" fontId="22" fillId="42" borderId="21" xfId="0" applyFont="1" applyFill="1" applyBorder="1" applyAlignment="1">
      <alignment vertical="center"/>
    </xf>
    <xf numFmtId="0" fontId="22" fillId="42" borderId="19" xfId="0" applyFont="1" applyFill="1" applyBorder="1" applyAlignment="1">
      <alignment horizontal="center" vertical="center"/>
    </xf>
    <xf numFmtId="164" fontId="22" fillId="42" borderId="19" xfId="0" applyNumberFormat="1" applyFont="1" applyFill="1" applyBorder="1" applyAlignment="1">
      <alignment horizontal="center" vertical="center"/>
    </xf>
    <xf numFmtId="1" fontId="22" fillId="42" borderId="19" xfId="0" applyNumberFormat="1" applyFont="1" applyFill="1" applyBorder="1" applyAlignment="1">
      <alignment horizontal="center" vertical="center"/>
    </xf>
    <xf numFmtId="0" fontId="23" fillId="43" borderId="19" xfId="0" applyFont="1" applyFill="1" applyBorder="1" applyAlignment="1">
      <alignment horizontal="center" vertical="center"/>
    </xf>
    <xf numFmtId="2" fontId="22" fillId="35" borderId="15" xfId="0" applyNumberFormat="1" applyFont="1" applyFill="1" applyBorder="1" applyAlignment="1">
      <alignment horizontal="center" vertical="center"/>
    </xf>
    <xf numFmtId="2" fontId="22" fillId="35" borderId="10" xfId="0" applyNumberFormat="1" applyFont="1" applyFill="1" applyBorder="1" applyAlignment="1">
      <alignment horizontal="center" vertical="center"/>
    </xf>
    <xf numFmtId="2" fontId="22" fillId="35" borderId="16" xfId="0" applyNumberFormat="1" applyFont="1" applyFill="1" applyBorder="1" applyAlignment="1">
      <alignment horizontal="center" vertical="center"/>
    </xf>
    <xf numFmtId="0" fontId="22" fillId="0" borderId="15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2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38" borderId="15" xfId="0" applyFont="1" applyFill="1" applyBorder="1" applyAlignment="1">
      <alignment vertical="center"/>
    </xf>
    <xf numFmtId="0" fontId="22" fillId="38" borderId="16" xfId="0" applyFont="1" applyFill="1" applyBorder="1" applyAlignment="1">
      <alignment vertical="center"/>
    </xf>
    <xf numFmtId="0" fontId="22" fillId="38" borderId="13" xfId="0" applyFont="1" applyFill="1" applyBorder="1" applyAlignment="1">
      <alignment vertical="center"/>
    </xf>
    <xf numFmtId="0" fontId="22" fillId="38" borderId="14" xfId="0" applyFont="1" applyFill="1" applyBorder="1" applyAlignment="1">
      <alignment vertical="center"/>
    </xf>
    <xf numFmtId="0" fontId="22" fillId="38" borderId="17" xfId="0" applyFont="1" applyFill="1" applyBorder="1" applyAlignment="1">
      <alignment vertical="center"/>
    </xf>
    <xf numFmtId="0" fontId="22" fillId="38" borderId="18" xfId="0" applyFont="1" applyFill="1" applyBorder="1" applyAlignment="1">
      <alignment vertical="center"/>
    </xf>
    <xf numFmtId="0" fontId="22" fillId="38" borderId="20" xfId="0" applyFont="1" applyFill="1" applyBorder="1" applyAlignment="1">
      <alignment vertical="center"/>
    </xf>
    <xf numFmtId="0" fontId="22" fillId="38" borderId="19" xfId="0" applyFont="1" applyFill="1" applyBorder="1" applyAlignment="1">
      <alignment vertical="center"/>
    </xf>
    <xf numFmtId="0" fontId="22" fillId="38" borderId="15" xfId="0" applyFont="1" applyFill="1" applyBorder="1" applyAlignment="1">
      <alignment horizontal="center" vertical="center"/>
    </xf>
    <xf numFmtId="0" fontId="22" fillId="38" borderId="10" xfId="0" applyFont="1" applyFill="1" applyBorder="1" applyAlignment="1">
      <alignment horizontal="center" vertical="center"/>
    </xf>
    <xf numFmtId="0" fontId="22" fillId="38" borderId="16" xfId="0" applyFont="1" applyFill="1" applyBorder="1" applyAlignment="1">
      <alignment horizontal="center" vertical="center"/>
    </xf>
    <xf numFmtId="0" fontId="22" fillId="38" borderId="22" xfId="0" applyFont="1" applyFill="1" applyBorder="1" applyAlignment="1">
      <alignment horizontal="center" vertical="center"/>
    </xf>
    <xf numFmtId="0" fontId="22" fillId="38" borderId="21" xfId="0" applyFont="1" applyFill="1" applyBorder="1" applyAlignment="1">
      <alignment horizontal="center" vertical="center"/>
    </xf>
    <xf numFmtId="0" fontId="22" fillId="38" borderId="12" xfId="0" applyFont="1" applyFill="1" applyBorder="1" applyAlignment="1">
      <alignment vertical="center"/>
    </xf>
    <xf numFmtId="0" fontId="22" fillId="38" borderId="11" xfId="0" applyFont="1" applyFill="1" applyBorder="1" applyAlignment="1">
      <alignment vertical="center"/>
    </xf>
    <xf numFmtId="2" fontId="22" fillId="35" borderId="22" xfId="0" applyNumberFormat="1" applyFont="1" applyFill="1" applyBorder="1" applyAlignment="1">
      <alignment horizontal="center" vertical="center"/>
    </xf>
    <xf numFmtId="2" fontId="22" fillId="35" borderId="21" xfId="0" applyNumberFormat="1" applyFont="1" applyFill="1" applyBorder="1" applyAlignment="1">
      <alignment horizontal="center" vertical="center"/>
    </xf>
    <xf numFmtId="0" fontId="26" fillId="0" borderId="22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22" fillId="0" borderId="20" xfId="0" applyFont="1" applyFill="1" applyBorder="1" applyAlignment="1">
      <alignment vertical="center"/>
    </xf>
    <xf numFmtId="0" fontId="22" fillId="0" borderId="19" xfId="0" applyFont="1" applyFill="1" applyBorder="1" applyAlignment="1">
      <alignment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38" borderId="10" xfId="0" applyFont="1" applyFill="1" applyBorder="1" applyAlignment="1">
      <alignment vertical="center"/>
    </xf>
    <xf numFmtId="0" fontId="22" fillId="36" borderId="22" xfId="0" applyFont="1" applyFill="1" applyBorder="1" applyAlignment="1">
      <alignment horizontal="center" vertical="center"/>
    </xf>
    <xf numFmtId="0" fontId="22" fillId="36" borderId="23" xfId="0" applyFont="1" applyFill="1" applyBorder="1" applyAlignment="1">
      <alignment horizontal="center" vertical="center"/>
    </xf>
    <xf numFmtId="0" fontId="22" fillId="36" borderId="21" xfId="0" applyFont="1" applyFill="1" applyBorder="1" applyAlignment="1">
      <alignment horizontal="center" vertical="center"/>
    </xf>
    <xf numFmtId="0" fontId="22" fillId="36" borderId="22" xfId="0" quotePrefix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0" fontId="22" fillId="35" borderId="15" xfId="0" applyFont="1" applyFill="1" applyBorder="1" applyAlignment="1">
      <alignment vertical="center"/>
    </xf>
    <xf numFmtId="0" fontId="22" fillId="35" borderId="10" xfId="0" applyFont="1" applyFill="1" applyBorder="1" applyAlignment="1">
      <alignment vertical="center"/>
    </xf>
    <xf numFmtId="0" fontId="22" fillId="35" borderId="16" xfId="0" applyFont="1" applyFill="1" applyBorder="1" applyAlignment="1">
      <alignment vertical="center"/>
    </xf>
    <xf numFmtId="0" fontId="22" fillId="0" borderId="17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164" fontId="22" fillId="42" borderId="15" xfId="0" applyNumberFormat="1" applyFont="1" applyFill="1" applyBorder="1" applyAlignment="1">
      <alignment horizontal="right" vertical="center"/>
    </xf>
    <xf numFmtId="164" fontId="22" fillId="42" borderId="16" xfId="0" applyNumberFormat="1" applyFont="1" applyFill="1" applyBorder="1" applyAlignment="1">
      <alignment horizontal="right" vertical="center"/>
    </xf>
    <xf numFmtId="164" fontId="22" fillId="42" borderId="13" xfId="0" applyNumberFormat="1" applyFont="1" applyFill="1" applyBorder="1" applyAlignment="1">
      <alignment horizontal="right" vertical="center"/>
    </xf>
    <xf numFmtId="164" fontId="22" fillId="42" borderId="14" xfId="0" applyNumberFormat="1" applyFont="1" applyFill="1" applyBorder="1" applyAlignment="1">
      <alignment horizontal="right" vertical="center"/>
    </xf>
    <xf numFmtId="164" fontId="22" fillId="42" borderId="20" xfId="0" applyNumberFormat="1" applyFont="1" applyFill="1" applyBorder="1" applyAlignment="1">
      <alignment horizontal="right" vertical="center"/>
    </xf>
    <xf numFmtId="164" fontId="22" fillId="42" borderId="19" xfId="0" applyNumberFormat="1" applyFont="1" applyFill="1" applyBorder="1" applyAlignment="1">
      <alignment horizontal="right" vertical="center"/>
    </xf>
    <xf numFmtId="0" fontId="22" fillId="0" borderId="22" xfId="0" applyFont="1" applyFill="1" applyBorder="1" applyAlignment="1">
      <alignment vertical="center"/>
    </xf>
    <xf numFmtId="0" fontId="22" fillId="0" borderId="21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10" xfId="0" applyFont="1" applyFill="1" applyBorder="1" applyAlignment="1">
      <alignment vertical="center"/>
    </xf>
    <xf numFmtId="164" fontId="22" fillId="35" borderId="13" xfId="0" applyNumberFormat="1" applyFont="1" applyFill="1" applyBorder="1" applyAlignment="1">
      <alignment horizontal="right" vertical="center"/>
    </xf>
    <xf numFmtId="164" fontId="22" fillId="35" borderId="14" xfId="0" applyNumberFormat="1" applyFont="1" applyFill="1" applyBorder="1" applyAlignment="1">
      <alignment horizontal="right" vertical="center"/>
    </xf>
    <xf numFmtId="164" fontId="22" fillId="35" borderId="20" xfId="0" applyNumberFormat="1" applyFont="1" applyFill="1" applyBorder="1" applyAlignment="1">
      <alignment horizontal="right" vertical="center"/>
    </xf>
    <xf numFmtId="164" fontId="22" fillId="35" borderId="19" xfId="0" applyNumberFormat="1" applyFont="1" applyFill="1" applyBorder="1" applyAlignment="1">
      <alignment horizontal="right" vertical="center"/>
    </xf>
    <xf numFmtId="0" fontId="22" fillId="38" borderId="22" xfId="0" applyFont="1" applyFill="1" applyBorder="1" applyAlignment="1">
      <alignment vertical="center"/>
    </xf>
    <xf numFmtId="0" fontId="22" fillId="38" borderId="21" xfId="0" applyFont="1" applyFill="1" applyBorder="1" applyAlignment="1">
      <alignment vertical="center"/>
    </xf>
    <xf numFmtId="166" fontId="22" fillId="35" borderId="13" xfId="0" applyNumberFormat="1" applyFont="1" applyFill="1" applyBorder="1" applyAlignment="1">
      <alignment horizontal="right" vertical="center"/>
    </xf>
    <xf numFmtId="166" fontId="22" fillId="35" borderId="14" xfId="0" applyNumberFormat="1" applyFont="1" applyFill="1" applyBorder="1" applyAlignment="1">
      <alignment horizontal="right" vertical="center"/>
    </xf>
    <xf numFmtId="166" fontId="22" fillId="35" borderId="20" xfId="0" applyNumberFormat="1" applyFont="1" applyFill="1" applyBorder="1" applyAlignment="1">
      <alignment horizontal="right" vertical="center"/>
    </xf>
    <xf numFmtId="166" fontId="22" fillId="35" borderId="19" xfId="0" applyNumberFormat="1" applyFont="1" applyFill="1" applyBorder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166" fontId="22" fillId="35" borderId="15" xfId="0" applyNumberFormat="1" applyFont="1" applyFill="1" applyBorder="1" applyAlignment="1">
      <alignment horizontal="right" vertical="center"/>
    </xf>
    <xf numFmtId="166" fontId="22" fillId="35" borderId="16" xfId="0" applyNumberFormat="1" applyFont="1" applyFill="1" applyBorder="1" applyAlignment="1">
      <alignment horizontal="right" vertical="center"/>
    </xf>
    <xf numFmtId="0" fontId="22" fillId="35" borderId="22" xfId="0" applyFont="1" applyFill="1" applyBorder="1" applyAlignment="1">
      <alignment vertical="center"/>
    </xf>
    <xf numFmtId="0" fontId="22" fillId="35" borderId="21" xfId="0" applyFont="1" applyFill="1" applyBorder="1" applyAlignment="1">
      <alignment vertical="center"/>
    </xf>
    <xf numFmtId="164" fontId="22" fillId="35" borderId="15" xfId="0" applyNumberFormat="1" applyFont="1" applyFill="1" applyBorder="1" applyAlignment="1">
      <alignment horizontal="right" vertical="center"/>
    </xf>
    <xf numFmtId="164" fontId="22" fillId="35" borderId="16" xfId="0" applyNumberFormat="1" applyFont="1" applyFill="1" applyBorder="1" applyAlignment="1">
      <alignment horizontal="right" vertical="center"/>
    </xf>
    <xf numFmtId="0" fontId="22" fillId="0" borderId="23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38" borderId="13" xfId="0" applyFont="1" applyFill="1" applyBorder="1" applyAlignment="1">
      <alignment horizontal="center" vertical="center"/>
    </xf>
    <xf numFmtId="0" fontId="22" fillId="38" borderId="12" xfId="0" applyFont="1" applyFill="1" applyBorder="1" applyAlignment="1">
      <alignment horizontal="center" vertical="center"/>
    </xf>
    <xf numFmtId="0" fontId="22" fillId="38" borderId="14" xfId="0" applyFont="1" applyFill="1" applyBorder="1" applyAlignment="1">
      <alignment horizontal="center" vertical="center"/>
    </xf>
    <xf numFmtId="0" fontId="22" fillId="38" borderId="20" xfId="0" applyFont="1" applyFill="1" applyBorder="1" applyAlignment="1">
      <alignment horizontal="center" vertical="center"/>
    </xf>
    <xf numFmtId="0" fontId="22" fillId="38" borderId="11" xfId="0" applyFont="1" applyFill="1" applyBorder="1" applyAlignment="1">
      <alignment horizontal="center" vertical="center"/>
    </xf>
    <xf numFmtId="0" fontId="22" fillId="38" borderId="19" xfId="0" applyFont="1" applyFill="1" applyBorder="1" applyAlignment="1">
      <alignment horizontal="center" vertical="center"/>
    </xf>
    <xf numFmtId="164" fontId="22" fillId="35" borderId="15" xfId="0" applyNumberFormat="1" applyFont="1" applyFill="1" applyBorder="1" applyAlignment="1">
      <alignment horizontal="center" vertical="center"/>
    </xf>
    <xf numFmtId="0" fontId="22" fillId="35" borderId="16" xfId="0" applyFont="1" applyFill="1" applyBorder="1" applyAlignment="1">
      <alignment horizontal="center" vertical="center"/>
    </xf>
    <xf numFmtId="0" fontId="22" fillId="35" borderId="14" xfId="0" applyFont="1" applyFill="1" applyBorder="1" applyAlignment="1">
      <alignment horizontal="right" vertical="center"/>
    </xf>
    <xf numFmtId="0" fontId="22" fillId="35" borderId="20" xfId="0" applyFont="1" applyFill="1" applyBorder="1" applyAlignment="1">
      <alignment horizontal="right" vertical="center"/>
    </xf>
    <xf numFmtId="0" fontId="22" fillId="35" borderId="19" xfId="0" applyFont="1" applyFill="1" applyBorder="1" applyAlignment="1">
      <alignment horizontal="right" vertical="center"/>
    </xf>
    <xf numFmtId="0" fontId="22" fillId="35" borderId="16" xfId="0" applyFont="1" applyFill="1" applyBorder="1" applyAlignment="1">
      <alignment horizontal="right" vertical="center"/>
    </xf>
    <xf numFmtId="0" fontId="22" fillId="38" borderId="17" xfId="0" applyFont="1" applyFill="1" applyBorder="1" applyAlignment="1">
      <alignment horizontal="center" vertical="center"/>
    </xf>
    <xf numFmtId="0" fontId="22" fillId="38" borderId="18" xfId="0" applyFont="1" applyFill="1" applyBorder="1" applyAlignment="1">
      <alignment horizontal="center" vertical="center"/>
    </xf>
    <xf numFmtId="0" fontId="22" fillId="38" borderId="23" xfId="0" applyFont="1" applyFill="1" applyBorder="1" applyAlignment="1">
      <alignment horizontal="center" vertical="center"/>
    </xf>
    <xf numFmtId="3" fontId="22" fillId="35" borderId="15" xfId="0" applyNumberFormat="1" applyFont="1" applyFill="1" applyBorder="1" applyAlignment="1">
      <alignment horizontal="center" vertical="center"/>
    </xf>
    <xf numFmtId="3" fontId="22" fillId="35" borderId="16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2" fillId="35" borderId="22" xfId="0" applyFont="1" applyFill="1" applyBorder="1" applyAlignment="1">
      <alignment horizontal="center" vertical="center"/>
    </xf>
    <xf numFmtId="0" fontId="22" fillId="35" borderId="21" xfId="0" applyFont="1" applyFill="1" applyBorder="1" applyAlignment="1">
      <alignment horizontal="center" vertical="center"/>
    </xf>
    <xf numFmtId="9" fontId="22" fillId="35" borderId="22" xfId="42" applyFont="1" applyFill="1" applyBorder="1" applyAlignment="1">
      <alignment horizontal="center" vertical="center"/>
    </xf>
    <xf numFmtId="9" fontId="22" fillId="35" borderId="21" xfId="42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35" borderId="13" xfId="0" applyFont="1" applyFill="1" applyBorder="1" applyAlignment="1">
      <alignment vertical="center"/>
    </xf>
    <xf numFmtId="0" fontId="22" fillId="35" borderId="12" xfId="0" applyFont="1" applyFill="1" applyBorder="1" applyAlignment="1">
      <alignment vertical="center"/>
    </xf>
    <xf numFmtId="0" fontId="22" fillId="35" borderId="14" xfId="0" applyFont="1" applyFill="1" applyBorder="1" applyAlignment="1">
      <alignment vertical="center"/>
    </xf>
    <xf numFmtId="0" fontId="22" fillId="35" borderId="20" xfId="0" applyFont="1" applyFill="1" applyBorder="1" applyAlignment="1">
      <alignment vertical="center"/>
    </xf>
    <xf numFmtId="0" fontId="22" fillId="35" borderId="11" xfId="0" applyFont="1" applyFill="1" applyBorder="1" applyAlignment="1">
      <alignment vertical="center"/>
    </xf>
    <xf numFmtId="0" fontId="22" fillId="35" borderId="19" xfId="0" applyFont="1" applyFill="1" applyBorder="1" applyAlignment="1">
      <alignment vertical="center"/>
    </xf>
    <xf numFmtId="0" fontId="23" fillId="36" borderId="15" xfId="0" applyFont="1" applyFill="1" applyBorder="1" applyAlignment="1">
      <alignment horizontal="center" vertical="center"/>
    </xf>
    <xf numFmtId="0" fontId="23" fillId="36" borderId="16" xfId="0" applyFont="1" applyFill="1" applyBorder="1" applyAlignment="1">
      <alignment horizontal="center" vertical="center"/>
    </xf>
    <xf numFmtId="0" fontId="22" fillId="0" borderId="23" xfId="0" applyFont="1" applyBorder="1" applyAlignment="1">
      <alignment vertical="center"/>
    </xf>
    <xf numFmtId="164" fontId="22" fillId="35" borderId="22" xfId="0" applyNumberFormat="1" applyFont="1" applyFill="1" applyBorder="1" applyAlignment="1">
      <alignment horizontal="center" vertical="center"/>
    </xf>
    <xf numFmtId="0" fontId="0" fillId="38" borderId="20" xfId="0" applyFill="1" applyBorder="1" applyAlignment="1">
      <alignment vertical="center"/>
    </xf>
    <xf numFmtId="0" fontId="0" fillId="38" borderId="19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164" fontId="29" fillId="38" borderId="13" xfId="0" applyNumberFormat="1" applyFont="1" applyFill="1" applyBorder="1" applyAlignment="1">
      <alignment vertical="center"/>
    </xf>
    <xf numFmtId="164" fontId="29" fillId="38" borderId="14" xfId="0" applyNumberFormat="1" applyFont="1" applyFill="1" applyBorder="1" applyAlignment="1">
      <alignment vertical="center"/>
    </xf>
    <xf numFmtId="0" fontId="29" fillId="38" borderId="13" xfId="0" applyFont="1" applyFill="1" applyBorder="1" applyAlignment="1">
      <alignment vertical="center"/>
    </xf>
    <xf numFmtId="0" fontId="29" fillId="38" borderId="12" xfId="0" applyFont="1" applyFill="1" applyBorder="1" applyAlignment="1">
      <alignment vertical="center"/>
    </xf>
    <xf numFmtId="0" fontId="29" fillId="38" borderId="14" xfId="0" applyFont="1" applyFill="1" applyBorder="1" applyAlignment="1">
      <alignment vertical="center"/>
    </xf>
    <xf numFmtId="0" fontId="29" fillId="38" borderId="20" xfId="0" applyFont="1" applyFill="1" applyBorder="1" applyAlignment="1">
      <alignment vertical="center"/>
    </xf>
    <xf numFmtId="0" fontId="29" fillId="38" borderId="11" xfId="0" applyFont="1" applyFill="1" applyBorder="1" applyAlignment="1">
      <alignment vertical="center"/>
    </xf>
    <xf numFmtId="0" fontId="29" fillId="38" borderId="19" xfId="0" applyFont="1" applyFill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3" fillId="36" borderId="12" xfId="0" applyFont="1" applyFill="1" applyBorder="1" applyAlignment="1">
      <alignment horizontal="center" vertical="center"/>
    </xf>
    <xf numFmtId="0" fontId="23" fillId="36" borderId="11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36" borderId="10" xfId="0" applyFont="1" applyFill="1" applyBorder="1" applyAlignment="1">
      <alignment horizontal="center" vertical="center"/>
    </xf>
    <xf numFmtId="0" fontId="23" fillId="36" borderId="10" xfId="0" applyFont="1" applyFill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22" fillId="42" borderId="22" xfId="0" applyFont="1" applyFill="1" applyBorder="1" applyAlignment="1">
      <alignment vertical="center"/>
    </xf>
    <xf numFmtId="0" fontId="22" fillId="42" borderId="21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64" fontId="22" fillId="42" borderId="15" xfId="0" applyNumberFormat="1" applyFont="1" applyFill="1" applyBorder="1" applyAlignment="1">
      <alignment horizontal="center" vertical="center"/>
    </xf>
    <xf numFmtId="0" fontId="22" fillId="42" borderId="16" xfId="0" applyFont="1" applyFill="1" applyBorder="1" applyAlignment="1">
      <alignment horizontal="center" vertical="center"/>
    </xf>
    <xf numFmtId="0" fontId="22" fillId="35" borderId="15" xfId="0" applyFont="1" applyFill="1" applyBorder="1" applyAlignment="1">
      <alignment horizontal="right" vertical="center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Prozent" xfId="42" builtinId="5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  <colors>
    <mruColors>
      <color rgb="FFDAF6D2"/>
      <color rgb="FFA2E9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9D55F-A498-4BA6-AD9E-F4B0EAD16020}">
  <sheetPr>
    <outlinePr summaryBelow="0" summaryRight="0"/>
  </sheetPr>
  <dimension ref="A1:S1163"/>
  <sheetViews>
    <sheetView tabSelected="1" zoomScale="85" zoomScaleNormal="85" workbookViewId="0"/>
  </sheetViews>
  <sheetFormatPr baseColWidth="10" defaultRowHeight="15" outlineLevelRow="3" x14ac:dyDescent="0.25"/>
  <cols>
    <col min="1" max="5" width="11.42578125" style="6"/>
    <col min="6" max="6" width="12.28515625" style="6" bestFit="1" customWidth="1"/>
    <col min="7" max="16384" width="11.42578125" style="6"/>
  </cols>
  <sheetData>
    <row r="1" spans="1:7" s="3" customFormat="1" ht="18" x14ac:dyDescent="0.25">
      <c r="A1" s="2" t="s">
        <v>421</v>
      </c>
    </row>
    <row r="2" spans="1:7" s="4" customFormat="1" ht="16.5" outlineLevel="1" collapsed="1" x14ac:dyDescent="0.25">
      <c r="B2" s="5" t="s">
        <v>422</v>
      </c>
    </row>
    <row r="3" spans="1:7" hidden="1" outlineLevel="2" x14ac:dyDescent="0.25">
      <c r="D3" s="7" t="s">
        <v>423</v>
      </c>
      <c r="E3" s="8" t="s">
        <v>1239</v>
      </c>
    </row>
    <row r="4" spans="1:7" hidden="1" outlineLevel="2" x14ac:dyDescent="0.25">
      <c r="D4" s="9" t="s">
        <v>424</v>
      </c>
      <c r="E4" s="10" t="s">
        <v>1240</v>
      </c>
    </row>
    <row r="5" spans="1:7" s="4" customFormat="1" ht="16.5" outlineLevel="1" collapsed="1" x14ac:dyDescent="0.25">
      <c r="B5" s="5" t="s">
        <v>425</v>
      </c>
    </row>
    <row r="6" spans="1:7" hidden="1" outlineLevel="2" x14ac:dyDescent="0.25">
      <c r="D6" s="11" t="s">
        <v>426</v>
      </c>
      <c r="E6" s="7" t="s">
        <v>427</v>
      </c>
      <c r="F6" s="7"/>
    </row>
    <row r="7" spans="1:7" hidden="1" outlineLevel="2" x14ac:dyDescent="0.25">
      <c r="D7" s="12" t="s">
        <v>428</v>
      </c>
      <c r="E7" s="9" t="s">
        <v>429</v>
      </c>
      <c r="F7" s="9"/>
    </row>
    <row r="8" spans="1:7" hidden="1" outlineLevel="2" x14ac:dyDescent="0.25">
      <c r="D8" s="12" t="s">
        <v>428</v>
      </c>
      <c r="E8" s="9" t="s">
        <v>430</v>
      </c>
      <c r="F8" s="9"/>
    </row>
    <row r="9" spans="1:7" hidden="1" outlineLevel="2" x14ac:dyDescent="0.25">
      <c r="D9" s="12" t="s">
        <v>428</v>
      </c>
      <c r="E9" s="9" t="s">
        <v>431</v>
      </c>
      <c r="F9" s="10"/>
    </row>
    <row r="10" spans="1:7" s="4" customFormat="1" ht="16.5" outlineLevel="1" collapsed="1" x14ac:dyDescent="0.25">
      <c r="B10" s="5" t="s">
        <v>432</v>
      </c>
    </row>
    <row r="11" spans="1:7" hidden="1" outlineLevel="2" x14ac:dyDescent="0.25">
      <c r="D11" s="11" t="s">
        <v>428</v>
      </c>
      <c r="E11" s="7" t="s">
        <v>433</v>
      </c>
      <c r="F11" s="149"/>
      <c r="G11" s="149"/>
    </row>
    <row r="12" spans="1:7" hidden="1" outlineLevel="2" x14ac:dyDescent="0.25">
      <c r="D12" s="11" t="s">
        <v>426</v>
      </c>
      <c r="E12" s="9" t="s">
        <v>434</v>
      </c>
      <c r="F12" s="9" t="s">
        <v>435</v>
      </c>
      <c r="G12" s="10" t="s">
        <v>461</v>
      </c>
    </row>
    <row r="13" spans="1:7" s="4" customFormat="1" ht="16.5" outlineLevel="1" collapsed="1" x14ac:dyDescent="0.25">
      <c r="B13" s="5" t="s">
        <v>436</v>
      </c>
    </row>
    <row r="14" spans="1:7" hidden="1" outlineLevel="2" x14ac:dyDescent="0.25">
      <c r="D14" s="7" t="s">
        <v>437</v>
      </c>
      <c r="E14" s="8">
        <v>2018</v>
      </c>
    </row>
    <row r="15" spans="1:7" s="4" customFormat="1" ht="16.5" outlineLevel="1" collapsed="1" x14ac:dyDescent="0.25">
      <c r="B15" s="5" t="s">
        <v>438</v>
      </c>
    </row>
    <row r="16" spans="1:7" hidden="1" outlineLevel="2" x14ac:dyDescent="0.25">
      <c r="D16" s="7" t="s">
        <v>439</v>
      </c>
      <c r="E16" s="8" t="s">
        <v>440</v>
      </c>
    </row>
    <row r="17" spans="1:6" hidden="1" outlineLevel="2" x14ac:dyDescent="0.25">
      <c r="D17" s="9" t="s">
        <v>441</v>
      </c>
      <c r="E17" s="10" t="s">
        <v>442</v>
      </c>
    </row>
    <row r="18" spans="1:6" hidden="1" outlineLevel="2" x14ac:dyDescent="0.25">
      <c r="D18" s="9" t="s">
        <v>443</v>
      </c>
      <c r="E18" s="10" t="s">
        <v>444</v>
      </c>
    </row>
    <row r="19" spans="1:6" s="4" customFormat="1" ht="16.5" outlineLevel="1" collapsed="1" x14ac:dyDescent="0.25">
      <c r="B19" s="5" t="s">
        <v>445</v>
      </c>
    </row>
    <row r="20" spans="1:6" hidden="1" outlineLevel="2" x14ac:dyDescent="0.25">
      <c r="D20" s="223" t="s">
        <v>446</v>
      </c>
      <c r="E20" s="7" t="s">
        <v>407</v>
      </c>
      <c r="F20" s="8" t="s">
        <v>388</v>
      </c>
    </row>
    <row r="21" spans="1:6" hidden="1" outlineLevel="2" x14ac:dyDescent="0.25">
      <c r="D21" s="286"/>
      <c r="E21" s="9" t="s">
        <v>407</v>
      </c>
      <c r="F21" s="10" t="s">
        <v>1241</v>
      </c>
    </row>
    <row r="22" spans="1:6" hidden="1" outlineLevel="2" x14ac:dyDescent="0.25">
      <c r="D22" s="286"/>
      <c r="E22" s="9" t="s">
        <v>447</v>
      </c>
      <c r="F22" s="10" t="s">
        <v>1242</v>
      </c>
    </row>
    <row r="23" spans="1:6" hidden="1" outlineLevel="2" x14ac:dyDescent="0.25">
      <c r="D23" s="226"/>
      <c r="E23" s="9" t="s">
        <v>448</v>
      </c>
      <c r="F23" s="10">
        <v>34567</v>
      </c>
    </row>
    <row r="24" spans="1:6" hidden="1" outlineLevel="2" x14ac:dyDescent="0.25">
      <c r="D24" s="9"/>
      <c r="E24" s="9" t="s">
        <v>449</v>
      </c>
      <c r="F24" s="10" t="s">
        <v>450</v>
      </c>
    </row>
    <row r="25" spans="1:6" hidden="1" outlineLevel="2" x14ac:dyDescent="0.25">
      <c r="D25" s="13"/>
    </row>
    <row r="26" spans="1:6" hidden="1" outlineLevel="2" x14ac:dyDescent="0.25">
      <c r="D26" s="14" t="s">
        <v>451</v>
      </c>
      <c r="E26" s="7" t="s">
        <v>407</v>
      </c>
      <c r="F26" s="8" t="s">
        <v>452</v>
      </c>
    </row>
    <row r="27" spans="1:6" hidden="1" outlineLevel="2" x14ac:dyDescent="0.25">
      <c r="D27" s="13" t="s">
        <v>453</v>
      </c>
      <c r="E27" s="9" t="s">
        <v>407</v>
      </c>
      <c r="F27" s="10" t="s">
        <v>454</v>
      </c>
    </row>
    <row r="28" spans="1:6" hidden="1" outlineLevel="2" x14ac:dyDescent="0.25">
      <c r="D28" s="15"/>
      <c r="E28" s="9" t="s">
        <v>447</v>
      </c>
      <c r="F28" s="10" t="s">
        <v>455</v>
      </c>
    </row>
    <row r="29" spans="1:6" hidden="1" outlineLevel="2" x14ac:dyDescent="0.25">
      <c r="D29" s="16"/>
      <c r="E29" s="9" t="s">
        <v>448</v>
      </c>
      <c r="F29" s="10">
        <v>89012</v>
      </c>
    </row>
    <row r="30" spans="1:6" hidden="1" outlineLevel="2" x14ac:dyDescent="0.25">
      <c r="D30" s="9"/>
      <c r="E30" s="9" t="s">
        <v>449</v>
      </c>
      <c r="F30" s="10" t="s">
        <v>456</v>
      </c>
    </row>
    <row r="31" spans="1:6" s="3" customFormat="1" ht="18" x14ac:dyDescent="0.25">
      <c r="A31" s="2" t="s">
        <v>457</v>
      </c>
    </row>
    <row r="32" spans="1:6" s="4" customFormat="1" ht="16.5" outlineLevel="1" collapsed="1" x14ac:dyDescent="0.25">
      <c r="B32" s="5" t="s">
        <v>458</v>
      </c>
    </row>
    <row r="33" spans="2:6" hidden="1" outlineLevel="2" x14ac:dyDescent="0.25">
      <c r="D33" s="7" t="s">
        <v>459</v>
      </c>
      <c r="E33" s="8">
        <v>2020</v>
      </c>
    </row>
    <row r="34" spans="2:6" s="4" customFormat="1" ht="16.5" outlineLevel="1" collapsed="1" x14ac:dyDescent="0.25">
      <c r="B34" s="5" t="s">
        <v>460</v>
      </c>
    </row>
    <row r="35" spans="2:6" hidden="1" outlineLevel="2" x14ac:dyDescent="0.25">
      <c r="D35" s="31" t="s">
        <v>426</v>
      </c>
      <c r="E35" s="14" t="s">
        <v>461</v>
      </c>
      <c r="F35" s="14"/>
    </row>
    <row r="36" spans="2:6" hidden="1" outlineLevel="2" x14ac:dyDescent="0.25">
      <c r="D36" s="12" t="s">
        <v>428</v>
      </c>
      <c r="E36" s="9" t="s">
        <v>462</v>
      </c>
      <c r="F36" s="9"/>
    </row>
    <row r="37" spans="2:6" hidden="1" outlineLevel="2" x14ac:dyDescent="0.25">
      <c r="D37" s="12" t="s">
        <v>428</v>
      </c>
      <c r="E37" s="9" t="s">
        <v>463</v>
      </c>
      <c r="F37" s="9"/>
    </row>
    <row r="38" spans="2:6" hidden="1" outlineLevel="2" x14ac:dyDescent="0.25">
      <c r="D38" s="12" t="s">
        <v>428</v>
      </c>
      <c r="E38" s="9" t="s">
        <v>464</v>
      </c>
      <c r="F38" s="9"/>
    </row>
    <row r="39" spans="2:6" s="4" customFormat="1" ht="16.5" outlineLevel="1" collapsed="1" x14ac:dyDescent="0.25">
      <c r="B39" s="5" t="s">
        <v>465</v>
      </c>
    </row>
    <row r="40" spans="2:6" hidden="1" outlineLevel="2" x14ac:dyDescent="0.25">
      <c r="D40" s="11" t="s">
        <v>426</v>
      </c>
      <c r="E40" s="7" t="s">
        <v>466</v>
      </c>
      <c r="F40" s="7" t="s">
        <v>467</v>
      </c>
    </row>
    <row r="41" spans="2:6" hidden="1" outlineLevel="2" x14ac:dyDescent="0.25">
      <c r="D41" s="12" t="s">
        <v>428</v>
      </c>
      <c r="E41" s="9" t="s">
        <v>468</v>
      </c>
      <c r="F41" s="10"/>
    </row>
    <row r="42" spans="2:6" s="4" customFormat="1" ht="16.5" outlineLevel="1" collapsed="1" x14ac:dyDescent="0.25">
      <c r="B42" s="5" t="s">
        <v>469</v>
      </c>
    </row>
    <row r="43" spans="2:6" hidden="1" outlineLevel="2" x14ac:dyDescent="0.25">
      <c r="D43" s="11" t="s">
        <v>426</v>
      </c>
      <c r="E43" s="7" t="s">
        <v>470</v>
      </c>
      <c r="F43" s="7"/>
    </row>
    <row r="44" spans="2:6" hidden="1" outlineLevel="2" x14ac:dyDescent="0.25">
      <c r="D44" s="12" t="s">
        <v>428</v>
      </c>
      <c r="E44" s="9" t="s">
        <v>471</v>
      </c>
      <c r="F44" s="9"/>
    </row>
    <row r="45" spans="2:6" hidden="1" outlineLevel="2" x14ac:dyDescent="0.25">
      <c r="D45" s="12" t="s">
        <v>428</v>
      </c>
      <c r="E45" s="9" t="s">
        <v>472</v>
      </c>
      <c r="F45" s="9"/>
    </row>
    <row r="46" spans="2:6" hidden="1" outlineLevel="2" x14ac:dyDescent="0.25">
      <c r="D46" s="12" t="s">
        <v>428</v>
      </c>
      <c r="E46" s="9" t="s">
        <v>473</v>
      </c>
      <c r="F46" s="10"/>
    </row>
    <row r="47" spans="2:6" s="4" customFormat="1" ht="16.5" outlineLevel="1" collapsed="1" x14ac:dyDescent="0.25">
      <c r="B47" s="5" t="s">
        <v>474</v>
      </c>
    </row>
    <row r="48" spans="2:6" hidden="1" outlineLevel="2" x14ac:dyDescent="0.25">
      <c r="D48" s="7" t="s">
        <v>475</v>
      </c>
      <c r="E48" s="8">
        <v>2</v>
      </c>
    </row>
    <row r="49" spans="1:6" hidden="1" outlineLevel="2" x14ac:dyDescent="0.25">
      <c r="D49" s="13"/>
    </row>
    <row r="50" spans="1:6" hidden="1" outlineLevel="2" x14ac:dyDescent="0.25">
      <c r="D50" s="223" t="s">
        <v>476</v>
      </c>
      <c r="E50" s="11" t="s">
        <v>426</v>
      </c>
      <c r="F50" s="7" t="s">
        <v>477</v>
      </c>
    </row>
    <row r="51" spans="1:6" hidden="1" outlineLevel="2" x14ac:dyDescent="0.25">
      <c r="D51" s="286"/>
      <c r="E51" s="12" t="s">
        <v>428</v>
      </c>
      <c r="F51" s="9" t="s">
        <v>478</v>
      </c>
    </row>
    <row r="52" spans="1:6" hidden="1" outlineLevel="2" x14ac:dyDescent="0.25">
      <c r="D52" s="286"/>
      <c r="E52" s="12" t="s">
        <v>428</v>
      </c>
      <c r="F52" s="9" t="s">
        <v>479</v>
      </c>
    </row>
    <row r="53" spans="1:6" hidden="1" outlineLevel="2" x14ac:dyDescent="0.25">
      <c r="D53" s="226"/>
      <c r="E53" s="12" t="s">
        <v>428</v>
      </c>
      <c r="F53" s="9" t="s">
        <v>480</v>
      </c>
    </row>
    <row r="54" spans="1:6" hidden="1" outlineLevel="2" x14ac:dyDescent="0.25">
      <c r="D54" s="13"/>
    </row>
    <row r="55" spans="1:6" hidden="1" outlineLevel="2" x14ac:dyDescent="0.25">
      <c r="D55" s="223" t="s">
        <v>481</v>
      </c>
      <c r="E55" s="12" t="s">
        <v>428</v>
      </c>
      <c r="F55" s="7" t="s">
        <v>482</v>
      </c>
    </row>
    <row r="56" spans="1:6" hidden="1" outlineLevel="2" x14ac:dyDescent="0.25">
      <c r="D56" s="286"/>
      <c r="E56" s="12" t="s">
        <v>428</v>
      </c>
      <c r="F56" s="9" t="s">
        <v>483</v>
      </c>
    </row>
    <row r="57" spans="1:6" hidden="1" outlineLevel="2" x14ac:dyDescent="0.25">
      <c r="D57" s="286"/>
      <c r="E57" s="12" t="s">
        <v>428</v>
      </c>
      <c r="F57" s="9" t="s">
        <v>484</v>
      </c>
    </row>
    <row r="58" spans="1:6" hidden="1" outlineLevel="2" x14ac:dyDescent="0.25">
      <c r="D58" s="226"/>
      <c r="E58" s="11" t="s">
        <v>426</v>
      </c>
      <c r="F58" s="9" t="s">
        <v>480</v>
      </c>
    </row>
    <row r="59" spans="1:6" hidden="1" outlineLevel="2" x14ac:dyDescent="0.25">
      <c r="D59" s="13"/>
    </row>
    <row r="60" spans="1:6" hidden="1" outlineLevel="2" x14ac:dyDescent="0.25">
      <c r="D60" s="223" t="s">
        <v>485</v>
      </c>
      <c r="E60" s="11" t="s">
        <v>426</v>
      </c>
      <c r="F60" s="7" t="s">
        <v>482</v>
      </c>
    </row>
    <row r="61" spans="1:6" hidden="1" outlineLevel="2" x14ac:dyDescent="0.25">
      <c r="D61" s="286"/>
      <c r="E61" s="12" t="s">
        <v>428</v>
      </c>
      <c r="F61" s="9" t="s">
        <v>486</v>
      </c>
    </row>
    <row r="62" spans="1:6" hidden="1" outlineLevel="2" x14ac:dyDescent="0.25">
      <c r="D62" s="286"/>
      <c r="E62" s="12" t="s">
        <v>428</v>
      </c>
      <c r="F62" s="9" t="s">
        <v>484</v>
      </c>
    </row>
    <row r="63" spans="1:6" hidden="1" outlineLevel="2" x14ac:dyDescent="0.25">
      <c r="D63" s="226"/>
      <c r="E63" s="12" t="s">
        <v>428</v>
      </c>
      <c r="F63" s="9" t="s">
        <v>480</v>
      </c>
    </row>
    <row r="64" spans="1:6" s="3" customFormat="1" ht="18" x14ac:dyDescent="0.25">
      <c r="A64" s="2" t="s">
        <v>487</v>
      </c>
    </row>
    <row r="65" spans="2:10" s="4" customFormat="1" ht="16.5" outlineLevel="1" collapsed="1" x14ac:dyDescent="0.25">
      <c r="B65" s="5" t="s">
        <v>488</v>
      </c>
    </row>
    <row r="66" spans="2:10" hidden="1" outlineLevel="2" x14ac:dyDescent="0.25">
      <c r="D66" s="11" t="s">
        <v>426</v>
      </c>
      <c r="E66" s="7" t="s">
        <v>388</v>
      </c>
    </row>
    <row r="67" spans="2:10" hidden="1" outlineLevel="2" x14ac:dyDescent="0.25">
      <c r="D67" s="12" t="s">
        <v>428</v>
      </c>
      <c r="E67" s="9" t="s">
        <v>391</v>
      </c>
    </row>
    <row r="68" spans="2:10" hidden="1" outlineLevel="2" x14ac:dyDescent="0.25">
      <c r="D68" s="12" t="s">
        <v>428</v>
      </c>
      <c r="E68" s="9" t="s">
        <v>489</v>
      </c>
    </row>
    <row r="69" spans="2:10" hidden="1" outlineLevel="2" x14ac:dyDescent="0.25">
      <c r="D69" s="12" t="s">
        <v>428</v>
      </c>
      <c r="E69" s="9" t="s">
        <v>490</v>
      </c>
    </row>
    <row r="70" spans="2:10" hidden="1" outlineLevel="2" x14ac:dyDescent="0.25">
      <c r="D70" s="12" t="s">
        <v>428</v>
      </c>
      <c r="E70" s="9" t="s">
        <v>491</v>
      </c>
    </row>
    <row r="71" spans="2:10" s="4" customFormat="1" ht="16.5" outlineLevel="1" collapsed="1" x14ac:dyDescent="0.25">
      <c r="B71" s="5" t="s">
        <v>492</v>
      </c>
    </row>
    <row r="72" spans="2:10" s="17" customFormat="1" hidden="1" outlineLevel="3" x14ac:dyDescent="0.25">
      <c r="D72" s="18" t="s">
        <v>493</v>
      </c>
    </row>
    <row r="73" spans="2:10" hidden="1" outlineLevel="2" x14ac:dyDescent="0.25">
      <c r="D73" s="149" t="s">
        <v>390</v>
      </c>
      <c r="E73" s="149"/>
      <c r="F73" s="149"/>
      <c r="G73" s="7"/>
      <c r="H73" s="7"/>
      <c r="I73" s="260" t="s">
        <v>494</v>
      </c>
      <c r="J73" s="260"/>
    </row>
    <row r="74" spans="2:10" hidden="1" outlineLevel="2" x14ac:dyDescent="0.25">
      <c r="D74" s="223" t="s">
        <v>495</v>
      </c>
      <c r="E74" s="223" t="s">
        <v>496</v>
      </c>
      <c r="F74" s="9" t="s">
        <v>497</v>
      </c>
      <c r="G74" s="19">
        <v>295.75</v>
      </c>
      <c r="H74" s="9" t="s">
        <v>385</v>
      </c>
      <c r="I74" s="30" t="s">
        <v>426</v>
      </c>
      <c r="J74" s="13"/>
    </row>
    <row r="75" spans="2:10" hidden="1" outlineLevel="2" x14ac:dyDescent="0.25">
      <c r="D75" s="287"/>
      <c r="E75" s="287"/>
      <c r="F75" s="9" t="s">
        <v>498</v>
      </c>
      <c r="G75" s="19" t="s">
        <v>502</v>
      </c>
      <c r="H75" s="9" t="s">
        <v>385</v>
      </c>
      <c r="I75" s="30" t="s">
        <v>428</v>
      </c>
      <c r="J75" s="13"/>
    </row>
    <row r="76" spans="2:10" hidden="1" outlineLevel="2" x14ac:dyDescent="0.25">
      <c r="D76" s="226"/>
      <c r="E76" s="226"/>
      <c r="F76" s="9" t="s">
        <v>499</v>
      </c>
      <c r="G76" s="19" t="s">
        <v>502</v>
      </c>
      <c r="H76" s="9" t="s">
        <v>385</v>
      </c>
      <c r="I76" s="30" t="s">
        <v>428</v>
      </c>
      <c r="J76" s="13"/>
    </row>
    <row r="77" spans="2:10" hidden="1" outlineLevel="2" x14ac:dyDescent="0.25">
      <c r="D77" s="223" t="s">
        <v>500</v>
      </c>
      <c r="E77" s="149" t="s">
        <v>501</v>
      </c>
      <c r="F77" s="149"/>
      <c r="G77" s="39" t="s">
        <v>502</v>
      </c>
      <c r="H77" s="9" t="s">
        <v>385</v>
      </c>
      <c r="I77" s="30" t="s">
        <v>428</v>
      </c>
      <c r="J77" s="13"/>
    </row>
    <row r="78" spans="2:10" hidden="1" outlineLevel="2" x14ac:dyDescent="0.25">
      <c r="D78" s="287"/>
      <c r="E78" s="223" t="s">
        <v>503</v>
      </c>
      <c r="F78" s="223"/>
      <c r="G78" s="89">
        <f>1.1/1.2*E81</f>
        <v>225.80799999999999</v>
      </c>
      <c r="H78" s="13" t="s">
        <v>385</v>
      </c>
      <c r="I78" s="30" t="s">
        <v>428</v>
      </c>
      <c r="J78" s="13"/>
    </row>
    <row r="79" spans="2:10" s="17" customFormat="1" hidden="1" outlineLevel="2" x14ac:dyDescent="0.25">
      <c r="D79" s="18" t="s">
        <v>1250</v>
      </c>
    </row>
    <row r="80" spans="2:10" hidden="1" outlineLevel="2" x14ac:dyDescent="0.25">
      <c r="D80" s="7" t="s">
        <v>1243</v>
      </c>
      <c r="E80" s="88" t="s">
        <v>502</v>
      </c>
      <c r="F80" s="7" t="s">
        <v>385</v>
      </c>
    </row>
    <row r="81" spans="2:7" hidden="1" outlineLevel="2" x14ac:dyDescent="0.25">
      <c r="D81" s="13" t="s">
        <v>1244</v>
      </c>
      <c r="E81" s="89">
        <f>0.32*E548</f>
        <v>246.33599999999998</v>
      </c>
      <c r="F81" s="13" t="s">
        <v>385</v>
      </c>
    </row>
    <row r="82" spans="2:7" hidden="1" outlineLevel="2" x14ac:dyDescent="0.25">
      <c r="D82" s="13" t="s">
        <v>1251</v>
      </c>
      <c r="E82" s="90">
        <v>1</v>
      </c>
      <c r="F82" s="13"/>
    </row>
    <row r="83" spans="2:7" hidden="1" outlineLevel="2" x14ac:dyDescent="0.25">
      <c r="D83" s="87"/>
    </row>
    <row r="84" spans="2:7" hidden="1" outlineLevel="2" x14ac:dyDescent="0.25">
      <c r="D84" s="13" t="s">
        <v>1245</v>
      </c>
    </row>
    <row r="85" spans="2:7" s="4" customFormat="1" ht="16.5" outlineLevel="1" x14ac:dyDescent="0.25">
      <c r="B85" s="5" t="s">
        <v>504</v>
      </c>
    </row>
    <row r="86" spans="2:7" s="4" customFormat="1" ht="15.75" outlineLevel="2" x14ac:dyDescent="0.25">
      <c r="C86" s="20" t="s">
        <v>505</v>
      </c>
    </row>
    <row r="87" spans="2:7" s="4" customFormat="1" ht="15.75" outlineLevel="2" collapsed="1" x14ac:dyDescent="0.25">
      <c r="C87" s="20" t="s">
        <v>506</v>
      </c>
    </row>
    <row r="88" spans="2:7" s="17" customFormat="1" hidden="1" outlineLevel="3" x14ac:dyDescent="0.25">
      <c r="D88" s="18" t="s">
        <v>507</v>
      </c>
    </row>
    <row r="89" spans="2:7" hidden="1" outlineLevel="3" x14ac:dyDescent="0.25">
      <c r="D89" s="222" t="s">
        <v>508</v>
      </c>
      <c r="E89" s="224"/>
      <c r="F89" s="155" t="s">
        <v>509</v>
      </c>
      <c r="G89" s="290"/>
    </row>
    <row r="90" spans="2:7" hidden="1" outlineLevel="3" x14ac:dyDescent="0.25">
      <c r="D90" s="254"/>
      <c r="E90" s="255"/>
      <c r="F90" s="21" t="s">
        <v>510</v>
      </c>
      <c r="G90" s="22" t="s">
        <v>511</v>
      </c>
    </row>
    <row r="91" spans="2:7" hidden="1" outlineLevel="3" x14ac:dyDescent="0.25">
      <c r="D91" s="225"/>
      <c r="E91" s="227"/>
      <c r="F91" s="23" t="s">
        <v>512</v>
      </c>
      <c r="G91" s="23" t="s">
        <v>513</v>
      </c>
    </row>
    <row r="92" spans="2:7" hidden="1" outlineLevel="3" x14ac:dyDescent="0.25">
      <c r="D92" s="24" t="s">
        <v>514</v>
      </c>
      <c r="E92" s="25" t="s">
        <v>1246</v>
      </c>
      <c r="F92" s="26" t="s">
        <v>515</v>
      </c>
      <c r="G92" s="26" t="s">
        <v>515</v>
      </c>
    </row>
    <row r="93" spans="2:7" s="17" customFormat="1" hidden="1" outlineLevel="3" x14ac:dyDescent="0.25">
      <c r="D93" s="18" t="s">
        <v>517</v>
      </c>
    </row>
    <row r="94" spans="2:7" hidden="1" outlineLevel="3" x14ac:dyDescent="0.25">
      <c r="D94" s="222" t="s">
        <v>508</v>
      </c>
      <c r="E94" s="224"/>
      <c r="F94" s="21" t="s">
        <v>509</v>
      </c>
    </row>
    <row r="95" spans="2:7" ht="24" hidden="1" customHeight="1" outlineLevel="3" x14ac:dyDescent="0.25">
      <c r="D95" s="254"/>
      <c r="E95" s="255"/>
      <c r="F95" s="22" t="s">
        <v>1247</v>
      </c>
    </row>
    <row r="96" spans="2:7" hidden="1" outlineLevel="3" x14ac:dyDescent="0.25">
      <c r="D96" s="225"/>
      <c r="E96" s="227"/>
      <c r="F96" s="23" t="s">
        <v>1248</v>
      </c>
    </row>
    <row r="97" spans="2:12" hidden="1" outlineLevel="3" x14ac:dyDescent="0.25">
      <c r="D97" s="24" t="s">
        <v>514</v>
      </c>
      <c r="E97" s="25" t="str">
        <f>E92</f>
        <v>Wohnen</v>
      </c>
      <c r="F97" s="26" t="s">
        <v>515</v>
      </c>
    </row>
    <row r="98" spans="2:12" s="17" customFormat="1" hidden="1" outlineLevel="3" x14ac:dyDescent="0.25">
      <c r="D98" s="18" t="s">
        <v>519</v>
      </c>
    </row>
    <row r="99" spans="2:12" s="17" customFormat="1" hidden="1" outlineLevel="3" x14ac:dyDescent="0.25">
      <c r="D99" s="18" t="s">
        <v>521</v>
      </c>
    </row>
    <row r="100" spans="2:12" hidden="1" outlineLevel="3" x14ac:dyDescent="0.25">
      <c r="D100" s="7" t="s">
        <v>522</v>
      </c>
      <c r="E100" s="7" t="s">
        <v>523</v>
      </c>
    </row>
    <row r="101" spans="2:12" hidden="1" outlineLevel="3" x14ac:dyDescent="0.25">
      <c r="D101" s="9" t="s">
        <v>512</v>
      </c>
      <c r="E101" s="10" t="s">
        <v>524</v>
      </c>
    </row>
    <row r="102" spans="2:12" hidden="1" outlineLevel="3" x14ac:dyDescent="0.25">
      <c r="D102" s="9" t="s">
        <v>1248</v>
      </c>
      <c r="E102" s="10" t="s">
        <v>1247</v>
      </c>
    </row>
    <row r="103" spans="2:12" hidden="1" outlineLevel="3" x14ac:dyDescent="0.25">
      <c r="D103" s="9" t="s">
        <v>513</v>
      </c>
      <c r="E103" s="10" t="s">
        <v>525</v>
      </c>
    </row>
    <row r="104" spans="2:12" s="4" customFormat="1" ht="16.5" outlineLevel="1" collapsed="1" x14ac:dyDescent="0.25">
      <c r="B104" s="5" t="s">
        <v>526</v>
      </c>
    </row>
    <row r="105" spans="2:12" s="17" customFormat="1" hidden="1" outlineLevel="2" x14ac:dyDescent="0.25">
      <c r="D105" s="18" t="s">
        <v>527</v>
      </c>
    </row>
    <row r="106" spans="2:12" hidden="1" outlineLevel="2" x14ac:dyDescent="0.25">
      <c r="D106" s="7" t="s">
        <v>528</v>
      </c>
      <c r="E106" s="29">
        <v>1</v>
      </c>
      <c r="F106" s="149" t="s">
        <v>497</v>
      </c>
      <c r="G106" s="149"/>
      <c r="H106" s="149"/>
      <c r="I106" s="29">
        <v>0</v>
      </c>
      <c r="J106" s="149" t="s">
        <v>498</v>
      </c>
      <c r="K106" s="149"/>
      <c r="L106" s="149"/>
    </row>
    <row r="107" spans="2:12" hidden="1" outlineLevel="2" x14ac:dyDescent="0.25">
      <c r="D107" s="13" t="s">
        <v>529</v>
      </c>
      <c r="E107" s="284" t="s">
        <v>515</v>
      </c>
      <c r="F107" s="13" t="s">
        <v>530</v>
      </c>
      <c r="G107" s="284" t="s">
        <v>516</v>
      </c>
      <c r="H107" s="223" t="s">
        <v>531</v>
      </c>
      <c r="I107" s="223"/>
      <c r="J107" s="223"/>
      <c r="K107" s="284" t="s">
        <v>516</v>
      </c>
      <c r="L107" s="13" t="s">
        <v>532</v>
      </c>
    </row>
    <row r="108" spans="2:12" hidden="1" outlineLevel="2" x14ac:dyDescent="0.25">
      <c r="D108" s="9" t="s">
        <v>533</v>
      </c>
      <c r="E108" s="285"/>
      <c r="F108" s="9" t="s">
        <v>534</v>
      </c>
      <c r="G108" s="285"/>
      <c r="H108" s="226"/>
      <c r="I108" s="226"/>
      <c r="J108" s="226"/>
      <c r="K108" s="285"/>
      <c r="L108" s="9" t="s">
        <v>535</v>
      </c>
    </row>
    <row r="109" spans="2:12" s="17" customFormat="1" hidden="1" outlineLevel="2" x14ac:dyDescent="0.25">
      <c r="D109" s="18" t="s">
        <v>536</v>
      </c>
    </row>
    <row r="110" spans="2:12" ht="21" hidden="1" customHeight="1" outlineLevel="2" x14ac:dyDescent="0.25">
      <c r="D110" s="223" t="s">
        <v>537</v>
      </c>
      <c r="E110" s="284" t="s">
        <v>428</v>
      </c>
      <c r="F110" s="223" t="s">
        <v>538</v>
      </c>
      <c r="G110" s="223"/>
      <c r="H110" s="223"/>
      <c r="I110" s="284" t="s">
        <v>426</v>
      </c>
      <c r="J110" s="223" t="s">
        <v>539</v>
      </c>
      <c r="K110" s="223"/>
      <c r="L110" s="223"/>
    </row>
    <row r="111" spans="2:12" hidden="1" outlineLevel="2" x14ac:dyDescent="0.25">
      <c r="D111" s="226"/>
      <c r="E111" s="285"/>
      <c r="F111" s="226"/>
      <c r="G111" s="226"/>
      <c r="H111" s="226"/>
      <c r="I111" s="285"/>
      <c r="J111" s="226" t="s">
        <v>540</v>
      </c>
      <c r="K111" s="226"/>
      <c r="L111" s="226"/>
    </row>
    <row r="112" spans="2:12" hidden="1" outlineLevel="2" x14ac:dyDescent="0.25">
      <c r="D112" s="223" t="s">
        <v>541</v>
      </c>
      <c r="E112" s="284" t="s">
        <v>516</v>
      </c>
      <c r="F112" s="223" t="s">
        <v>542</v>
      </c>
      <c r="G112" s="223"/>
      <c r="H112" s="223"/>
      <c r="I112" s="284" t="s">
        <v>515</v>
      </c>
      <c r="J112" s="223" t="s">
        <v>543</v>
      </c>
      <c r="K112" s="223"/>
      <c r="L112" s="223"/>
    </row>
    <row r="113" spans="4:19" hidden="1" outlineLevel="2" x14ac:dyDescent="0.25">
      <c r="D113" s="226"/>
      <c r="E113" s="285"/>
      <c r="F113" s="226" t="s">
        <v>544</v>
      </c>
      <c r="G113" s="226"/>
      <c r="H113" s="226"/>
      <c r="I113" s="285"/>
      <c r="J113" s="226"/>
      <c r="K113" s="226"/>
      <c r="L113" s="226"/>
    </row>
    <row r="114" spans="4:19" hidden="1" outlineLevel="2" x14ac:dyDescent="0.25">
      <c r="D114" s="9" t="s">
        <v>545</v>
      </c>
      <c r="E114" s="30" t="s">
        <v>515</v>
      </c>
      <c r="F114" s="9" t="s">
        <v>546</v>
      </c>
      <c r="G114" s="30" t="s">
        <v>516</v>
      </c>
      <c r="H114" s="149" t="s">
        <v>547</v>
      </c>
      <c r="I114" s="149"/>
      <c r="J114" s="149"/>
      <c r="K114" s="30" t="s">
        <v>516</v>
      </c>
      <c r="L114" s="9" t="s">
        <v>548</v>
      </c>
    </row>
    <row r="115" spans="4:19" s="17" customFormat="1" hidden="1" outlineLevel="2" x14ac:dyDescent="0.25">
      <c r="D115" s="18" t="s">
        <v>549</v>
      </c>
    </row>
    <row r="116" spans="4:19" hidden="1" outlineLevel="2" x14ac:dyDescent="0.25">
      <c r="D116" s="7" t="s">
        <v>550</v>
      </c>
      <c r="E116" s="288" t="s">
        <v>516</v>
      </c>
      <c r="F116" s="288"/>
      <c r="G116" s="149" t="s">
        <v>551</v>
      </c>
      <c r="H116" s="149"/>
      <c r="I116" s="288" t="s">
        <v>515</v>
      </c>
      <c r="J116" s="288"/>
      <c r="K116" s="288"/>
      <c r="L116" s="149" t="s">
        <v>552</v>
      </c>
      <c r="M116" s="149"/>
      <c r="N116" s="149"/>
      <c r="O116" s="149"/>
      <c r="P116" s="149"/>
      <c r="Q116" s="289" t="s">
        <v>516</v>
      </c>
      <c r="R116" s="289"/>
      <c r="S116" s="7" t="s">
        <v>548</v>
      </c>
    </row>
    <row r="117" spans="4:19" hidden="1" outlineLevel="2" x14ac:dyDescent="0.25">
      <c r="D117" s="223" t="s">
        <v>553</v>
      </c>
      <c r="E117" s="223"/>
      <c r="F117" s="284" t="s">
        <v>515</v>
      </c>
      <c r="G117" s="284"/>
      <c r="H117" s="223" t="s">
        <v>554</v>
      </c>
      <c r="I117" s="223"/>
      <c r="J117" s="223"/>
      <c r="K117" s="223"/>
      <c r="L117" s="223"/>
      <c r="M117" s="284" t="s">
        <v>516</v>
      </c>
      <c r="N117" s="223" t="s">
        <v>555</v>
      </c>
      <c r="O117" s="223"/>
      <c r="P117" s="223"/>
      <c r="Q117" s="223"/>
      <c r="R117" s="223"/>
      <c r="S117" s="223"/>
    </row>
    <row r="118" spans="4:19" hidden="1" outlineLevel="2" x14ac:dyDescent="0.25">
      <c r="D118" s="226"/>
      <c r="E118" s="226"/>
      <c r="F118" s="285"/>
      <c r="G118" s="285"/>
      <c r="H118" s="226"/>
      <c r="I118" s="226"/>
      <c r="J118" s="226"/>
      <c r="K118" s="226"/>
      <c r="L118" s="226"/>
      <c r="M118" s="285"/>
      <c r="N118" s="226" t="s">
        <v>556</v>
      </c>
      <c r="O118" s="226"/>
      <c r="P118" s="226"/>
      <c r="Q118" s="226"/>
      <c r="R118" s="226"/>
      <c r="S118" s="226"/>
    </row>
    <row r="119" spans="4:19" ht="15" hidden="1" customHeight="1" outlineLevel="2" x14ac:dyDescent="0.25">
      <c r="D119" s="149" t="s">
        <v>557</v>
      </c>
      <c r="E119" s="149"/>
      <c r="F119" s="288" t="s">
        <v>515</v>
      </c>
      <c r="G119" s="288"/>
      <c r="H119" s="149" t="s">
        <v>558</v>
      </c>
      <c r="I119" s="149"/>
      <c r="J119" s="30" t="s">
        <v>516</v>
      </c>
      <c r="K119" s="149" t="s">
        <v>559</v>
      </c>
      <c r="L119" s="149"/>
      <c r="M119" s="149"/>
      <c r="N119" s="149"/>
      <c r="O119" s="149"/>
      <c r="P119" s="288" t="s">
        <v>516</v>
      </c>
      <c r="Q119" s="288"/>
      <c r="R119" s="149" t="s">
        <v>560</v>
      </c>
      <c r="S119" s="149"/>
    </row>
    <row r="120" spans="4:19" ht="15" hidden="1" customHeight="1" outlineLevel="2" x14ac:dyDescent="0.25">
      <c r="D120" s="223" t="s">
        <v>561</v>
      </c>
      <c r="E120" s="223"/>
      <c r="F120" s="288" t="s">
        <v>516</v>
      </c>
      <c r="G120" s="288"/>
      <c r="H120" s="149" t="s">
        <v>558</v>
      </c>
      <c r="I120" s="149"/>
      <c r="J120" s="30" t="s">
        <v>515</v>
      </c>
      <c r="K120" s="149" t="s">
        <v>562</v>
      </c>
      <c r="L120" s="149"/>
      <c r="M120" s="149"/>
      <c r="N120" s="149"/>
      <c r="O120" s="149"/>
      <c r="P120" s="288" t="s">
        <v>516</v>
      </c>
      <c r="Q120" s="288"/>
      <c r="R120" s="149" t="s">
        <v>563</v>
      </c>
      <c r="S120" s="149"/>
    </row>
    <row r="121" spans="4:19" hidden="1" outlineLevel="2" x14ac:dyDescent="0.25">
      <c r="D121" s="287"/>
      <c r="E121" s="287"/>
      <c r="F121" s="149" t="s">
        <v>564</v>
      </c>
      <c r="G121" s="149"/>
      <c r="H121" s="149"/>
      <c r="I121" s="149"/>
      <c r="J121" s="149"/>
      <c r="K121" s="149"/>
      <c r="L121" s="149"/>
      <c r="M121" s="149"/>
      <c r="N121" s="149"/>
      <c r="O121" s="146">
        <f>E555</f>
        <v>1</v>
      </c>
      <c r="P121" s="146"/>
      <c r="Q121" s="146"/>
      <c r="R121" s="149" t="s">
        <v>565</v>
      </c>
      <c r="S121" s="149"/>
    </row>
    <row r="122" spans="4:19" hidden="1" outlineLevel="2" x14ac:dyDescent="0.25">
      <c r="D122" s="226"/>
      <c r="E122" s="226"/>
      <c r="F122" s="149" t="s">
        <v>566</v>
      </c>
      <c r="G122" s="149"/>
      <c r="H122" s="149"/>
      <c r="I122" s="149"/>
      <c r="J122" s="149"/>
      <c r="K122" s="149"/>
      <c r="L122" s="149"/>
      <c r="M122" s="149"/>
      <c r="N122" s="149"/>
      <c r="O122" s="146">
        <f>E556</f>
        <v>1.1016231076297354</v>
      </c>
      <c r="P122" s="146"/>
      <c r="Q122" s="146"/>
      <c r="R122" s="149" t="s">
        <v>567</v>
      </c>
      <c r="S122" s="149"/>
    </row>
    <row r="123" spans="4:19" hidden="1" outlineLevel="2" x14ac:dyDescent="0.25">
      <c r="D123" s="223" t="s">
        <v>568</v>
      </c>
      <c r="E123" s="223"/>
      <c r="F123" s="284" t="s">
        <v>516</v>
      </c>
      <c r="G123" s="284"/>
      <c r="H123" s="223" t="s">
        <v>558</v>
      </c>
      <c r="I123" s="223"/>
      <c r="J123" s="284" t="s">
        <v>515</v>
      </c>
      <c r="K123" s="223" t="s">
        <v>569</v>
      </c>
      <c r="L123" s="223"/>
      <c r="M123" s="223"/>
      <c r="N123" s="223"/>
      <c r="O123" s="223"/>
      <c r="P123" s="284" t="s">
        <v>516</v>
      </c>
      <c r="Q123" s="284"/>
      <c r="R123" s="223" t="s">
        <v>570</v>
      </c>
      <c r="S123" s="223"/>
    </row>
    <row r="124" spans="4:19" hidden="1" outlineLevel="2" x14ac:dyDescent="0.25">
      <c r="D124" s="287"/>
      <c r="E124" s="287"/>
      <c r="F124" s="285"/>
      <c r="G124" s="285"/>
      <c r="H124" s="226"/>
      <c r="I124" s="226"/>
      <c r="J124" s="285"/>
      <c r="K124" s="226"/>
      <c r="L124" s="226"/>
      <c r="M124" s="226"/>
      <c r="N124" s="226"/>
      <c r="O124" s="226"/>
      <c r="P124" s="285"/>
      <c r="Q124" s="285"/>
      <c r="R124" s="226" t="s">
        <v>552</v>
      </c>
      <c r="S124" s="226"/>
    </row>
    <row r="125" spans="4:19" hidden="1" outlineLevel="2" x14ac:dyDescent="0.25">
      <c r="D125" s="226"/>
      <c r="E125" s="226"/>
      <c r="F125" s="149" t="s">
        <v>571</v>
      </c>
      <c r="G125" s="149"/>
      <c r="H125" s="149"/>
      <c r="I125" s="149"/>
      <c r="J125" s="149"/>
      <c r="K125" s="149"/>
      <c r="L125" s="149"/>
      <c r="M125" s="149"/>
      <c r="N125" s="149"/>
      <c r="O125" s="146">
        <f>E539</f>
        <v>0.05</v>
      </c>
      <c r="P125" s="146"/>
      <c r="Q125" s="146"/>
      <c r="R125" s="149" t="s">
        <v>572</v>
      </c>
      <c r="S125" s="149"/>
    </row>
    <row r="126" spans="4:19" ht="36" hidden="1" customHeight="1" outlineLevel="2" x14ac:dyDescent="0.25">
      <c r="D126" s="149" t="s">
        <v>573</v>
      </c>
      <c r="E126" s="149"/>
      <c r="F126" s="288" t="s">
        <v>516</v>
      </c>
      <c r="G126" s="288"/>
      <c r="H126" s="149" t="s">
        <v>574</v>
      </c>
      <c r="I126" s="149"/>
      <c r="J126" s="149"/>
      <c r="K126" s="149"/>
      <c r="L126" s="149"/>
      <c r="M126" s="30" t="s">
        <v>515</v>
      </c>
      <c r="N126" s="149" t="s">
        <v>575</v>
      </c>
      <c r="O126" s="149"/>
      <c r="P126" s="149"/>
      <c r="Q126" s="149"/>
      <c r="R126" s="149"/>
      <c r="S126" s="149"/>
    </row>
    <row r="127" spans="4:19" s="17" customFormat="1" hidden="1" outlineLevel="2" x14ac:dyDescent="0.25">
      <c r="D127" s="18" t="s">
        <v>60</v>
      </c>
    </row>
    <row r="128" spans="4:19" hidden="1" outlineLevel="2" x14ac:dyDescent="0.25">
      <c r="D128" s="223" t="s">
        <v>576</v>
      </c>
      <c r="E128" s="32" t="s">
        <v>516</v>
      </c>
      <c r="F128" s="7" t="s">
        <v>577</v>
      </c>
      <c r="G128" s="30" t="s">
        <v>516</v>
      </c>
      <c r="H128" s="149" t="s">
        <v>578</v>
      </c>
      <c r="I128" s="149"/>
      <c r="J128" s="149"/>
      <c r="K128" s="30" t="s">
        <v>516</v>
      </c>
      <c r="L128" s="7" t="s">
        <v>579</v>
      </c>
    </row>
    <row r="129" spans="4:12" ht="15.75" hidden="1" outlineLevel="2" x14ac:dyDescent="0.25">
      <c r="D129" s="226"/>
      <c r="E129" s="30" t="s">
        <v>516</v>
      </c>
      <c r="F129" s="9" t="s">
        <v>580</v>
      </c>
      <c r="G129" s="30" t="s">
        <v>516</v>
      </c>
      <c r="H129" s="149" t="s">
        <v>581</v>
      </c>
      <c r="I129" s="149"/>
      <c r="J129" s="149"/>
      <c r="K129" s="33"/>
      <c r="L129" s="34"/>
    </row>
    <row r="130" spans="4:12" hidden="1" outlineLevel="2" x14ac:dyDescent="0.25">
      <c r="D130" s="13" t="s">
        <v>582</v>
      </c>
      <c r="E130" s="284" t="s">
        <v>516</v>
      </c>
      <c r="F130" s="223" t="s">
        <v>583</v>
      </c>
      <c r="G130" s="284" t="s">
        <v>516</v>
      </c>
      <c r="H130" s="223" t="s">
        <v>584</v>
      </c>
      <c r="I130" s="223"/>
      <c r="J130" s="223"/>
      <c r="K130" s="284" t="s">
        <v>516</v>
      </c>
      <c r="L130" s="13" t="s">
        <v>585</v>
      </c>
    </row>
    <row r="131" spans="4:12" hidden="1" outlineLevel="2" x14ac:dyDescent="0.25">
      <c r="D131" s="9" t="s">
        <v>586</v>
      </c>
      <c r="E131" s="285"/>
      <c r="F131" s="226"/>
      <c r="G131" s="285"/>
      <c r="H131" s="226"/>
      <c r="I131" s="226"/>
      <c r="J131" s="226"/>
      <c r="K131" s="285"/>
      <c r="L131" s="9" t="s">
        <v>587</v>
      </c>
    </row>
    <row r="132" spans="4:12" ht="21" hidden="1" customHeight="1" outlineLevel="2" x14ac:dyDescent="0.25">
      <c r="D132" s="223" t="s">
        <v>588</v>
      </c>
      <c r="E132" s="284" t="s">
        <v>516</v>
      </c>
      <c r="F132" s="223" t="s">
        <v>589</v>
      </c>
      <c r="G132" s="223"/>
      <c r="H132" s="223"/>
      <c r="I132" s="284" t="s">
        <v>516</v>
      </c>
      <c r="J132" s="223" t="s">
        <v>590</v>
      </c>
      <c r="K132" s="223"/>
      <c r="L132" s="223"/>
    </row>
    <row r="133" spans="4:12" hidden="1" outlineLevel="2" x14ac:dyDescent="0.25">
      <c r="D133" s="226"/>
      <c r="E133" s="285"/>
      <c r="F133" s="226" t="s">
        <v>591</v>
      </c>
      <c r="G133" s="226"/>
      <c r="H133" s="226"/>
      <c r="I133" s="285"/>
      <c r="J133" s="226"/>
      <c r="K133" s="226"/>
      <c r="L133" s="226"/>
    </row>
    <row r="134" spans="4:12" hidden="1" outlineLevel="2" x14ac:dyDescent="0.25">
      <c r="D134" s="9" t="s">
        <v>592</v>
      </c>
      <c r="E134" s="30" t="s">
        <v>516</v>
      </c>
      <c r="F134" s="149" t="s">
        <v>574</v>
      </c>
      <c r="G134" s="149"/>
      <c r="H134" s="149"/>
      <c r="I134" s="30" t="s">
        <v>516</v>
      </c>
      <c r="J134" s="149" t="s">
        <v>560</v>
      </c>
      <c r="K134" s="149"/>
      <c r="L134" s="149"/>
    </row>
    <row r="135" spans="4:12" s="17" customFormat="1" hidden="1" outlineLevel="2" x14ac:dyDescent="0.25">
      <c r="D135" s="18" t="s">
        <v>68</v>
      </c>
    </row>
    <row r="136" spans="4:12" hidden="1" outlineLevel="2" x14ac:dyDescent="0.25">
      <c r="D136" s="223" t="s">
        <v>593</v>
      </c>
      <c r="E136" s="32" t="s">
        <v>515</v>
      </c>
      <c r="F136" s="7" t="s">
        <v>594</v>
      </c>
      <c r="G136" s="32" t="s">
        <v>516</v>
      </c>
      <c r="H136" s="149" t="s">
        <v>595</v>
      </c>
      <c r="I136" s="149"/>
      <c r="J136" s="149"/>
      <c r="K136" s="32" t="s">
        <v>516</v>
      </c>
      <c r="L136" s="7" t="s">
        <v>596</v>
      </c>
    </row>
    <row r="137" spans="4:12" hidden="1" outlineLevel="2" x14ac:dyDescent="0.25">
      <c r="D137" s="286"/>
      <c r="E137" s="30" t="s">
        <v>516</v>
      </c>
      <c r="F137" s="9" t="s">
        <v>597</v>
      </c>
      <c r="G137" s="30" t="s">
        <v>516</v>
      </c>
      <c r="H137" s="149" t="s">
        <v>598</v>
      </c>
      <c r="I137" s="149"/>
      <c r="J137" s="149"/>
      <c r="K137" s="30" t="s">
        <v>516</v>
      </c>
      <c r="L137" s="9" t="s">
        <v>599</v>
      </c>
    </row>
    <row r="138" spans="4:12" hidden="1" outlineLevel="2" x14ac:dyDescent="0.25">
      <c r="D138" s="226"/>
      <c r="E138" s="30" t="s">
        <v>516</v>
      </c>
      <c r="F138" s="9" t="s">
        <v>600</v>
      </c>
      <c r="G138" s="30" t="s">
        <v>516</v>
      </c>
      <c r="H138" s="149" t="s">
        <v>601</v>
      </c>
      <c r="I138" s="149"/>
      <c r="J138" s="149"/>
      <c r="K138" s="30" t="s">
        <v>516</v>
      </c>
      <c r="L138" s="9" t="s">
        <v>581</v>
      </c>
    </row>
    <row r="139" spans="4:12" hidden="1" outlineLevel="2" x14ac:dyDescent="0.25">
      <c r="D139" s="9" t="s">
        <v>602</v>
      </c>
      <c r="E139" s="30" t="s">
        <v>515</v>
      </c>
      <c r="F139" s="149" t="s">
        <v>603</v>
      </c>
      <c r="G139" s="149"/>
      <c r="H139" s="149"/>
      <c r="I139" s="30" t="s">
        <v>516</v>
      </c>
      <c r="J139" s="149" t="s">
        <v>604</v>
      </c>
      <c r="K139" s="149"/>
      <c r="L139" s="149"/>
    </row>
    <row r="140" spans="4:12" hidden="1" outlineLevel="2" x14ac:dyDescent="0.25">
      <c r="D140" s="9" t="s">
        <v>605</v>
      </c>
      <c r="E140" s="30" t="s">
        <v>515</v>
      </c>
      <c r="F140" s="149" t="s">
        <v>606</v>
      </c>
      <c r="G140" s="149"/>
      <c r="H140" s="149"/>
      <c r="I140" s="30" t="s">
        <v>516</v>
      </c>
      <c r="J140" s="149" t="s">
        <v>607</v>
      </c>
      <c r="K140" s="149"/>
      <c r="L140" s="149"/>
    </row>
    <row r="141" spans="4:12" hidden="1" outlineLevel="2" x14ac:dyDescent="0.25">
      <c r="D141" s="9" t="s">
        <v>608</v>
      </c>
      <c r="E141" s="30" t="s">
        <v>515</v>
      </c>
      <c r="F141" s="149" t="s">
        <v>574</v>
      </c>
      <c r="G141" s="149"/>
      <c r="H141" s="149"/>
      <c r="I141" s="30" t="s">
        <v>516</v>
      </c>
      <c r="J141" s="149" t="s">
        <v>575</v>
      </c>
      <c r="K141" s="149"/>
      <c r="L141" s="149"/>
    </row>
    <row r="142" spans="4:12" hidden="1" outlineLevel="2" x14ac:dyDescent="0.25">
      <c r="D142" s="9" t="s">
        <v>609</v>
      </c>
      <c r="E142" s="30" t="s">
        <v>515</v>
      </c>
      <c r="F142" s="149" t="s">
        <v>574</v>
      </c>
      <c r="G142" s="149"/>
      <c r="H142" s="149"/>
      <c r="I142" s="30" t="s">
        <v>516</v>
      </c>
      <c r="J142" s="149" t="s">
        <v>575</v>
      </c>
      <c r="K142" s="149"/>
      <c r="L142" s="149"/>
    </row>
    <row r="143" spans="4:12" hidden="1" outlineLevel="2" x14ac:dyDescent="0.25">
      <c r="D143" s="9" t="s">
        <v>610</v>
      </c>
      <c r="E143" s="30" t="s">
        <v>516</v>
      </c>
      <c r="F143" s="149" t="s">
        <v>574</v>
      </c>
      <c r="G143" s="149"/>
      <c r="H143" s="149"/>
      <c r="I143" s="30" t="s">
        <v>516</v>
      </c>
      <c r="J143" s="149" t="s">
        <v>575</v>
      </c>
      <c r="K143" s="149"/>
      <c r="L143" s="149"/>
    </row>
    <row r="144" spans="4:12" hidden="1" outlineLevel="2" x14ac:dyDescent="0.25">
      <c r="D144" s="13" t="s">
        <v>611</v>
      </c>
      <c r="E144" s="284" t="s">
        <v>516</v>
      </c>
      <c r="F144" s="223" t="s">
        <v>574</v>
      </c>
      <c r="G144" s="223"/>
      <c r="H144" s="223"/>
      <c r="I144" s="284" t="s">
        <v>516</v>
      </c>
      <c r="J144" s="223" t="s">
        <v>612</v>
      </c>
      <c r="K144" s="223"/>
      <c r="L144" s="223"/>
    </row>
    <row r="145" spans="4:12" hidden="1" outlineLevel="2" x14ac:dyDescent="0.25">
      <c r="D145" s="9" t="s">
        <v>613</v>
      </c>
      <c r="E145" s="285"/>
      <c r="F145" s="226"/>
      <c r="G145" s="226"/>
      <c r="H145" s="226"/>
      <c r="I145" s="285"/>
      <c r="J145" s="226"/>
      <c r="K145" s="226"/>
      <c r="L145" s="226"/>
    </row>
    <row r="146" spans="4:12" hidden="1" outlineLevel="2" x14ac:dyDescent="0.25">
      <c r="D146" s="9" t="s">
        <v>614</v>
      </c>
      <c r="E146" s="30" t="s">
        <v>515</v>
      </c>
      <c r="F146" s="149" t="s">
        <v>574</v>
      </c>
      <c r="G146" s="149"/>
      <c r="H146" s="149"/>
      <c r="I146" s="30" t="s">
        <v>516</v>
      </c>
      <c r="J146" s="149" t="s">
        <v>615</v>
      </c>
      <c r="K146" s="149"/>
      <c r="L146" s="149"/>
    </row>
    <row r="147" spans="4:12" s="17" customFormat="1" hidden="1" outlineLevel="2" x14ac:dyDescent="0.25">
      <c r="D147" s="18" t="s">
        <v>616</v>
      </c>
    </row>
    <row r="148" spans="4:12" hidden="1" outlineLevel="2" x14ac:dyDescent="0.25">
      <c r="D148" s="223" t="s">
        <v>617</v>
      </c>
      <c r="E148" s="30" t="s">
        <v>515</v>
      </c>
      <c r="F148" s="7" t="s">
        <v>594</v>
      </c>
      <c r="G148" s="32" t="s">
        <v>516</v>
      </c>
      <c r="H148" s="149" t="s">
        <v>595</v>
      </c>
      <c r="I148" s="149"/>
      <c r="J148" s="149"/>
      <c r="K148" s="32" t="s">
        <v>516</v>
      </c>
      <c r="L148" s="7" t="s">
        <v>596</v>
      </c>
    </row>
    <row r="149" spans="4:12" hidden="1" outlineLevel="2" x14ac:dyDescent="0.25">
      <c r="D149" s="286"/>
      <c r="E149" s="30" t="s">
        <v>516</v>
      </c>
      <c r="F149" s="9" t="s">
        <v>597</v>
      </c>
      <c r="G149" s="30" t="s">
        <v>515</v>
      </c>
      <c r="H149" s="149" t="s">
        <v>598</v>
      </c>
      <c r="I149" s="149"/>
      <c r="J149" s="149"/>
      <c r="K149" s="30" t="s">
        <v>516</v>
      </c>
      <c r="L149" s="9" t="s">
        <v>599</v>
      </c>
    </row>
    <row r="150" spans="4:12" ht="15.75" hidden="1" outlineLevel="2" x14ac:dyDescent="0.25">
      <c r="D150" s="226"/>
      <c r="E150" s="30" t="s">
        <v>516</v>
      </c>
      <c r="F150" s="9" t="s">
        <v>600</v>
      </c>
      <c r="G150" s="30" t="s">
        <v>516</v>
      </c>
      <c r="H150" s="149" t="s">
        <v>581</v>
      </c>
      <c r="I150" s="149"/>
      <c r="J150" s="149"/>
      <c r="K150" s="33"/>
      <c r="L150" s="9"/>
    </row>
    <row r="151" spans="4:12" hidden="1" outlineLevel="2" x14ac:dyDescent="0.25">
      <c r="D151" s="9" t="s">
        <v>602</v>
      </c>
      <c r="E151" s="30" t="s">
        <v>515</v>
      </c>
      <c r="F151" s="9" t="s">
        <v>603</v>
      </c>
      <c r="G151" s="30" t="s">
        <v>516</v>
      </c>
      <c r="H151" s="149" t="s">
        <v>604</v>
      </c>
      <c r="I151" s="149"/>
      <c r="J151" s="149"/>
      <c r="K151" s="30" t="s">
        <v>515</v>
      </c>
      <c r="L151" s="9" t="s">
        <v>618</v>
      </c>
    </row>
    <row r="152" spans="4:12" hidden="1" outlineLevel="2" x14ac:dyDescent="0.25">
      <c r="D152" s="9" t="s">
        <v>608</v>
      </c>
      <c r="E152" s="30" t="s">
        <v>515</v>
      </c>
      <c r="F152" s="149" t="s">
        <v>574</v>
      </c>
      <c r="G152" s="149"/>
      <c r="H152" s="149"/>
      <c r="I152" s="30" t="s">
        <v>516</v>
      </c>
      <c r="J152" s="149" t="s">
        <v>575</v>
      </c>
      <c r="K152" s="149"/>
      <c r="L152" s="149"/>
    </row>
    <row r="153" spans="4:12" hidden="1" outlineLevel="2" x14ac:dyDescent="0.25">
      <c r="D153" s="9" t="s">
        <v>609</v>
      </c>
      <c r="E153" s="30" t="s">
        <v>515</v>
      </c>
      <c r="F153" s="149" t="s">
        <v>574</v>
      </c>
      <c r="G153" s="149"/>
      <c r="H153" s="149"/>
      <c r="I153" s="30" t="s">
        <v>516</v>
      </c>
      <c r="J153" s="149" t="s">
        <v>575</v>
      </c>
      <c r="K153" s="149"/>
      <c r="L153" s="149"/>
    </row>
    <row r="154" spans="4:12" hidden="1" outlineLevel="2" x14ac:dyDescent="0.25">
      <c r="D154" s="9" t="s">
        <v>610</v>
      </c>
      <c r="E154" s="30" t="s">
        <v>515</v>
      </c>
      <c r="F154" s="149" t="s">
        <v>574</v>
      </c>
      <c r="G154" s="149"/>
      <c r="H154" s="149"/>
      <c r="I154" s="30" t="s">
        <v>516</v>
      </c>
      <c r="J154" s="149" t="s">
        <v>575</v>
      </c>
      <c r="K154" s="149"/>
      <c r="L154" s="149"/>
    </row>
    <row r="155" spans="4:12" hidden="1" outlineLevel="2" x14ac:dyDescent="0.25">
      <c r="D155" s="13" t="s">
        <v>611</v>
      </c>
      <c r="E155" s="284" t="s">
        <v>515</v>
      </c>
      <c r="F155" s="223" t="s">
        <v>574</v>
      </c>
      <c r="G155" s="223"/>
      <c r="H155" s="223"/>
      <c r="I155" s="284" t="s">
        <v>516</v>
      </c>
      <c r="J155" s="223" t="s">
        <v>612</v>
      </c>
      <c r="K155" s="223"/>
      <c r="L155" s="223"/>
    </row>
    <row r="156" spans="4:12" hidden="1" outlineLevel="2" x14ac:dyDescent="0.25">
      <c r="D156" s="9" t="s">
        <v>613</v>
      </c>
      <c r="E156" s="285"/>
      <c r="F156" s="226"/>
      <c r="G156" s="226"/>
      <c r="H156" s="226"/>
      <c r="I156" s="285"/>
      <c r="J156" s="226"/>
      <c r="K156" s="226"/>
      <c r="L156" s="226"/>
    </row>
    <row r="157" spans="4:12" hidden="1" outlineLevel="2" x14ac:dyDescent="0.25">
      <c r="D157" s="9" t="s">
        <v>614</v>
      </c>
      <c r="E157" s="30" t="s">
        <v>515</v>
      </c>
      <c r="F157" s="149" t="s">
        <v>574</v>
      </c>
      <c r="G157" s="149"/>
      <c r="H157" s="149"/>
      <c r="I157" s="30" t="s">
        <v>516</v>
      </c>
      <c r="J157" s="149" t="s">
        <v>615</v>
      </c>
      <c r="K157" s="149"/>
      <c r="L157" s="149"/>
    </row>
    <row r="158" spans="4:12" hidden="1" outlineLevel="2" x14ac:dyDescent="0.25">
      <c r="D158" s="9" t="s">
        <v>619</v>
      </c>
      <c r="E158" s="30" t="s">
        <v>515</v>
      </c>
      <c r="F158" s="149" t="s">
        <v>574</v>
      </c>
      <c r="G158" s="149"/>
      <c r="H158" s="149"/>
      <c r="I158" s="30" t="s">
        <v>516</v>
      </c>
      <c r="J158" s="149" t="s">
        <v>560</v>
      </c>
      <c r="K158" s="149"/>
      <c r="L158" s="149"/>
    </row>
    <row r="159" spans="4:12" s="17" customFormat="1" hidden="1" outlineLevel="2" x14ac:dyDescent="0.25">
      <c r="D159" s="18" t="s">
        <v>64</v>
      </c>
    </row>
    <row r="160" spans="4:12" hidden="1" outlineLevel="2" x14ac:dyDescent="0.25">
      <c r="D160" s="35" t="s">
        <v>620</v>
      </c>
      <c r="E160" s="26" t="s">
        <v>516</v>
      </c>
      <c r="F160" s="37" t="s">
        <v>621</v>
      </c>
      <c r="G160" s="36" t="s">
        <v>516</v>
      </c>
      <c r="H160" s="148" t="s">
        <v>622</v>
      </c>
      <c r="I160" s="149"/>
      <c r="J160" s="150"/>
      <c r="K160" s="36" t="s">
        <v>516</v>
      </c>
      <c r="L160" s="7" t="s">
        <v>623</v>
      </c>
    </row>
    <row r="161" spans="4:12" hidden="1" outlineLevel="2" x14ac:dyDescent="0.25">
      <c r="D161" s="255"/>
      <c r="E161" s="26" t="s">
        <v>516</v>
      </c>
      <c r="F161" s="38" t="s">
        <v>624</v>
      </c>
      <c r="G161" s="26" t="s">
        <v>516</v>
      </c>
      <c r="H161" s="148" t="s">
        <v>625</v>
      </c>
      <c r="I161" s="149"/>
      <c r="J161" s="150"/>
      <c r="K161" s="26" t="s">
        <v>516</v>
      </c>
      <c r="L161" s="9" t="s">
        <v>581</v>
      </c>
    </row>
    <row r="162" spans="4:12" hidden="1" outlineLevel="2" x14ac:dyDescent="0.25">
      <c r="D162" s="227"/>
      <c r="E162" s="30" t="s">
        <v>516</v>
      </c>
      <c r="F162" s="149" t="s">
        <v>626</v>
      </c>
      <c r="G162" s="149"/>
      <c r="H162" s="149"/>
      <c r="I162" s="30" t="s">
        <v>516</v>
      </c>
      <c r="J162" s="149" t="s">
        <v>627</v>
      </c>
      <c r="K162" s="149"/>
      <c r="L162" s="149"/>
    </row>
    <row r="163" spans="4:12" hidden="1" outlineLevel="2" x14ac:dyDescent="0.25">
      <c r="D163" s="9" t="s">
        <v>602</v>
      </c>
      <c r="E163" s="26" t="s">
        <v>516</v>
      </c>
      <c r="F163" s="149" t="s">
        <v>603</v>
      </c>
      <c r="G163" s="149"/>
      <c r="H163" s="149"/>
      <c r="I163" s="30" t="s">
        <v>516</v>
      </c>
      <c r="J163" s="149" t="s">
        <v>604</v>
      </c>
      <c r="K163" s="149"/>
      <c r="L163" s="149"/>
    </row>
    <row r="164" spans="4:12" hidden="1" outlineLevel="2" x14ac:dyDescent="0.25">
      <c r="D164" s="9" t="s">
        <v>628</v>
      </c>
      <c r="E164" s="26" t="s">
        <v>516</v>
      </c>
      <c r="F164" s="149" t="s">
        <v>606</v>
      </c>
      <c r="G164" s="149"/>
      <c r="H164" s="149"/>
      <c r="I164" s="30" t="s">
        <v>516</v>
      </c>
      <c r="J164" s="149" t="s">
        <v>629</v>
      </c>
      <c r="K164" s="149"/>
      <c r="L164" s="149"/>
    </row>
    <row r="165" spans="4:12" hidden="1" outlineLevel="2" x14ac:dyDescent="0.25">
      <c r="D165" s="9" t="s">
        <v>608</v>
      </c>
      <c r="E165" s="26" t="s">
        <v>516</v>
      </c>
      <c r="F165" s="149" t="s">
        <v>574</v>
      </c>
      <c r="G165" s="149"/>
      <c r="H165" s="149"/>
      <c r="I165" s="30" t="s">
        <v>516</v>
      </c>
      <c r="J165" s="149" t="s">
        <v>575</v>
      </c>
      <c r="K165" s="149"/>
      <c r="L165" s="149"/>
    </row>
    <row r="166" spans="4:12" hidden="1" outlineLevel="2" x14ac:dyDescent="0.25">
      <c r="D166" s="9" t="s">
        <v>609</v>
      </c>
      <c r="E166" s="26" t="s">
        <v>516</v>
      </c>
      <c r="F166" s="149" t="s">
        <v>574</v>
      </c>
      <c r="G166" s="149"/>
      <c r="H166" s="149"/>
      <c r="I166" s="30" t="s">
        <v>516</v>
      </c>
      <c r="J166" s="149" t="s">
        <v>575</v>
      </c>
      <c r="K166" s="149"/>
      <c r="L166" s="149"/>
    </row>
    <row r="167" spans="4:12" hidden="1" outlineLevel="2" x14ac:dyDescent="0.25">
      <c r="D167" s="13" t="s">
        <v>611</v>
      </c>
      <c r="E167" s="284" t="s">
        <v>516</v>
      </c>
      <c r="F167" s="223" t="s">
        <v>574</v>
      </c>
      <c r="G167" s="223"/>
      <c r="H167" s="223"/>
      <c r="I167" s="284" t="s">
        <v>516</v>
      </c>
      <c r="J167" s="223" t="s">
        <v>612</v>
      </c>
      <c r="K167" s="223"/>
      <c r="L167" s="223"/>
    </row>
    <row r="168" spans="4:12" hidden="1" outlineLevel="2" x14ac:dyDescent="0.25">
      <c r="D168" s="9" t="s">
        <v>613</v>
      </c>
      <c r="E168" s="285"/>
      <c r="F168" s="226"/>
      <c r="G168" s="226"/>
      <c r="H168" s="226"/>
      <c r="I168" s="285"/>
      <c r="J168" s="226"/>
      <c r="K168" s="226"/>
      <c r="L168" s="226"/>
    </row>
    <row r="169" spans="4:12" hidden="1" outlineLevel="2" x14ac:dyDescent="0.25">
      <c r="D169" s="223" t="s">
        <v>630</v>
      </c>
      <c r="E169" s="284" t="s">
        <v>516</v>
      </c>
      <c r="F169" s="13" t="s">
        <v>631</v>
      </c>
      <c r="G169" s="284" t="s">
        <v>516</v>
      </c>
      <c r="H169" s="223" t="s">
        <v>632</v>
      </c>
      <c r="I169" s="223"/>
      <c r="J169" s="223"/>
      <c r="K169" s="284" t="s">
        <v>516</v>
      </c>
      <c r="L169" s="13" t="s">
        <v>532</v>
      </c>
    </row>
    <row r="170" spans="4:12" hidden="1" outlineLevel="2" x14ac:dyDescent="0.25">
      <c r="D170" s="226"/>
      <c r="E170" s="285"/>
      <c r="F170" s="9" t="s">
        <v>633</v>
      </c>
      <c r="G170" s="285"/>
      <c r="H170" s="226" t="s">
        <v>633</v>
      </c>
      <c r="I170" s="226"/>
      <c r="J170" s="226"/>
      <c r="K170" s="285"/>
      <c r="L170" s="9" t="s">
        <v>634</v>
      </c>
    </row>
    <row r="171" spans="4:12" s="17" customFormat="1" hidden="1" outlineLevel="2" x14ac:dyDescent="0.25">
      <c r="D171" s="18" t="s">
        <v>635</v>
      </c>
    </row>
    <row r="172" spans="4:12" hidden="1" outlineLevel="2" x14ac:dyDescent="0.25">
      <c r="D172" s="223" t="s">
        <v>636</v>
      </c>
      <c r="E172" s="30" t="s">
        <v>516</v>
      </c>
      <c r="F172" s="7" t="s">
        <v>637</v>
      </c>
      <c r="G172" s="32" t="s">
        <v>516</v>
      </c>
      <c r="H172" s="149" t="s">
        <v>638</v>
      </c>
      <c r="I172" s="149"/>
      <c r="J172" s="149"/>
      <c r="K172" s="32" t="s">
        <v>515</v>
      </c>
      <c r="L172" s="7" t="s">
        <v>639</v>
      </c>
    </row>
    <row r="173" spans="4:12" hidden="1" outlineLevel="2" x14ac:dyDescent="0.25">
      <c r="D173" s="226"/>
      <c r="E173" s="32" t="s">
        <v>515</v>
      </c>
      <c r="F173" s="9" t="s">
        <v>640</v>
      </c>
      <c r="G173" s="30" t="s">
        <v>516</v>
      </c>
      <c r="H173" s="149" t="s">
        <v>597</v>
      </c>
      <c r="I173" s="149"/>
      <c r="J173" s="149"/>
      <c r="K173" s="30" t="s">
        <v>516</v>
      </c>
      <c r="L173" s="9" t="s">
        <v>641</v>
      </c>
    </row>
    <row r="174" spans="4:12" hidden="1" outlineLevel="2" x14ac:dyDescent="0.25">
      <c r="D174" s="223" t="s">
        <v>642</v>
      </c>
      <c r="E174" s="284" t="s">
        <v>515</v>
      </c>
      <c r="F174" s="13" t="s">
        <v>643</v>
      </c>
      <c r="G174" s="284" t="s">
        <v>516</v>
      </c>
      <c r="H174" s="223" t="s">
        <v>643</v>
      </c>
      <c r="I174" s="223"/>
      <c r="J174" s="223"/>
      <c r="K174" s="284" t="s">
        <v>516</v>
      </c>
      <c r="L174" s="13" t="s">
        <v>643</v>
      </c>
    </row>
    <row r="175" spans="4:12" hidden="1" outlineLevel="2" x14ac:dyDescent="0.25">
      <c r="D175" s="226"/>
      <c r="E175" s="285"/>
      <c r="F175" s="9" t="s">
        <v>644</v>
      </c>
      <c r="G175" s="285"/>
      <c r="H175" s="226" t="s">
        <v>645</v>
      </c>
      <c r="I175" s="226"/>
      <c r="J175" s="226"/>
      <c r="K175" s="285"/>
      <c r="L175" s="9" t="s">
        <v>646</v>
      </c>
    </row>
    <row r="176" spans="4:12" hidden="1" outlineLevel="2" x14ac:dyDescent="0.25">
      <c r="D176" s="9" t="s">
        <v>602</v>
      </c>
      <c r="E176" s="32" t="s">
        <v>515</v>
      </c>
      <c r="F176" s="149" t="s">
        <v>603</v>
      </c>
      <c r="G176" s="149"/>
      <c r="H176" s="149"/>
      <c r="I176" s="30" t="s">
        <v>516</v>
      </c>
      <c r="J176" s="149" t="s">
        <v>604</v>
      </c>
      <c r="K176" s="149"/>
      <c r="L176" s="149"/>
    </row>
    <row r="177" spans="1:12" hidden="1" outlineLevel="2" x14ac:dyDescent="0.25">
      <c r="D177" s="9" t="s">
        <v>647</v>
      </c>
      <c r="E177" s="30" t="s">
        <v>515</v>
      </c>
      <c r="F177" s="149" t="s">
        <v>574</v>
      </c>
      <c r="G177" s="149"/>
      <c r="H177" s="149"/>
      <c r="I177" s="30" t="s">
        <v>516</v>
      </c>
      <c r="J177" s="149" t="s">
        <v>560</v>
      </c>
      <c r="K177" s="149"/>
      <c r="L177" s="149"/>
    </row>
    <row r="178" spans="1:12" hidden="1" outlineLevel="2" x14ac:dyDescent="0.25">
      <c r="D178" s="9" t="s">
        <v>648</v>
      </c>
      <c r="E178" s="32" t="s">
        <v>515</v>
      </c>
      <c r="F178" s="149" t="s">
        <v>574</v>
      </c>
      <c r="G178" s="149"/>
      <c r="H178" s="149"/>
      <c r="I178" s="30" t="s">
        <v>516</v>
      </c>
      <c r="J178" s="149" t="s">
        <v>575</v>
      </c>
      <c r="K178" s="149"/>
      <c r="L178" s="149"/>
    </row>
    <row r="179" spans="1:12" hidden="1" outlineLevel="2" x14ac:dyDescent="0.25">
      <c r="D179" s="13" t="s">
        <v>649</v>
      </c>
      <c r="E179" s="284" t="s">
        <v>515</v>
      </c>
      <c r="F179" s="223" t="s">
        <v>574</v>
      </c>
      <c r="G179" s="223"/>
      <c r="H179" s="223"/>
      <c r="I179" s="284" t="s">
        <v>516</v>
      </c>
      <c r="J179" s="223" t="s">
        <v>575</v>
      </c>
      <c r="K179" s="223"/>
      <c r="L179" s="223"/>
    </row>
    <row r="180" spans="1:12" hidden="1" outlineLevel="2" x14ac:dyDescent="0.25">
      <c r="D180" s="9" t="s">
        <v>650</v>
      </c>
      <c r="E180" s="285"/>
      <c r="F180" s="226"/>
      <c r="G180" s="226"/>
      <c r="H180" s="226"/>
      <c r="I180" s="285"/>
      <c r="J180" s="226"/>
      <c r="K180" s="226"/>
      <c r="L180" s="226"/>
    </row>
    <row r="181" spans="1:12" s="17" customFormat="1" hidden="1" outlineLevel="2" x14ac:dyDescent="0.25">
      <c r="D181" s="18" t="s">
        <v>651</v>
      </c>
    </row>
    <row r="182" spans="1:12" hidden="1" outlineLevel="2" x14ac:dyDescent="0.25">
      <c r="D182" s="14" t="s">
        <v>652</v>
      </c>
      <c r="E182" s="284" t="s">
        <v>428</v>
      </c>
      <c r="F182" s="223" t="s">
        <v>574</v>
      </c>
      <c r="G182" s="284" t="s">
        <v>428</v>
      </c>
      <c r="H182" s="223" t="s">
        <v>653</v>
      </c>
      <c r="I182" s="223"/>
      <c r="J182" s="223"/>
      <c r="K182" s="284" t="s">
        <v>428</v>
      </c>
      <c r="L182" s="223" t="s">
        <v>654</v>
      </c>
    </row>
    <row r="183" spans="1:12" hidden="1" outlineLevel="2" x14ac:dyDescent="0.25">
      <c r="D183" s="9" t="s">
        <v>655</v>
      </c>
      <c r="E183" s="285"/>
      <c r="F183" s="226"/>
      <c r="G183" s="285"/>
      <c r="H183" s="226" t="s">
        <v>552</v>
      </c>
      <c r="I183" s="226"/>
      <c r="J183" s="226"/>
      <c r="K183" s="285"/>
      <c r="L183" s="226"/>
    </row>
    <row r="184" spans="1:12" hidden="1" outlineLevel="2" x14ac:dyDescent="0.25">
      <c r="D184" s="9"/>
      <c r="E184" s="149" t="s">
        <v>656</v>
      </c>
      <c r="F184" s="149"/>
      <c r="G184" s="149"/>
      <c r="H184" s="149"/>
      <c r="I184" s="39" t="s">
        <v>30</v>
      </c>
      <c r="J184" s="283"/>
      <c r="K184" s="283"/>
      <c r="L184" s="283"/>
    </row>
    <row r="185" spans="1:12" hidden="1" outlineLevel="2" x14ac:dyDescent="0.25">
      <c r="D185" s="13" t="s">
        <v>652</v>
      </c>
      <c r="E185" s="284" t="s">
        <v>428</v>
      </c>
      <c r="F185" s="223" t="s">
        <v>574</v>
      </c>
      <c r="G185" s="284" t="s">
        <v>428</v>
      </c>
      <c r="H185" s="223" t="s">
        <v>653</v>
      </c>
      <c r="I185" s="223"/>
      <c r="J185" s="223"/>
      <c r="K185" s="284" t="s">
        <v>428</v>
      </c>
      <c r="L185" s="223" t="s">
        <v>654</v>
      </c>
    </row>
    <row r="186" spans="1:12" hidden="1" outlineLevel="2" x14ac:dyDescent="0.25">
      <c r="D186" s="9" t="s">
        <v>657</v>
      </c>
      <c r="E186" s="285"/>
      <c r="F186" s="226"/>
      <c r="G186" s="285"/>
      <c r="H186" s="226" t="s">
        <v>552</v>
      </c>
      <c r="I186" s="226"/>
      <c r="J186" s="226"/>
      <c r="K186" s="285"/>
      <c r="L186" s="226"/>
    </row>
    <row r="187" spans="1:12" hidden="1" outlineLevel="2" x14ac:dyDescent="0.25">
      <c r="D187" s="9"/>
      <c r="E187" s="149" t="s">
        <v>658</v>
      </c>
      <c r="F187" s="149"/>
      <c r="G187" s="149"/>
      <c r="H187" s="149"/>
      <c r="I187" s="39" t="s">
        <v>30</v>
      </c>
      <c r="J187" s="283"/>
      <c r="K187" s="283"/>
      <c r="L187" s="283"/>
    </row>
    <row r="188" spans="1:12" s="17" customFormat="1" hidden="1" outlineLevel="2" x14ac:dyDescent="0.25">
      <c r="D188" s="18" t="s">
        <v>659</v>
      </c>
    </row>
    <row r="189" spans="1:12" hidden="1" outlineLevel="2" x14ac:dyDescent="0.25">
      <c r="D189" s="7" t="s">
        <v>660</v>
      </c>
      <c r="E189" s="30" t="s">
        <v>515</v>
      </c>
      <c r="F189" s="7" t="s">
        <v>661</v>
      </c>
      <c r="G189" s="32" t="s">
        <v>516</v>
      </c>
      <c r="H189" s="7" t="s">
        <v>662</v>
      </c>
    </row>
    <row r="190" spans="1:12" hidden="1" outlineLevel="2" x14ac:dyDescent="0.25">
      <c r="D190" s="13"/>
    </row>
    <row r="191" spans="1:12" hidden="1" outlineLevel="2" x14ac:dyDescent="0.25">
      <c r="D191" s="13" t="s">
        <v>663</v>
      </c>
    </row>
    <row r="192" spans="1:12" s="3" customFormat="1" ht="18" x14ac:dyDescent="0.25">
      <c r="A192" s="2" t="s">
        <v>664</v>
      </c>
    </row>
    <row r="193" spans="2:14" s="4" customFormat="1" ht="16.5" outlineLevel="1" collapsed="1" x14ac:dyDescent="0.25">
      <c r="B193" s="5" t="s">
        <v>665</v>
      </c>
    </row>
    <row r="194" spans="2:14" s="17" customFormat="1" hidden="1" outlineLevel="2" x14ac:dyDescent="0.25">
      <c r="D194" s="18" t="s">
        <v>666</v>
      </c>
    </row>
    <row r="195" spans="2:14" hidden="1" outlineLevel="2" x14ac:dyDescent="0.25">
      <c r="D195" s="157" t="s">
        <v>667</v>
      </c>
      <c r="E195" s="158"/>
      <c r="F195" s="165" t="s">
        <v>68</v>
      </c>
      <c r="G195" s="167"/>
      <c r="H195" s="165" t="s">
        <v>64</v>
      </c>
      <c r="I195" s="167"/>
      <c r="J195" s="168" t="s">
        <v>668</v>
      </c>
      <c r="K195" s="168" t="s">
        <v>669</v>
      </c>
      <c r="L195" s="168" t="s">
        <v>670</v>
      </c>
    </row>
    <row r="196" spans="2:14" hidden="1" outlineLevel="2" x14ac:dyDescent="0.25">
      <c r="D196" s="159" t="s">
        <v>508</v>
      </c>
      <c r="E196" s="160"/>
      <c r="F196" s="168" t="s">
        <v>671</v>
      </c>
      <c r="G196" s="40" t="s">
        <v>672</v>
      </c>
      <c r="H196" s="168" t="s">
        <v>671</v>
      </c>
      <c r="I196" s="40" t="s">
        <v>672</v>
      </c>
      <c r="J196" s="251"/>
      <c r="K196" s="251"/>
      <c r="L196" s="251"/>
    </row>
    <row r="197" spans="2:14" hidden="1" outlineLevel="2" x14ac:dyDescent="0.25">
      <c r="D197" s="163"/>
      <c r="E197" s="164"/>
      <c r="F197" s="169"/>
      <c r="G197" s="41" t="s">
        <v>673</v>
      </c>
      <c r="H197" s="169"/>
      <c r="I197" s="41" t="s">
        <v>673</v>
      </c>
      <c r="J197" s="169"/>
      <c r="K197" s="169"/>
      <c r="L197" s="169"/>
    </row>
    <row r="198" spans="2:14" hidden="1" outlineLevel="2" x14ac:dyDescent="0.25">
      <c r="D198" s="25" t="str">
        <f>D$92</f>
        <v>Z1</v>
      </c>
      <c r="E198" s="25" t="str">
        <f>E92</f>
        <v>Wohnen</v>
      </c>
      <c r="F198" s="42">
        <f>GEB_Erg_Det_Nutz_All_Abs!B11/G74</f>
        <v>23.60284023668639</v>
      </c>
      <c r="G198" s="42">
        <f>GEB_Erg_Det_Nutz_All_Abs!C11/G74</f>
        <v>4.7205748098055782</v>
      </c>
      <c r="H198" s="42">
        <v>0</v>
      </c>
      <c r="I198" s="42">
        <v>0</v>
      </c>
      <c r="J198" s="42" t="s">
        <v>502</v>
      </c>
      <c r="K198" s="42">
        <f>GEB_Erg_Det_Nutz_All_Abs!G11/G74</f>
        <v>11</v>
      </c>
      <c r="L198" s="42" t="s">
        <v>1339</v>
      </c>
      <c r="N198" s="102"/>
    </row>
    <row r="199" spans="2:14" hidden="1" outlineLevel="2" x14ac:dyDescent="0.25">
      <c r="D199" s="157" t="s">
        <v>674</v>
      </c>
      <c r="E199" s="158"/>
      <c r="F199" s="42">
        <f>F198</f>
        <v>23.60284023668639</v>
      </c>
      <c r="G199" s="42">
        <f t="shared" ref="G199:L199" si="0">G198</f>
        <v>4.7205748098055782</v>
      </c>
      <c r="H199" s="42">
        <f t="shared" si="0"/>
        <v>0</v>
      </c>
      <c r="I199" s="42">
        <f t="shared" si="0"/>
        <v>0</v>
      </c>
      <c r="J199" s="42" t="str">
        <f t="shared" si="0"/>
        <v>k. A.</v>
      </c>
      <c r="K199" s="42">
        <f t="shared" si="0"/>
        <v>11</v>
      </c>
      <c r="L199" s="42" t="str">
        <f t="shared" si="0"/>
        <v>k. A</v>
      </c>
    </row>
    <row r="200" spans="2:14" s="17" customFormat="1" hidden="1" outlineLevel="2" x14ac:dyDescent="0.25">
      <c r="D200" s="18" t="s">
        <v>675</v>
      </c>
    </row>
    <row r="201" spans="2:14" hidden="1" outlineLevel="2" x14ac:dyDescent="0.25">
      <c r="D201" s="157" t="s">
        <v>676</v>
      </c>
      <c r="E201" s="158"/>
      <c r="F201" s="165" t="s">
        <v>68</v>
      </c>
      <c r="G201" s="167"/>
      <c r="H201" s="165" t="s">
        <v>64</v>
      </c>
      <c r="I201" s="167"/>
      <c r="J201" s="168" t="s">
        <v>668</v>
      </c>
      <c r="K201" s="168" t="s">
        <v>669</v>
      </c>
      <c r="L201" s="168" t="s">
        <v>670</v>
      </c>
    </row>
    <row r="202" spans="2:14" hidden="1" outlineLevel="2" x14ac:dyDescent="0.25">
      <c r="D202" s="159" t="s">
        <v>508</v>
      </c>
      <c r="E202" s="160"/>
      <c r="F202" s="168" t="s">
        <v>671</v>
      </c>
      <c r="G202" s="40" t="s">
        <v>672</v>
      </c>
      <c r="H202" s="168" t="s">
        <v>671</v>
      </c>
      <c r="I202" s="40" t="s">
        <v>672</v>
      </c>
      <c r="J202" s="251"/>
      <c r="K202" s="251"/>
      <c r="L202" s="251"/>
    </row>
    <row r="203" spans="2:14" hidden="1" outlineLevel="2" x14ac:dyDescent="0.25">
      <c r="D203" s="163"/>
      <c r="E203" s="164"/>
      <c r="F203" s="169"/>
      <c r="G203" s="41" t="s">
        <v>673</v>
      </c>
      <c r="H203" s="169"/>
      <c r="I203" s="41" t="s">
        <v>673</v>
      </c>
      <c r="J203" s="169"/>
      <c r="K203" s="169"/>
      <c r="L203" s="169"/>
    </row>
    <row r="204" spans="2:14" hidden="1" outlineLevel="2" x14ac:dyDescent="0.25">
      <c r="D204" s="25" t="str">
        <f>D198</f>
        <v>Z1</v>
      </c>
      <c r="E204" s="25" t="str">
        <f>E198</f>
        <v>Wohnen</v>
      </c>
      <c r="F204" s="43">
        <f>GEB_Erg_Det_Nutz_All_Abs!B11</f>
        <v>6980.54</v>
      </c>
      <c r="G204" s="43">
        <f>GEB_Erg_Det_Nutz_All_Abs!C11</f>
        <v>1396.1099999999997</v>
      </c>
      <c r="H204" s="43">
        <v>0</v>
      </c>
      <c r="I204" s="43">
        <v>0</v>
      </c>
      <c r="J204" s="43" t="s">
        <v>502</v>
      </c>
      <c r="K204" s="43">
        <f>GEB_Erg_Det_Nutz_All_Abs!G11</f>
        <v>3253.25</v>
      </c>
      <c r="L204" s="43" t="s">
        <v>502</v>
      </c>
    </row>
    <row r="205" spans="2:14" hidden="1" outlineLevel="2" x14ac:dyDescent="0.25">
      <c r="D205" s="157" t="s">
        <v>674</v>
      </c>
      <c r="E205" s="158"/>
      <c r="F205" s="43">
        <f>F204</f>
        <v>6980.54</v>
      </c>
      <c r="G205" s="43">
        <f t="shared" ref="G205:L205" si="1">G204</f>
        <v>1396.1099999999997</v>
      </c>
      <c r="H205" s="43">
        <f t="shared" si="1"/>
        <v>0</v>
      </c>
      <c r="I205" s="43">
        <f t="shared" si="1"/>
        <v>0</v>
      </c>
      <c r="J205" s="43" t="str">
        <f t="shared" si="1"/>
        <v>k. A.</v>
      </c>
      <c r="K205" s="43">
        <f t="shared" si="1"/>
        <v>3253.25</v>
      </c>
      <c r="L205" s="43" t="str">
        <f t="shared" si="1"/>
        <v>k. A.</v>
      </c>
    </row>
    <row r="206" spans="2:14" s="4" customFormat="1" ht="16.5" outlineLevel="1" x14ac:dyDescent="0.25">
      <c r="B206" s="5" t="s">
        <v>677</v>
      </c>
    </row>
    <row r="207" spans="2:14" s="4" customFormat="1" ht="15.75" outlineLevel="2" collapsed="1" x14ac:dyDescent="0.25">
      <c r="C207" s="20" t="s">
        <v>678</v>
      </c>
    </row>
    <row r="208" spans="2:14" hidden="1" outlineLevel="3" x14ac:dyDescent="0.25">
      <c r="D208" s="7" t="s">
        <v>679</v>
      </c>
      <c r="E208" s="32" t="s">
        <v>428</v>
      </c>
      <c r="F208" s="7" t="s">
        <v>680</v>
      </c>
      <c r="G208" s="32" t="s">
        <v>426</v>
      </c>
      <c r="H208" s="7" t="s">
        <v>681</v>
      </c>
    </row>
    <row r="209" spans="3:11" s="4" customFormat="1" ht="15.75" outlineLevel="2" collapsed="1" x14ac:dyDescent="0.25">
      <c r="C209" s="20" t="s">
        <v>682</v>
      </c>
    </row>
    <row r="210" spans="3:11" s="17" customFormat="1" hidden="1" outlineLevel="3" x14ac:dyDescent="0.25">
      <c r="D210" s="18" t="s">
        <v>683</v>
      </c>
    </row>
    <row r="211" spans="3:11" hidden="1" outlineLevel="3" x14ac:dyDescent="0.25">
      <c r="D211" s="44" t="s">
        <v>667</v>
      </c>
      <c r="E211" s="45" t="s">
        <v>68</v>
      </c>
      <c r="F211" s="45" t="s">
        <v>378</v>
      </c>
      <c r="G211" s="45" t="s">
        <v>684</v>
      </c>
      <c r="H211" s="45" t="s">
        <v>668</v>
      </c>
      <c r="I211" s="45" t="s">
        <v>669</v>
      </c>
      <c r="J211" s="45" t="s">
        <v>670</v>
      </c>
      <c r="K211" s="45" t="s">
        <v>70</v>
      </c>
    </row>
    <row r="212" spans="3:11" hidden="1" outlineLevel="3" x14ac:dyDescent="0.25">
      <c r="D212" s="24" t="s">
        <v>598</v>
      </c>
      <c r="E212" s="42">
        <v>0</v>
      </c>
      <c r="F212" s="42">
        <v>0</v>
      </c>
      <c r="G212" s="275"/>
      <c r="H212" s="276"/>
      <c r="I212" s="42">
        <f>F718</f>
        <v>11.49775147928994</v>
      </c>
      <c r="J212" s="42" t="s">
        <v>502</v>
      </c>
      <c r="K212" s="42">
        <f>SUM(E212:J212)</f>
        <v>11.49775147928994</v>
      </c>
    </row>
    <row r="213" spans="3:11" hidden="1" outlineLevel="3" x14ac:dyDescent="0.25">
      <c r="D213" s="157" t="s">
        <v>685</v>
      </c>
      <c r="E213" s="189"/>
      <c r="F213" s="189"/>
      <c r="G213" s="189"/>
      <c r="H213" s="189"/>
      <c r="I213" s="189"/>
      <c r="J213" s="158"/>
      <c r="K213" s="42">
        <f>SUM(K212:K212)</f>
        <v>11.49775147928994</v>
      </c>
    </row>
    <row r="214" spans="3:11" s="17" customFormat="1" hidden="1" outlineLevel="3" x14ac:dyDescent="0.25">
      <c r="D214" s="18" t="s">
        <v>686</v>
      </c>
    </row>
    <row r="215" spans="3:11" hidden="1" outlineLevel="3" x14ac:dyDescent="0.25">
      <c r="D215" s="44" t="s">
        <v>667</v>
      </c>
      <c r="E215" s="45" t="s">
        <v>68</v>
      </c>
      <c r="F215" s="45" t="s">
        <v>378</v>
      </c>
      <c r="G215" s="45" t="s">
        <v>684</v>
      </c>
      <c r="H215" s="45" t="s">
        <v>668</v>
      </c>
      <c r="I215" s="45" t="s">
        <v>669</v>
      </c>
      <c r="J215" s="45" t="s">
        <v>670</v>
      </c>
      <c r="K215" s="45" t="s">
        <v>70</v>
      </c>
    </row>
    <row r="216" spans="3:11" hidden="1" outlineLevel="3" x14ac:dyDescent="0.25">
      <c r="D216" s="46" t="s">
        <v>687</v>
      </c>
      <c r="E216" s="42">
        <f>GEB_Erg_Det_End_All_Abs!B23/$G$74</f>
        <v>0.52970414201183436</v>
      </c>
      <c r="F216" s="42">
        <f>GEB_Erg_Det_End_All_Abs!C23/$G$74</f>
        <v>0</v>
      </c>
      <c r="G216" s="42">
        <f>GEB_Erg_Det_End_All_Abs!D23/$G$74</f>
        <v>3.4855114116652577</v>
      </c>
      <c r="H216" s="42" t="s">
        <v>502</v>
      </c>
      <c r="I216" s="42">
        <f>GEB_Erg_Det_End_All_Abs!F23/$G$74</f>
        <v>0.97930684699915471</v>
      </c>
      <c r="J216" s="42" t="s">
        <v>502</v>
      </c>
      <c r="K216" s="42">
        <f>SUM(E216:J216)</f>
        <v>4.9945224006762468</v>
      </c>
    </row>
    <row r="217" spans="3:11" hidden="1" outlineLevel="3" x14ac:dyDescent="0.25">
      <c r="D217" s="46" t="s">
        <v>688</v>
      </c>
      <c r="E217" s="277"/>
      <c r="F217" s="278"/>
      <c r="G217" s="278"/>
      <c r="H217" s="278"/>
      <c r="I217" s="278"/>
      <c r="J217" s="279"/>
      <c r="K217" s="42">
        <f>E1062/G74</f>
        <v>5.8125105663567203</v>
      </c>
    </row>
    <row r="218" spans="3:11" hidden="1" outlineLevel="3" x14ac:dyDescent="0.25">
      <c r="D218" s="46" t="s">
        <v>689</v>
      </c>
      <c r="E218" s="280"/>
      <c r="F218" s="281"/>
      <c r="G218" s="281"/>
      <c r="H218" s="281"/>
      <c r="I218" s="281"/>
      <c r="J218" s="282"/>
      <c r="K218" s="42">
        <f>E1063/G74</f>
        <v>3.7988165680473371</v>
      </c>
    </row>
    <row r="219" spans="3:11" hidden="1" outlineLevel="3" x14ac:dyDescent="0.25">
      <c r="D219" s="157" t="s">
        <v>690</v>
      </c>
      <c r="E219" s="189"/>
      <c r="F219" s="189"/>
      <c r="G219" s="189"/>
      <c r="H219" s="189"/>
      <c r="I219" s="189"/>
      <c r="J219" s="158"/>
      <c r="K219" s="42">
        <f>K216-K218</f>
        <v>1.1957058326289096</v>
      </c>
    </row>
    <row r="220" spans="3:11" s="17" customFormat="1" hidden="1" outlineLevel="3" x14ac:dyDescent="0.25">
      <c r="D220" s="18" t="s">
        <v>691</v>
      </c>
    </row>
    <row r="221" spans="3:11" hidden="1" outlineLevel="3" x14ac:dyDescent="0.25">
      <c r="D221" s="44" t="s">
        <v>667</v>
      </c>
      <c r="E221" s="45" t="s">
        <v>68</v>
      </c>
      <c r="F221" s="45" t="s">
        <v>378</v>
      </c>
      <c r="G221" s="45" t="s">
        <v>684</v>
      </c>
      <c r="H221" s="45" t="s">
        <v>668</v>
      </c>
      <c r="I221" s="45" t="s">
        <v>669</v>
      </c>
      <c r="J221" s="45" t="s">
        <v>670</v>
      </c>
      <c r="K221" s="45" t="s">
        <v>70</v>
      </c>
    </row>
    <row r="222" spans="3:11" hidden="1" outlineLevel="3" x14ac:dyDescent="0.25">
      <c r="D222" s="24" t="s">
        <v>1291</v>
      </c>
      <c r="E222" s="42">
        <f>GEB_Erg_Det_End_All_Abs!B20/$G$74</f>
        <v>36.908334742180891</v>
      </c>
      <c r="F222" s="42">
        <f>GEB_Erg_Det_End_All_Abs!C20/$G$74</f>
        <v>0</v>
      </c>
      <c r="G222" s="275"/>
      <c r="H222" s="276"/>
      <c r="I222" s="42">
        <f>GEB_Erg_Det_End_All_Abs!F20/$G$74</f>
        <v>14.037700760777682</v>
      </c>
      <c r="J222" s="42" t="s">
        <v>502</v>
      </c>
      <c r="K222" s="42">
        <f>SUM(E222:J222)</f>
        <v>50.946035502958573</v>
      </c>
    </row>
    <row r="223" spans="3:11" hidden="1" outlineLevel="3" x14ac:dyDescent="0.25">
      <c r="D223" s="157" t="s">
        <v>692</v>
      </c>
      <c r="E223" s="189"/>
      <c r="F223" s="189"/>
      <c r="G223" s="189"/>
      <c r="H223" s="189"/>
      <c r="I223" s="189"/>
      <c r="J223" s="158"/>
      <c r="K223" s="42">
        <f>SUM(K222:K222)</f>
        <v>50.946035502958573</v>
      </c>
    </row>
    <row r="224" spans="3:11" s="4" customFormat="1" ht="15.75" outlineLevel="2" collapsed="1" x14ac:dyDescent="0.25">
      <c r="C224" s="20" t="s">
        <v>693</v>
      </c>
    </row>
    <row r="225" spans="4:12" s="17" customFormat="1" hidden="1" outlineLevel="3" x14ac:dyDescent="0.25">
      <c r="D225" s="18" t="s">
        <v>694</v>
      </c>
    </row>
    <row r="226" spans="4:12" hidden="1" outlineLevel="3" x14ac:dyDescent="0.25">
      <c r="D226" s="157" t="s">
        <v>667</v>
      </c>
      <c r="E226" s="158"/>
      <c r="F226" s="168" t="s">
        <v>68</v>
      </c>
      <c r="G226" s="168" t="s">
        <v>378</v>
      </c>
      <c r="H226" s="168" t="s">
        <v>60</v>
      </c>
      <c r="I226" s="168" t="s">
        <v>669</v>
      </c>
      <c r="J226" s="153" t="s">
        <v>646</v>
      </c>
      <c r="K226" s="153" t="s">
        <v>70</v>
      </c>
    </row>
    <row r="227" spans="4:12" hidden="1" outlineLevel="3" x14ac:dyDescent="0.25">
      <c r="D227" s="157" t="s">
        <v>508</v>
      </c>
      <c r="E227" s="158"/>
      <c r="F227" s="169"/>
      <c r="G227" s="169"/>
      <c r="H227" s="169"/>
      <c r="I227" s="169"/>
      <c r="J227" s="154"/>
      <c r="K227" s="154"/>
    </row>
    <row r="228" spans="4:12" hidden="1" outlineLevel="3" x14ac:dyDescent="0.25">
      <c r="D228" s="24" t="str">
        <f>D198</f>
        <v>Z1</v>
      </c>
      <c r="E228" s="24" t="str">
        <f>E198</f>
        <v>Wohnen</v>
      </c>
      <c r="F228" s="42">
        <f>GEB_Erg_Det_End_All_Abs!B14/$G$74</f>
        <v>36.908334742180891</v>
      </c>
      <c r="G228" s="42">
        <f>GEB_Erg_Det_End_All_Abs!C14/$G$74</f>
        <v>0</v>
      </c>
      <c r="H228" s="42" t="s">
        <v>502</v>
      </c>
      <c r="I228" s="42">
        <f>GEB_Erg_Det_End_All_Abs!E14/$G$74</f>
        <v>14.037700760777682</v>
      </c>
      <c r="J228" s="42" t="s">
        <v>502</v>
      </c>
      <c r="K228" s="42">
        <f>SUM(F228:J228)</f>
        <v>50.946035502958573</v>
      </c>
    </row>
    <row r="229" spans="4:12" hidden="1" outlineLevel="3" x14ac:dyDescent="0.25">
      <c r="D229" s="157" t="s">
        <v>674</v>
      </c>
      <c r="E229" s="158"/>
      <c r="F229" s="42">
        <f t="shared" ref="F229:K229" si="2">F228</f>
        <v>36.908334742180891</v>
      </c>
      <c r="G229" s="42">
        <f t="shared" si="2"/>
        <v>0</v>
      </c>
      <c r="H229" s="42" t="str">
        <f t="shared" si="2"/>
        <v>k. A.</v>
      </c>
      <c r="I229" s="42">
        <f t="shared" si="2"/>
        <v>14.037700760777682</v>
      </c>
      <c r="J229" s="42" t="str">
        <f t="shared" si="2"/>
        <v>k. A.</v>
      </c>
      <c r="K229" s="42">
        <f t="shared" si="2"/>
        <v>50.946035502958573</v>
      </c>
    </row>
    <row r="230" spans="4:12" s="17" customFormat="1" hidden="1" outlineLevel="3" x14ac:dyDescent="0.25">
      <c r="D230" s="18" t="s">
        <v>695</v>
      </c>
    </row>
    <row r="231" spans="4:12" hidden="1" outlineLevel="3" x14ac:dyDescent="0.25">
      <c r="D231" s="157" t="s">
        <v>667</v>
      </c>
      <c r="E231" s="158"/>
      <c r="F231" s="168" t="s">
        <v>68</v>
      </c>
      <c r="G231" s="168" t="s">
        <v>378</v>
      </c>
      <c r="H231" s="168" t="s">
        <v>684</v>
      </c>
      <c r="I231" s="168" t="s">
        <v>669</v>
      </c>
      <c r="J231" s="153" t="s">
        <v>646</v>
      </c>
      <c r="K231" s="153" t="s">
        <v>70</v>
      </c>
    </row>
    <row r="232" spans="4:12" hidden="1" outlineLevel="3" x14ac:dyDescent="0.25">
      <c r="D232" s="157" t="s">
        <v>508</v>
      </c>
      <c r="E232" s="158"/>
      <c r="F232" s="169"/>
      <c r="G232" s="169"/>
      <c r="H232" s="169"/>
      <c r="I232" s="169"/>
      <c r="J232" s="154"/>
      <c r="K232" s="154"/>
    </row>
    <row r="233" spans="4:12" hidden="1" outlineLevel="3" x14ac:dyDescent="0.25">
      <c r="D233" s="24" t="str">
        <f>D228</f>
        <v>Z1</v>
      </c>
      <c r="E233" s="24" t="str">
        <f>E228</f>
        <v>Wohnen</v>
      </c>
      <c r="F233" s="42">
        <f>GEB_Erg_Det_End_All_Abs!B17/$G$74</f>
        <v>0.52970414201183436</v>
      </c>
      <c r="G233" s="42">
        <f>GEB_Erg_Det_End_All_Abs!C17/$G$74</f>
        <v>0</v>
      </c>
      <c r="H233" s="42">
        <f>GEB_Erg_Det_End_All_Abs!D17/$G$74</f>
        <v>3.4855114116652577</v>
      </c>
      <c r="I233" s="42">
        <f>GEB_Erg_Det_End_All_Abs!E17/$G$74</f>
        <v>0.97930684699915471</v>
      </c>
      <c r="J233" s="42" t="s">
        <v>502</v>
      </c>
      <c r="K233" s="42">
        <f>SUM(F233:J233)</f>
        <v>4.9945224006762468</v>
      </c>
    </row>
    <row r="234" spans="4:12" hidden="1" outlineLevel="3" x14ac:dyDescent="0.25">
      <c r="D234" s="157" t="s">
        <v>674</v>
      </c>
      <c r="E234" s="158"/>
      <c r="F234" s="42">
        <f>F233</f>
        <v>0.52970414201183436</v>
      </c>
      <c r="G234" s="42">
        <f t="shared" ref="G234:J234" si="3">G233</f>
        <v>0</v>
      </c>
      <c r="H234" s="42">
        <f t="shared" si="3"/>
        <v>3.4855114116652577</v>
      </c>
      <c r="I234" s="42">
        <f t="shared" si="3"/>
        <v>0.97930684699915471</v>
      </c>
      <c r="J234" s="42" t="str">
        <f t="shared" si="3"/>
        <v>k. A.</v>
      </c>
      <c r="K234" s="42">
        <f>K233</f>
        <v>4.9945224006762468</v>
      </c>
    </row>
    <row r="235" spans="4:12" s="17" customFormat="1" hidden="1" outlineLevel="3" x14ac:dyDescent="0.25">
      <c r="D235" s="18" t="s">
        <v>696</v>
      </c>
    </row>
    <row r="236" spans="4:12" hidden="1" outlineLevel="3" x14ac:dyDescent="0.25">
      <c r="D236" s="157" t="s">
        <v>667</v>
      </c>
      <c r="E236" s="158"/>
      <c r="F236" s="168" t="s">
        <v>68</v>
      </c>
      <c r="G236" s="168" t="s">
        <v>378</v>
      </c>
      <c r="H236" s="168" t="s">
        <v>684</v>
      </c>
      <c r="I236" s="168" t="s">
        <v>668</v>
      </c>
      <c r="J236" s="168" t="s">
        <v>669</v>
      </c>
      <c r="K236" s="153" t="s">
        <v>670</v>
      </c>
      <c r="L236" s="153" t="s">
        <v>70</v>
      </c>
    </row>
    <row r="237" spans="4:12" hidden="1" outlineLevel="3" x14ac:dyDescent="0.25">
      <c r="D237" s="157" t="s">
        <v>508</v>
      </c>
      <c r="E237" s="158"/>
      <c r="F237" s="169"/>
      <c r="G237" s="169"/>
      <c r="H237" s="169"/>
      <c r="I237" s="169"/>
      <c r="J237" s="169"/>
      <c r="K237" s="154"/>
      <c r="L237" s="154"/>
    </row>
    <row r="238" spans="4:12" hidden="1" outlineLevel="3" x14ac:dyDescent="0.25">
      <c r="D238" s="24" t="str">
        <f>D228</f>
        <v>Z1</v>
      </c>
      <c r="E238" s="24" t="str">
        <f>E228</f>
        <v>Wohnen</v>
      </c>
      <c r="F238" s="42">
        <f>F228+F233</f>
        <v>37.438038884192729</v>
      </c>
      <c r="G238" s="42">
        <f>G228+G233</f>
        <v>0</v>
      </c>
      <c r="H238" s="42">
        <f>H233</f>
        <v>3.4855114116652577</v>
      </c>
      <c r="I238" s="42" t="str">
        <f>H228</f>
        <v>k. A.</v>
      </c>
      <c r="J238" s="42">
        <f>I228+I233</f>
        <v>15.017007607776836</v>
      </c>
      <c r="K238" s="42" t="str">
        <f>J228</f>
        <v>k. A.</v>
      </c>
      <c r="L238" s="42">
        <f>K228+K233</f>
        <v>55.940557903634819</v>
      </c>
    </row>
    <row r="239" spans="4:12" hidden="1" outlineLevel="3" x14ac:dyDescent="0.25">
      <c r="D239" s="157" t="s">
        <v>674</v>
      </c>
      <c r="E239" s="158"/>
      <c r="F239" s="42">
        <f>F229+F234</f>
        <v>37.438038884192729</v>
      </c>
      <c r="G239" s="42">
        <f>G229+G234</f>
        <v>0</v>
      </c>
      <c r="H239" s="42">
        <f>H234</f>
        <v>3.4855114116652577</v>
      </c>
      <c r="I239" s="42" t="str">
        <f>H229</f>
        <v>k. A.</v>
      </c>
      <c r="J239" s="42">
        <f>I229+I234</f>
        <v>15.017007607776836</v>
      </c>
      <c r="K239" s="42" t="str">
        <f>J229</f>
        <v>k. A.</v>
      </c>
      <c r="L239" s="42">
        <f>K229+K234</f>
        <v>55.940557903634819</v>
      </c>
    </row>
    <row r="240" spans="4:12" s="17" customFormat="1" hidden="1" outlineLevel="3" x14ac:dyDescent="0.25">
      <c r="D240" s="18" t="s">
        <v>697</v>
      </c>
    </row>
    <row r="241" spans="3:12" hidden="1" outlineLevel="3" x14ac:dyDescent="0.25">
      <c r="D241" s="157" t="s">
        <v>676</v>
      </c>
      <c r="E241" s="158"/>
      <c r="F241" s="168" t="s">
        <v>68</v>
      </c>
      <c r="G241" s="168" t="s">
        <v>378</v>
      </c>
      <c r="H241" s="168" t="s">
        <v>684</v>
      </c>
      <c r="I241" s="168" t="s">
        <v>668</v>
      </c>
      <c r="J241" s="168" t="s">
        <v>669</v>
      </c>
      <c r="K241" s="153" t="s">
        <v>670</v>
      </c>
      <c r="L241" s="153" t="s">
        <v>70</v>
      </c>
    </row>
    <row r="242" spans="3:12" hidden="1" outlineLevel="3" x14ac:dyDescent="0.25">
      <c r="D242" s="157" t="s">
        <v>508</v>
      </c>
      <c r="E242" s="158"/>
      <c r="F242" s="169"/>
      <c r="G242" s="169"/>
      <c r="H242" s="169"/>
      <c r="I242" s="169"/>
      <c r="J242" s="169"/>
      <c r="K242" s="154"/>
      <c r="L242" s="154"/>
    </row>
    <row r="243" spans="3:12" hidden="1" outlineLevel="3" x14ac:dyDescent="0.25">
      <c r="D243" s="24" t="str">
        <f>D233</f>
        <v>Z1</v>
      </c>
      <c r="E243" s="24" t="str">
        <f>E233</f>
        <v>Wohnen</v>
      </c>
      <c r="F243" s="43">
        <f>F238*$G$74</f>
        <v>11072.3</v>
      </c>
      <c r="G243" s="43">
        <f>G238*$G$74</f>
        <v>0</v>
      </c>
      <c r="H243" s="43">
        <f>H238*$G$74</f>
        <v>1030.8399999999999</v>
      </c>
      <c r="I243" s="43" t="s">
        <v>502</v>
      </c>
      <c r="J243" s="43">
        <f>J238*$G$74</f>
        <v>4441.28</v>
      </c>
      <c r="K243" s="43" t="s">
        <v>502</v>
      </c>
      <c r="L243" s="43">
        <f>L238*$G$74</f>
        <v>16544.419999999998</v>
      </c>
    </row>
    <row r="244" spans="3:12" hidden="1" outlineLevel="3" x14ac:dyDescent="0.25">
      <c r="D244" s="157" t="s">
        <v>674</v>
      </c>
      <c r="E244" s="158"/>
      <c r="F244" s="43">
        <f t="shared" ref="F244:L244" si="4">F243</f>
        <v>11072.3</v>
      </c>
      <c r="G244" s="43">
        <f t="shared" si="4"/>
        <v>0</v>
      </c>
      <c r="H244" s="43">
        <f t="shared" si="4"/>
        <v>1030.8399999999999</v>
      </c>
      <c r="I244" s="43" t="str">
        <f t="shared" si="4"/>
        <v>k. A.</v>
      </c>
      <c r="J244" s="43">
        <f t="shared" si="4"/>
        <v>4441.28</v>
      </c>
      <c r="K244" s="43" t="str">
        <f t="shared" si="4"/>
        <v>k. A.</v>
      </c>
      <c r="L244" s="43">
        <f t="shared" si="4"/>
        <v>16544.419999999998</v>
      </c>
    </row>
    <row r="245" spans="3:12" s="4" customFormat="1" ht="15.75" outlineLevel="2" collapsed="1" x14ac:dyDescent="0.25">
      <c r="C245" s="20" t="s">
        <v>698</v>
      </c>
    </row>
    <row r="246" spans="3:12" s="17" customFormat="1" hidden="1" outlineLevel="3" x14ac:dyDescent="0.25">
      <c r="D246" s="18" t="s">
        <v>694</v>
      </c>
    </row>
    <row r="247" spans="3:12" hidden="1" outlineLevel="3" x14ac:dyDescent="0.25">
      <c r="D247" s="157" t="s">
        <v>667</v>
      </c>
      <c r="E247" s="158"/>
      <c r="F247" s="168" t="s">
        <v>68</v>
      </c>
      <c r="G247" s="168" t="s">
        <v>378</v>
      </c>
      <c r="H247" s="168" t="s">
        <v>60</v>
      </c>
      <c r="I247" s="168" t="s">
        <v>669</v>
      </c>
      <c r="J247" s="153" t="s">
        <v>646</v>
      </c>
      <c r="K247" s="153" t="s">
        <v>70</v>
      </c>
    </row>
    <row r="248" spans="3:12" hidden="1" outlineLevel="3" x14ac:dyDescent="0.25">
      <c r="D248" s="157" t="s">
        <v>508</v>
      </c>
      <c r="E248" s="158"/>
      <c r="F248" s="169"/>
      <c r="G248" s="169"/>
      <c r="H248" s="169"/>
      <c r="I248" s="169"/>
      <c r="J248" s="154"/>
      <c r="K248" s="154"/>
    </row>
    <row r="249" spans="3:12" hidden="1" outlineLevel="3" x14ac:dyDescent="0.25">
      <c r="D249" s="24" t="str">
        <f>D243</f>
        <v>Z1</v>
      </c>
      <c r="E249" s="24" t="str">
        <f>E243</f>
        <v>Wohnen</v>
      </c>
      <c r="F249" s="42">
        <f>GEB_Erg_Det_End_All_Abs!B11/$G$74</f>
        <v>36.908334742180891</v>
      </c>
      <c r="G249" s="42">
        <f>GEB_Erg_Det_End_All_Abs!C11/$G$74</f>
        <v>0</v>
      </c>
      <c r="H249" s="42" t="s">
        <v>502</v>
      </c>
      <c r="I249" s="42">
        <f>GEB_Erg_Det_End_All_Abs!E11/$G$74</f>
        <v>25.535452240067624</v>
      </c>
      <c r="J249" s="42" t="s">
        <v>502</v>
      </c>
      <c r="K249" s="42">
        <f>SUM(F249:J249)</f>
        <v>62.443786982248511</v>
      </c>
    </row>
    <row r="250" spans="3:12" hidden="1" outlineLevel="3" x14ac:dyDescent="0.25">
      <c r="D250" s="157" t="s">
        <v>674</v>
      </c>
      <c r="E250" s="158"/>
      <c r="F250" s="42">
        <f>F249</f>
        <v>36.908334742180891</v>
      </c>
      <c r="G250" s="42">
        <f t="shared" ref="G250:J250" si="5">G249</f>
        <v>0</v>
      </c>
      <c r="H250" s="42" t="str">
        <f t="shared" si="5"/>
        <v>k. A.</v>
      </c>
      <c r="I250" s="42">
        <f t="shared" si="5"/>
        <v>25.535452240067624</v>
      </c>
      <c r="J250" s="42" t="str">
        <f t="shared" si="5"/>
        <v>k. A.</v>
      </c>
      <c r="K250" s="42">
        <f>K249</f>
        <v>62.443786982248511</v>
      </c>
    </row>
    <row r="251" spans="3:12" s="17" customFormat="1" hidden="1" outlineLevel="3" x14ac:dyDescent="0.25">
      <c r="D251" s="18" t="s">
        <v>695</v>
      </c>
    </row>
    <row r="252" spans="3:12" hidden="1" outlineLevel="3" x14ac:dyDescent="0.25">
      <c r="D252" s="157" t="s">
        <v>667</v>
      </c>
      <c r="E252" s="158"/>
      <c r="F252" s="168" t="s">
        <v>68</v>
      </c>
      <c r="G252" s="168" t="s">
        <v>378</v>
      </c>
      <c r="H252" s="168" t="s">
        <v>684</v>
      </c>
      <c r="I252" s="168" t="s">
        <v>669</v>
      </c>
      <c r="J252" s="153" t="s">
        <v>646</v>
      </c>
      <c r="K252" s="153" t="s">
        <v>70</v>
      </c>
    </row>
    <row r="253" spans="3:12" hidden="1" outlineLevel="3" x14ac:dyDescent="0.25">
      <c r="D253" s="157" t="s">
        <v>508</v>
      </c>
      <c r="E253" s="158"/>
      <c r="F253" s="169"/>
      <c r="G253" s="169"/>
      <c r="H253" s="169"/>
      <c r="I253" s="169"/>
      <c r="J253" s="154"/>
      <c r="K253" s="154"/>
    </row>
    <row r="254" spans="3:12" hidden="1" outlineLevel="3" x14ac:dyDescent="0.25">
      <c r="D254" s="24" t="str">
        <f>D249</f>
        <v>Z1</v>
      </c>
      <c r="E254" s="24" t="str">
        <f>E249</f>
        <v>Wohnen</v>
      </c>
      <c r="F254" s="42">
        <f>F233</f>
        <v>0.52970414201183436</v>
      </c>
      <c r="G254" s="42">
        <f t="shared" ref="G254:K254" si="6">G233</f>
        <v>0</v>
      </c>
      <c r="H254" s="42">
        <f t="shared" si="6"/>
        <v>3.4855114116652577</v>
      </c>
      <c r="I254" s="42">
        <f t="shared" si="6"/>
        <v>0.97930684699915471</v>
      </c>
      <c r="J254" s="42" t="str">
        <f t="shared" si="6"/>
        <v>k. A.</v>
      </c>
      <c r="K254" s="42">
        <f t="shared" si="6"/>
        <v>4.9945224006762468</v>
      </c>
    </row>
    <row r="255" spans="3:12" hidden="1" outlineLevel="3" x14ac:dyDescent="0.25">
      <c r="D255" s="157" t="s">
        <v>674</v>
      </c>
      <c r="E255" s="158"/>
      <c r="F255" s="42">
        <f>F234</f>
        <v>0.52970414201183436</v>
      </c>
      <c r="G255" s="42">
        <f t="shared" ref="G255:K255" si="7">G234</f>
        <v>0</v>
      </c>
      <c r="H255" s="42">
        <f t="shared" si="7"/>
        <v>3.4855114116652577</v>
      </c>
      <c r="I255" s="42">
        <f t="shared" si="7"/>
        <v>0.97930684699915471</v>
      </c>
      <c r="J255" s="42" t="str">
        <f t="shared" si="7"/>
        <v>k. A.</v>
      </c>
      <c r="K255" s="42">
        <f t="shared" si="7"/>
        <v>4.9945224006762468</v>
      </c>
    </row>
    <row r="256" spans="3:12" s="17" customFormat="1" hidden="1" outlineLevel="3" x14ac:dyDescent="0.25">
      <c r="D256" s="18" t="s">
        <v>696</v>
      </c>
    </row>
    <row r="257" spans="2:12" hidden="1" outlineLevel="3" x14ac:dyDescent="0.25">
      <c r="D257" s="157" t="s">
        <v>667</v>
      </c>
      <c r="E257" s="158"/>
      <c r="F257" s="168" t="s">
        <v>68</v>
      </c>
      <c r="G257" s="168" t="s">
        <v>378</v>
      </c>
      <c r="H257" s="168" t="s">
        <v>684</v>
      </c>
      <c r="I257" s="168" t="s">
        <v>668</v>
      </c>
      <c r="J257" s="168" t="s">
        <v>669</v>
      </c>
      <c r="K257" s="153" t="s">
        <v>670</v>
      </c>
      <c r="L257" s="153" t="s">
        <v>70</v>
      </c>
    </row>
    <row r="258" spans="2:12" hidden="1" outlineLevel="3" x14ac:dyDescent="0.25">
      <c r="D258" s="157" t="s">
        <v>508</v>
      </c>
      <c r="E258" s="158"/>
      <c r="F258" s="169"/>
      <c r="G258" s="169"/>
      <c r="H258" s="169"/>
      <c r="I258" s="169"/>
      <c r="J258" s="169"/>
      <c r="K258" s="154"/>
      <c r="L258" s="154"/>
    </row>
    <row r="259" spans="2:12" hidden="1" outlineLevel="3" x14ac:dyDescent="0.25">
      <c r="D259" s="24" t="str">
        <f>D254</f>
        <v>Z1</v>
      </c>
      <c r="E259" s="24" t="str">
        <f>E254</f>
        <v>Wohnen</v>
      </c>
      <c r="F259" s="42">
        <f>F249+F254</f>
        <v>37.438038884192729</v>
      </c>
      <c r="G259" s="42">
        <f>G249+G254</f>
        <v>0</v>
      </c>
      <c r="H259" s="42">
        <f>H254</f>
        <v>3.4855114116652577</v>
      </c>
      <c r="I259" s="42" t="str">
        <f>H249</f>
        <v>k. A.</v>
      </c>
      <c r="J259" s="42">
        <f>I249+I254</f>
        <v>26.514759087066778</v>
      </c>
      <c r="K259" s="42" t="str">
        <f>J249</f>
        <v>k. A.</v>
      </c>
      <c r="L259" s="42">
        <f>SUM(F259:K259)</f>
        <v>67.438309382924757</v>
      </c>
    </row>
    <row r="260" spans="2:12" hidden="1" outlineLevel="3" x14ac:dyDescent="0.25">
      <c r="D260" s="157" t="s">
        <v>674</v>
      </c>
      <c r="E260" s="158"/>
      <c r="F260" s="42">
        <f t="shared" ref="F260:J260" si="8">SUM(F259:F259)</f>
        <v>37.438038884192729</v>
      </c>
      <c r="G260" s="42">
        <f t="shared" si="8"/>
        <v>0</v>
      </c>
      <c r="H260" s="42">
        <f t="shared" si="8"/>
        <v>3.4855114116652577</v>
      </c>
      <c r="I260" s="42">
        <f t="shared" si="8"/>
        <v>0</v>
      </c>
      <c r="J260" s="42">
        <f t="shared" si="8"/>
        <v>26.514759087066778</v>
      </c>
      <c r="K260" s="42" t="str">
        <f>J250</f>
        <v>k. A.</v>
      </c>
      <c r="L260" s="42">
        <f>SUM(L259:L259)</f>
        <v>67.438309382924757</v>
      </c>
    </row>
    <row r="261" spans="2:12" s="17" customFormat="1" hidden="1" outlineLevel="3" x14ac:dyDescent="0.25">
      <c r="D261" s="18" t="s">
        <v>697</v>
      </c>
    </row>
    <row r="262" spans="2:12" hidden="1" outlineLevel="3" x14ac:dyDescent="0.25">
      <c r="D262" s="157" t="s">
        <v>676</v>
      </c>
      <c r="E262" s="158"/>
      <c r="F262" s="168" t="s">
        <v>68</v>
      </c>
      <c r="G262" s="168" t="s">
        <v>378</v>
      </c>
      <c r="H262" s="168" t="s">
        <v>684</v>
      </c>
      <c r="I262" s="168" t="s">
        <v>668</v>
      </c>
      <c r="J262" s="168" t="s">
        <v>669</v>
      </c>
      <c r="K262" s="153" t="s">
        <v>670</v>
      </c>
      <c r="L262" s="153" t="s">
        <v>70</v>
      </c>
    </row>
    <row r="263" spans="2:12" hidden="1" outlineLevel="3" x14ac:dyDescent="0.25">
      <c r="D263" s="157" t="s">
        <v>508</v>
      </c>
      <c r="E263" s="158"/>
      <c r="F263" s="169"/>
      <c r="G263" s="169"/>
      <c r="H263" s="169"/>
      <c r="I263" s="169"/>
      <c r="J263" s="169"/>
      <c r="K263" s="154"/>
      <c r="L263" s="154"/>
    </row>
    <row r="264" spans="2:12" hidden="1" outlineLevel="3" x14ac:dyDescent="0.25">
      <c r="D264" s="24" t="str">
        <f>D259</f>
        <v>Z1</v>
      </c>
      <c r="E264" s="24" t="str">
        <f>E259</f>
        <v>Wohnen</v>
      </c>
      <c r="F264" s="43">
        <f>F259*$G$74</f>
        <v>11072.3</v>
      </c>
      <c r="G264" s="43">
        <f>G259*$G$74</f>
        <v>0</v>
      </c>
      <c r="H264" s="43">
        <f>H259*$G$74</f>
        <v>1030.8399999999999</v>
      </c>
      <c r="I264" s="43" t="s">
        <v>502</v>
      </c>
      <c r="J264" s="43">
        <f>J259*$G$74</f>
        <v>7841.74</v>
      </c>
      <c r="K264" s="43" t="s">
        <v>502</v>
      </c>
      <c r="L264" s="43">
        <f>L259*$G$74</f>
        <v>19944.879999999997</v>
      </c>
    </row>
    <row r="265" spans="2:12" hidden="1" outlineLevel="3" x14ac:dyDescent="0.25">
      <c r="D265" s="157" t="s">
        <v>674</v>
      </c>
      <c r="E265" s="158"/>
      <c r="F265" s="43">
        <f t="shared" ref="F265:L265" si="9">F264</f>
        <v>11072.3</v>
      </c>
      <c r="G265" s="43">
        <f t="shared" si="9"/>
        <v>0</v>
      </c>
      <c r="H265" s="43">
        <f t="shared" si="9"/>
        <v>1030.8399999999999</v>
      </c>
      <c r="I265" s="43" t="str">
        <f t="shared" si="9"/>
        <v>k. A.</v>
      </c>
      <c r="J265" s="43">
        <f t="shared" si="9"/>
        <v>7841.74</v>
      </c>
      <c r="K265" s="43" t="str">
        <f t="shared" si="9"/>
        <v>k. A.</v>
      </c>
      <c r="L265" s="43">
        <f t="shared" si="9"/>
        <v>19944.879999999997</v>
      </c>
    </row>
    <row r="266" spans="2:12" s="4" customFormat="1" ht="16.5" outlineLevel="1" x14ac:dyDescent="0.25">
      <c r="B266" s="5" t="s">
        <v>699</v>
      </c>
    </row>
    <row r="267" spans="2:12" s="4" customFormat="1" ht="15.75" outlineLevel="2" collapsed="1" x14ac:dyDescent="0.25">
      <c r="C267" s="20" t="s">
        <v>700</v>
      </c>
    </row>
    <row r="268" spans="2:12" hidden="1" outlineLevel="3" x14ac:dyDescent="0.25">
      <c r="D268" s="7" t="s">
        <v>701</v>
      </c>
      <c r="E268" s="32" t="s">
        <v>426</v>
      </c>
      <c r="F268" s="7" t="s">
        <v>702</v>
      </c>
      <c r="G268" s="32" t="s">
        <v>428</v>
      </c>
      <c r="H268" s="7" t="s">
        <v>703</v>
      </c>
    </row>
    <row r="269" spans="2:12" s="4" customFormat="1" ht="15.75" outlineLevel="2" collapsed="1" x14ac:dyDescent="0.25">
      <c r="C269" s="20" t="s">
        <v>704</v>
      </c>
    </row>
    <row r="270" spans="2:12" s="17" customFormat="1" hidden="1" outlineLevel="3" x14ac:dyDescent="0.25">
      <c r="D270" s="18" t="s">
        <v>683</v>
      </c>
    </row>
    <row r="271" spans="2:12" hidden="1" outlineLevel="3" x14ac:dyDescent="0.25">
      <c r="D271" s="151"/>
      <c r="E271" s="168" t="s">
        <v>705</v>
      </c>
      <c r="F271" s="47" t="s">
        <v>706</v>
      </c>
      <c r="G271" s="168" t="s">
        <v>707</v>
      </c>
      <c r="H271" s="168" t="s">
        <v>70</v>
      </c>
    </row>
    <row r="272" spans="2:12" hidden="1" outlineLevel="3" x14ac:dyDescent="0.25">
      <c r="D272" s="152"/>
      <c r="E272" s="169"/>
      <c r="F272" s="41" t="s">
        <v>708</v>
      </c>
      <c r="G272" s="169"/>
      <c r="H272" s="169"/>
    </row>
    <row r="273" spans="4:8" hidden="1" outlineLevel="3" x14ac:dyDescent="0.25">
      <c r="D273" s="28"/>
      <c r="E273" s="41" t="s">
        <v>709</v>
      </c>
      <c r="F273" s="41" t="s">
        <v>710</v>
      </c>
      <c r="G273" s="41" t="s">
        <v>710</v>
      </c>
      <c r="H273" s="41" t="s">
        <v>709</v>
      </c>
    </row>
    <row r="274" spans="4:8" hidden="1" outlineLevel="3" x14ac:dyDescent="0.25">
      <c r="D274" s="24" t="str">
        <f>D212</f>
        <v>Solarthermie</v>
      </c>
      <c r="E274" s="42">
        <f>K212</f>
        <v>11.49775147928994</v>
      </c>
      <c r="F274" s="48" t="s">
        <v>711</v>
      </c>
      <c r="G274" s="49">
        <v>0</v>
      </c>
      <c r="H274" s="42">
        <f>G274*E274</f>
        <v>0</v>
      </c>
    </row>
    <row r="275" spans="4:8" hidden="1" outlineLevel="3" x14ac:dyDescent="0.25">
      <c r="D275" s="157" t="s">
        <v>685</v>
      </c>
      <c r="E275" s="189"/>
      <c r="F275" s="189"/>
      <c r="G275" s="158"/>
      <c r="H275" s="42">
        <f>H274</f>
        <v>0</v>
      </c>
    </row>
    <row r="276" spans="4:8" s="17" customFormat="1" hidden="1" outlineLevel="3" x14ac:dyDescent="0.25">
      <c r="D276" s="18" t="s">
        <v>686</v>
      </c>
    </row>
    <row r="277" spans="4:8" hidden="1" outlineLevel="3" x14ac:dyDescent="0.25">
      <c r="D277" s="151"/>
      <c r="E277" s="168" t="s">
        <v>705</v>
      </c>
      <c r="F277" s="47" t="s">
        <v>706</v>
      </c>
      <c r="G277" s="168" t="s">
        <v>707</v>
      </c>
      <c r="H277" s="168" t="s">
        <v>70</v>
      </c>
    </row>
    <row r="278" spans="4:8" hidden="1" outlineLevel="3" x14ac:dyDescent="0.25">
      <c r="D278" s="152"/>
      <c r="E278" s="169"/>
      <c r="F278" s="41" t="s">
        <v>708</v>
      </c>
      <c r="G278" s="169"/>
      <c r="H278" s="169"/>
    </row>
    <row r="279" spans="4:8" hidden="1" outlineLevel="3" x14ac:dyDescent="0.25">
      <c r="D279" s="28"/>
      <c r="E279" s="41" t="s">
        <v>709</v>
      </c>
      <c r="F279" s="41" t="s">
        <v>710</v>
      </c>
      <c r="G279" s="41" t="s">
        <v>710</v>
      </c>
      <c r="H279" s="41" t="s">
        <v>709</v>
      </c>
    </row>
    <row r="280" spans="4:8" hidden="1" outlineLevel="3" x14ac:dyDescent="0.25">
      <c r="D280" s="28" t="s">
        <v>687</v>
      </c>
      <c r="E280" s="42">
        <f>K216</f>
        <v>4.9945224006762468</v>
      </c>
      <c r="F280" s="153" t="s">
        <v>711</v>
      </c>
      <c r="G280" s="49">
        <v>1.8</v>
      </c>
      <c r="H280" s="42">
        <f>G280*E280</f>
        <v>8.990140321217245</v>
      </c>
    </row>
    <row r="281" spans="4:8" hidden="1" outlineLevel="3" x14ac:dyDescent="0.25">
      <c r="D281" s="28" t="s">
        <v>688</v>
      </c>
      <c r="E281" s="42">
        <f>K217</f>
        <v>5.8125105663567203</v>
      </c>
      <c r="F281" s="234"/>
      <c r="G281" s="49">
        <v>0</v>
      </c>
      <c r="H281" s="42">
        <f t="shared" ref="H281" si="10">G281*E281</f>
        <v>0</v>
      </c>
    </row>
    <row r="282" spans="4:8" hidden="1" outlineLevel="3" x14ac:dyDescent="0.25">
      <c r="D282" s="28" t="s">
        <v>689</v>
      </c>
      <c r="E282" s="42">
        <f>K218</f>
        <v>3.7988165680473371</v>
      </c>
      <c r="F282" s="154"/>
      <c r="G282" s="49">
        <v>1.8</v>
      </c>
      <c r="H282" s="42">
        <f>G282*E282</f>
        <v>6.8378698224852066</v>
      </c>
    </row>
    <row r="283" spans="4:8" hidden="1" outlineLevel="3" x14ac:dyDescent="0.25">
      <c r="D283" s="157" t="s">
        <v>690</v>
      </c>
      <c r="E283" s="189"/>
      <c r="F283" s="189"/>
      <c r="G283" s="158"/>
      <c r="H283" s="42">
        <f>H280-H282</f>
        <v>2.1522704987320385</v>
      </c>
    </row>
    <row r="284" spans="4:8" s="17" customFormat="1" hidden="1" outlineLevel="3" x14ac:dyDescent="0.25">
      <c r="D284" s="18" t="s">
        <v>691</v>
      </c>
    </row>
    <row r="285" spans="4:8" hidden="1" outlineLevel="3" x14ac:dyDescent="0.25">
      <c r="D285" s="151"/>
      <c r="E285" s="168" t="s">
        <v>705</v>
      </c>
      <c r="F285" s="47" t="s">
        <v>706</v>
      </c>
      <c r="G285" s="168" t="s">
        <v>707</v>
      </c>
      <c r="H285" s="168" t="s">
        <v>70</v>
      </c>
    </row>
    <row r="286" spans="4:8" hidden="1" outlineLevel="3" x14ac:dyDescent="0.25">
      <c r="D286" s="152"/>
      <c r="E286" s="169"/>
      <c r="F286" s="41" t="s">
        <v>708</v>
      </c>
      <c r="G286" s="169"/>
      <c r="H286" s="169"/>
    </row>
    <row r="287" spans="4:8" hidden="1" outlineLevel="3" x14ac:dyDescent="0.25">
      <c r="D287" s="28"/>
      <c r="E287" s="41" t="s">
        <v>709</v>
      </c>
      <c r="F287" s="41" t="s">
        <v>710</v>
      </c>
      <c r="G287" s="41" t="s">
        <v>710</v>
      </c>
      <c r="H287" s="41" t="s">
        <v>709</v>
      </c>
    </row>
    <row r="288" spans="4:8" hidden="1" outlineLevel="3" x14ac:dyDescent="0.25">
      <c r="D288" s="24" t="s">
        <v>1291</v>
      </c>
      <c r="E288" s="42">
        <f>K222</f>
        <v>50.946035502958573</v>
      </c>
      <c r="F288" s="49">
        <v>1.1100000000000001</v>
      </c>
      <c r="G288" s="49">
        <v>1.1000000000000001</v>
      </c>
      <c r="H288" s="42">
        <f>E288/F288*G288</f>
        <v>50.487062210139129</v>
      </c>
    </row>
    <row r="289" spans="3:11" hidden="1" outlineLevel="3" x14ac:dyDescent="0.25">
      <c r="D289" s="157" t="s">
        <v>692</v>
      </c>
      <c r="E289" s="189"/>
      <c r="F289" s="189"/>
      <c r="G289" s="158"/>
      <c r="H289" s="42">
        <f>SUM(H288:H288)</f>
        <v>50.487062210139129</v>
      </c>
    </row>
    <row r="290" spans="3:11" s="17" customFormat="1" hidden="1" outlineLevel="3" x14ac:dyDescent="0.25">
      <c r="D290" s="18" t="s">
        <v>712</v>
      </c>
    </row>
    <row r="291" spans="3:11" hidden="1" outlineLevel="3" x14ac:dyDescent="0.25">
      <c r="D291" s="44"/>
      <c r="E291" s="45"/>
      <c r="F291" s="45"/>
      <c r="G291" s="45"/>
      <c r="H291" s="45" t="s">
        <v>70</v>
      </c>
    </row>
    <row r="292" spans="3:11" hidden="1" outlineLevel="3" x14ac:dyDescent="0.25">
      <c r="D292" s="28"/>
      <c r="E292" s="41"/>
      <c r="F292" s="41"/>
      <c r="G292" s="41"/>
      <c r="H292" s="41" t="s">
        <v>709</v>
      </c>
    </row>
    <row r="293" spans="3:11" hidden="1" outlineLevel="3" x14ac:dyDescent="0.25">
      <c r="D293" s="157" t="s">
        <v>713</v>
      </c>
      <c r="E293" s="189"/>
      <c r="F293" s="189"/>
      <c r="G293" s="158"/>
      <c r="H293" s="42">
        <f>H275+H283+H289</f>
        <v>52.639332708871166</v>
      </c>
    </row>
    <row r="294" spans="3:11" s="4" customFormat="1" ht="15.75" outlineLevel="2" collapsed="1" x14ac:dyDescent="0.25">
      <c r="C294" s="20" t="s">
        <v>714</v>
      </c>
    </row>
    <row r="295" spans="3:11" s="17" customFormat="1" hidden="1" outlineLevel="3" x14ac:dyDescent="0.25">
      <c r="D295" s="18" t="s">
        <v>715</v>
      </c>
    </row>
    <row r="296" spans="3:11" hidden="1" outlineLevel="3" x14ac:dyDescent="0.25">
      <c r="D296" s="157" t="s">
        <v>667</v>
      </c>
      <c r="E296" s="158"/>
      <c r="F296" s="168" t="s">
        <v>68</v>
      </c>
      <c r="G296" s="168" t="s">
        <v>378</v>
      </c>
      <c r="H296" s="168" t="s">
        <v>60</v>
      </c>
      <c r="I296" s="168" t="s">
        <v>669</v>
      </c>
      <c r="J296" s="153" t="s">
        <v>646</v>
      </c>
      <c r="K296" s="153" t="s">
        <v>70</v>
      </c>
    </row>
    <row r="297" spans="3:11" hidden="1" outlineLevel="3" x14ac:dyDescent="0.25">
      <c r="D297" s="157" t="s">
        <v>508</v>
      </c>
      <c r="E297" s="158"/>
      <c r="F297" s="169"/>
      <c r="G297" s="169"/>
      <c r="H297" s="169"/>
      <c r="I297" s="169"/>
      <c r="J297" s="154"/>
      <c r="K297" s="154"/>
    </row>
    <row r="298" spans="3:11" hidden="1" outlineLevel="3" x14ac:dyDescent="0.25">
      <c r="D298" s="24" t="str">
        <f>D243</f>
        <v>Z1</v>
      </c>
      <c r="E298" s="24" t="str">
        <f>E243</f>
        <v>Wohnen</v>
      </c>
      <c r="F298" s="42">
        <f>F228/$F$288*$G$288</f>
        <v>36.575827221981065</v>
      </c>
      <c r="G298" s="42">
        <f>G228*$G$280</f>
        <v>0</v>
      </c>
      <c r="H298" s="42" t="s">
        <v>502</v>
      </c>
      <c r="I298" s="42">
        <f>I228*$G$280</f>
        <v>25.267861369399828</v>
      </c>
      <c r="J298" s="42" t="s">
        <v>502</v>
      </c>
      <c r="K298" s="42">
        <f>SUM(F298:J298)</f>
        <v>61.843688591380896</v>
      </c>
    </row>
    <row r="299" spans="3:11" hidden="1" outlineLevel="3" x14ac:dyDescent="0.25">
      <c r="D299" s="157" t="s">
        <v>674</v>
      </c>
      <c r="E299" s="158"/>
      <c r="F299" s="42">
        <f>F229/$F$288*$G$288</f>
        <v>36.575827221981065</v>
      </c>
      <c r="G299" s="42">
        <f>G229*$G$280</f>
        <v>0</v>
      </c>
      <c r="H299" s="42" t="s">
        <v>502</v>
      </c>
      <c r="I299" s="42">
        <f>I229*$G$280</f>
        <v>25.267861369399828</v>
      </c>
      <c r="J299" s="42" t="s">
        <v>502</v>
      </c>
      <c r="K299" s="42">
        <f t="shared" ref="K299" si="11">SUM(F299:J299)</f>
        <v>61.843688591380896</v>
      </c>
    </row>
    <row r="300" spans="3:11" s="17" customFormat="1" hidden="1" outlineLevel="3" x14ac:dyDescent="0.25">
      <c r="D300" s="18" t="s">
        <v>716</v>
      </c>
    </row>
    <row r="301" spans="3:11" hidden="1" outlineLevel="3" x14ac:dyDescent="0.25">
      <c r="D301" s="157" t="s">
        <v>667</v>
      </c>
      <c r="E301" s="158"/>
      <c r="F301" s="168" t="s">
        <v>68</v>
      </c>
      <c r="G301" s="168" t="s">
        <v>378</v>
      </c>
      <c r="H301" s="168" t="s">
        <v>684</v>
      </c>
      <c r="I301" s="168" t="s">
        <v>669</v>
      </c>
      <c r="J301" s="153" t="s">
        <v>646</v>
      </c>
      <c r="K301" s="153" t="s">
        <v>70</v>
      </c>
    </row>
    <row r="302" spans="3:11" hidden="1" outlineLevel="3" x14ac:dyDescent="0.25">
      <c r="D302" s="157" t="s">
        <v>508</v>
      </c>
      <c r="E302" s="158"/>
      <c r="F302" s="169"/>
      <c r="G302" s="169"/>
      <c r="H302" s="169"/>
      <c r="I302" s="169"/>
      <c r="J302" s="154"/>
      <c r="K302" s="154"/>
    </row>
    <row r="303" spans="3:11" hidden="1" outlineLevel="3" x14ac:dyDescent="0.25">
      <c r="D303" s="24" t="str">
        <f>D298</f>
        <v>Z1</v>
      </c>
      <c r="E303" s="24" t="str">
        <f>E298</f>
        <v>Wohnen</v>
      </c>
      <c r="F303" s="42">
        <f t="shared" ref="F303:I304" si="12">F233*$G$280</f>
        <v>0.95346745562130186</v>
      </c>
      <c r="G303" s="42">
        <f t="shared" si="12"/>
        <v>0</v>
      </c>
      <c r="H303" s="42">
        <f t="shared" si="12"/>
        <v>6.2739205409974641</v>
      </c>
      <c r="I303" s="42">
        <f t="shared" si="12"/>
        <v>1.7627523245984784</v>
      </c>
      <c r="J303" s="42" t="s">
        <v>502</v>
      </c>
      <c r="K303" s="42">
        <f>SUM(F303:J303)</f>
        <v>8.990140321217245</v>
      </c>
    </row>
    <row r="304" spans="3:11" hidden="1" outlineLevel="3" x14ac:dyDescent="0.25">
      <c r="D304" s="157" t="s">
        <v>674</v>
      </c>
      <c r="E304" s="158"/>
      <c r="F304" s="42">
        <f t="shared" si="12"/>
        <v>0.95346745562130186</v>
      </c>
      <c r="G304" s="42">
        <f t="shared" si="12"/>
        <v>0</v>
      </c>
      <c r="H304" s="42">
        <f t="shared" si="12"/>
        <v>6.2739205409974641</v>
      </c>
      <c r="I304" s="42">
        <f t="shared" si="12"/>
        <v>1.7627523245984784</v>
      </c>
      <c r="J304" s="42" t="s">
        <v>502</v>
      </c>
      <c r="K304" s="42">
        <f t="shared" ref="K304" si="13">SUM(F304:J304)</f>
        <v>8.990140321217245</v>
      </c>
    </row>
    <row r="305" spans="2:12" s="17" customFormat="1" hidden="1" outlineLevel="3" x14ac:dyDescent="0.25">
      <c r="D305" s="18" t="s">
        <v>717</v>
      </c>
    </row>
    <row r="306" spans="2:12" hidden="1" outlineLevel="3" x14ac:dyDescent="0.25">
      <c r="D306" s="157" t="s">
        <v>667</v>
      </c>
      <c r="E306" s="158"/>
      <c r="F306" s="168" t="s">
        <v>68</v>
      </c>
      <c r="G306" s="168" t="s">
        <v>378</v>
      </c>
      <c r="H306" s="168" t="s">
        <v>684</v>
      </c>
      <c r="I306" s="168" t="s">
        <v>668</v>
      </c>
      <c r="J306" s="168" t="s">
        <v>669</v>
      </c>
      <c r="K306" s="153" t="s">
        <v>670</v>
      </c>
      <c r="L306" s="153" t="s">
        <v>70</v>
      </c>
    </row>
    <row r="307" spans="2:12" hidden="1" outlineLevel="3" x14ac:dyDescent="0.25">
      <c r="D307" s="157" t="s">
        <v>508</v>
      </c>
      <c r="E307" s="158"/>
      <c r="F307" s="169"/>
      <c r="G307" s="169"/>
      <c r="H307" s="169"/>
      <c r="I307" s="169"/>
      <c r="J307" s="169"/>
      <c r="K307" s="154"/>
      <c r="L307" s="154"/>
    </row>
    <row r="308" spans="2:12" hidden="1" outlineLevel="3" x14ac:dyDescent="0.25">
      <c r="D308" s="24" t="str">
        <f>D303</f>
        <v>Z1</v>
      </c>
      <c r="E308" s="24" t="str">
        <f>E303</f>
        <v>Wohnen</v>
      </c>
      <c r="F308" s="42">
        <f>F303+F298</f>
        <v>37.529294677602365</v>
      </c>
      <c r="G308" s="42">
        <f>G303+G298</f>
        <v>0</v>
      </c>
      <c r="H308" s="42">
        <f>H303</f>
        <v>6.2739205409974641</v>
      </c>
      <c r="I308" s="42" t="str">
        <f>H298</f>
        <v>k. A.</v>
      </c>
      <c r="J308" s="42">
        <f>I298+I303</f>
        <v>27.030613693998305</v>
      </c>
      <c r="K308" s="42" t="s">
        <v>502</v>
      </c>
      <c r="L308" s="42">
        <f>SUM(F308:K308)</f>
        <v>70.833828912598136</v>
      </c>
    </row>
    <row r="309" spans="2:12" hidden="1" outlineLevel="3" x14ac:dyDescent="0.25">
      <c r="D309" s="157" t="s">
        <v>674</v>
      </c>
      <c r="E309" s="158"/>
      <c r="F309" s="42">
        <f>F304+F299</f>
        <v>37.529294677602365</v>
      </c>
      <c r="G309" s="42">
        <f>G304+G299</f>
        <v>0</v>
      </c>
      <c r="H309" s="42">
        <f>H304</f>
        <v>6.2739205409974641</v>
      </c>
      <c r="I309" s="42" t="str">
        <f>H299</f>
        <v>k. A.</v>
      </c>
      <c r="J309" s="42">
        <f>I299+I304</f>
        <v>27.030613693998305</v>
      </c>
      <c r="K309" s="42" t="s">
        <v>502</v>
      </c>
      <c r="L309" s="42">
        <f t="shared" ref="L309" si="14">SUM(F309:K309)</f>
        <v>70.833828912598136</v>
      </c>
    </row>
    <row r="310" spans="2:12" s="17" customFormat="1" hidden="1" outlineLevel="3" x14ac:dyDescent="0.25">
      <c r="D310" s="18" t="s">
        <v>718</v>
      </c>
    </row>
    <row r="311" spans="2:12" hidden="1" outlineLevel="3" x14ac:dyDescent="0.25">
      <c r="D311" s="157" t="s">
        <v>667</v>
      </c>
      <c r="E311" s="158"/>
      <c r="F311" s="168" t="s">
        <v>68</v>
      </c>
      <c r="G311" s="168" t="s">
        <v>378</v>
      </c>
      <c r="H311" s="168" t="s">
        <v>684</v>
      </c>
      <c r="I311" s="168" t="s">
        <v>668</v>
      </c>
      <c r="J311" s="168" t="s">
        <v>669</v>
      </c>
      <c r="K311" s="153" t="s">
        <v>670</v>
      </c>
      <c r="L311" s="153" t="s">
        <v>70</v>
      </c>
    </row>
    <row r="312" spans="2:12" hidden="1" outlineLevel="3" x14ac:dyDescent="0.25">
      <c r="D312" s="157" t="s">
        <v>508</v>
      </c>
      <c r="E312" s="158"/>
      <c r="F312" s="169"/>
      <c r="G312" s="169"/>
      <c r="H312" s="169"/>
      <c r="I312" s="169"/>
      <c r="J312" s="169"/>
      <c r="K312" s="154"/>
      <c r="L312" s="154"/>
    </row>
    <row r="313" spans="2:12" hidden="1" outlineLevel="3" x14ac:dyDescent="0.25">
      <c r="D313" s="24" t="str">
        <f>D308</f>
        <v>Z1</v>
      </c>
      <c r="E313" s="24" t="str">
        <f>E308</f>
        <v>Wohnen</v>
      </c>
      <c r="F313" s="43">
        <f>(F308+F303)*$F371</f>
        <v>11381.276900900899</v>
      </c>
      <c r="G313" s="43">
        <f>(G308+G303)*$F371</f>
        <v>0</v>
      </c>
      <c r="H313" s="43">
        <f>(H308+H303)*$F371</f>
        <v>3711.0239999999999</v>
      </c>
      <c r="I313" s="43" t="s">
        <v>502</v>
      </c>
      <c r="J313" s="43">
        <f>(J308+I303)*$F371</f>
        <v>8515.637999999999</v>
      </c>
      <c r="K313" s="43" t="s">
        <v>502</v>
      </c>
      <c r="L313" s="43">
        <f>SUM(F313:K313)</f>
        <v>23607.938900900896</v>
      </c>
    </row>
    <row r="314" spans="2:12" hidden="1" outlineLevel="3" x14ac:dyDescent="0.25">
      <c r="D314" s="157" t="s">
        <v>674</v>
      </c>
      <c r="E314" s="158"/>
      <c r="F314" s="43">
        <f t="shared" ref="F314:J314" si="15">SUM(F313:F313)</f>
        <v>11381.276900900899</v>
      </c>
      <c r="G314" s="43">
        <f t="shared" si="15"/>
        <v>0</v>
      </c>
      <c r="H314" s="43">
        <f t="shared" si="15"/>
        <v>3711.0239999999999</v>
      </c>
      <c r="I314" s="43" t="s">
        <v>502</v>
      </c>
      <c r="J314" s="43">
        <f t="shared" si="15"/>
        <v>8515.637999999999</v>
      </c>
      <c r="K314" s="43" t="s">
        <v>502</v>
      </c>
      <c r="L314" s="43">
        <f>SUM(L313:L313)</f>
        <v>23607.938900900896</v>
      </c>
    </row>
    <row r="315" spans="2:12" s="4" customFormat="1" ht="18" outlineLevel="1" x14ac:dyDescent="0.25">
      <c r="B315" s="5" t="s">
        <v>719</v>
      </c>
    </row>
    <row r="316" spans="2:12" s="4" customFormat="1" ht="17.25" outlineLevel="2" collapsed="1" x14ac:dyDescent="0.25">
      <c r="C316" s="20" t="s">
        <v>720</v>
      </c>
    </row>
    <row r="317" spans="2:12" s="17" customFormat="1" hidden="1" outlineLevel="3" x14ac:dyDescent="0.25">
      <c r="D317" s="18" t="s">
        <v>683</v>
      </c>
    </row>
    <row r="318" spans="2:12" hidden="1" outlineLevel="3" x14ac:dyDescent="0.25">
      <c r="D318" s="151"/>
      <c r="E318" s="168" t="s">
        <v>705</v>
      </c>
      <c r="F318" s="47" t="s">
        <v>706</v>
      </c>
      <c r="G318" s="168" t="s">
        <v>721</v>
      </c>
      <c r="H318" s="168" t="s">
        <v>70</v>
      </c>
    </row>
    <row r="319" spans="2:12" hidden="1" outlineLevel="3" x14ac:dyDescent="0.25">
      <c r="D319" s="152"/>
      <c r="E319" s="169"/>
      <c r="F319" s="41" t="s">
        <v>708</v>
      </c>
      <c r="G319" s="169"/>
      <c r="H319" s="169"/>
    </row>
    <row r="320" spans="2:12" hidden="1" outlineLevel="3" x14ac:dyDescent="0.25">
      <c r="D320" s="28"/>
      <c r="E320" s="41" t="s">
        <v>709</v>
      </c>
      <c r="F320" s="41" t="s">
        <v>710</v>
      </c>
      <c r="G320" s="41" t="s">
        <v>722</v>
      </c>
      <c r="H320" s="41" t="s">
        <v>723</v>
      </c>
    </row>
    <row r="321" spans="4:8" hidden="1" outlineLevel="3" x14ac:dyDescent="0.25">
      <c r="D321" s="24" t="str">
        <f>D212</f>
        <v>Solarthermie</v>
      </c>
      <c r="E321" s="42">
        <f>K212</f>
        <v>11.49775147928994</v>
      </c>
      <c r="F321" s="48" t="s">
        <v>711</v>
      </c>
      <c r="G321" s="43">
        <v>0</v>
      </c>
      <c r="H321" s="42">
        <f>G321*E321</f>
        <v>0</v>
      </c>
    </row>
    <row r="322" spans="4:8" hidden="1" outlineLevel="3" x14ac:dyDescent="0.25">
      <c r="D322" s="157" t="s">
        <v>685</v>
      </c>
      <c r="E322" s="189"/>
      <c r="F322" s="189"/>
      <c r="G322" s="158"/>
      <c r="H322" s="42">
        <f>H321</f>
        <v>0</v>
      </c>
    </row>
    <row r="323" spans="4:8" s="17" customFormat="1" hidden="1" outlineLevel="3" x14ac:dyDescent="0.25">
      <c r="D323" s="18" t="s">
        <v>686</v>
      </c>
    </row>
    <row r="324" spans="4:8" hidden="1" outlineLevel="3" x14ac:dyDescent="0.25">
      <c r="D324" s="151"/>
      <c r="E324" s="168" t="s">
        <v>705</v>
      </c>
      <c r="F324" s="47" t="s">
        <v>706</v>
      </c>
      <c r="G324" s="168" t="s">
        <v>721</v>
      </c>
      <c r="H324" s="168" t="s">
        <v>70</v>
      </c>
    </row>
    <row r="325" spans="4:8" hidden="1" outlineLevel="3" x14ac:dyDescent="0.25">
      <c r="D325" s="152"/>
      <c r="E325" s="169"/>
      <c r="F325" s="41" t="s">
        <v>708</v>
      </c>
      <c r="G325" s="169"/>
      <c r="H325" s="169"/>
    </row>
    <row r="326" spans="4:8" hidden="1" outlineLevel="3" x14ac:dyDescent="0.25">
      <c r="D326" s="28"/>
      <c r="E326" s="41" t="s">
        <v>709</v>
      </c>
      <c r="F326" s="41" t="s">
        <v>710</v>
      </c>
      <c r="G326" s="41" t="s">
        <v>722</v>
      </c>
      <c r="H326" s="41" t="s">
        <v>723</v>
      </c>
    </row>
    <row r="327" spans="4:8" hidden="1" outlineLevel="3" x14ac:dyDescent="0.25">
      <c r="D327" s="28" t="s">
        <v>687</v>
      </c>
      <c r="E327" s="42">
        <f>K216</f>
        <v>4.9945224006762468</v>
      </c>
      <c r="F327" s="153" t="s">
        <v>711</v>
      </c>
      <c r="G327" s="50">
        <v>0.55000000000000004</v>
      </c>
      <c r="H327" s="42">
        <f>G327*E327</f>
        <v>2.7469873203719359</v>
      </c>
    </row>
    <row r="328" spans="4:8" hidden="1" outlineLevel="3" x14ac:dyDescent="0.25">
      <c r="D328" s="28" t="s">
        <v>688</v>
      </c>
      <c r="E328" s="42">
        <f>K217</f>
        <v>5.8125105663567203</v>
      </c>
      <c r="F328" s="234"/>
      <c r="G328" s="50">
        <v>0</v>
      </c>
      <c r="H328" s="42">
        <f t="shared" ref="H328:H329" si="16">G328*E328</f>
        <v>0</v>
      </c>
    </row>
    <row r="329" spans="4:8" hidden="1" outlineLevel="3" x14ac:dyDescent="0.25">
      <c r="D329" s="28" t="s">
        <v>689</v>
      </c>
      <c r="E329" s="42">
        <f>K218</f>
        <v>3.7988165680473371</v>
      </c>
      <c r="F329" s="154"/>
      <c r="G329" s="50">
        <v>0.55000000000000004</v>
      </c>
      <c r="H329" s="42">
        <f t="shared" si="16"/>
        <v>2.0893491124260355</v>
      </c>
    </row>
    <row r="330" spans="4:8" hidden="1" outlineLevel="3" x14ac:dyDescent="0.25">
      <c r="D330" s="157" t="s">
        <v>690</v>
      </c>
      <c r="E330" s="189"/>
      <c r="F330" s="189"/>
      <c r="G330" s="158"/>
      <c r="H330" s="42">
        <f>H327-H329</f>
        <v>0.65763820794590044</v>
      </c>
    </row>
    <row r="331" spans="4:8" s="17" customFormat="1" hidden="1" outlineLevel="3" x14ac:dyDescent="0.25">
      <c r="D331" s="18" t="s">
        <v>691</v>
      </c>
    </row>
    <row r="332" spans="4:8" hidden="1" outlineLevel="3" x14ac:dyDescent="0.25">
      <c r="D332" s="151"/>
      <c r="E332" s="168" t="s">
        <v>705</v>
      </c>
      <c r="F332" s="47" t="s">
        <v>706</v>
      </c>
      <c r="G332" s="168" t="s">
        <v>721</v>
      </c>
      <c r="H332" s="168" t="s">
        <v>70</v>
      </c>
    </row>
    <row r="333" spans="4:8" hidden="1" outlineLevel="3" x14ac:dyDescent="0.25">
      <c r="D333" s="152"/>
      <c r="E333" s="169"/>
      <c r="F333" s="41" t="s">
        <v>708</v>
      </c>
      <c r="G333" s="169"/>
      <c r="H333" s="169"/>
    </row>
    <row r="334" spans="4:8" hidden="1" outlineLevel="3" x14ac:dyDescent="0.25">
      <c r="D334" s="28"/>
      <c r="E334" s="41" t="s">
        <v>709</v>
      </c>
      <c r="F334" s="41" t="s">
        <v>710</v>
      </c>
      <c r="G334" s="41" t="s">
        <v>722</v>
      </c>
      <c r="H334" s="41" t="s">
        <v>723</v>
      </c>
    </row>
    <row r="335" spans="4:8" hidden="1" outlineLevel="3" x14ac:dyDescent="0.25">
      <c r="D335" s="24" t="s">
        <v>1291</v>
      </c>
      <c r="E335" s="42">
        <f>K222</f>
        <v>50.946035502958573</v>
      </c>
      <c r="F335" s="49">
        <f>F288</f>
        <v>1.1100000000000001</v>
      </c>
      <c r="G335" s="50">
        <v>0.31</v>
      </c>
      <c r="H335" s="42">
        <f>G335*E335/F335</f>
        <v>14.228172077402844</v>
      </c>
    </row>
    <row r="336" spans="4:8" hidden="1" outlineLevel="3" x14ac:dyDescent="0.25">
      <c r="D336" s="157" t="s">
        <v>692</v>
      </c>
      <c r="E336" s="189"/>
      <c r="F336" s="189"/>
      <c r="G336" s="158"/>
      <c r="H336" s="42">
        <f>SUM(H335:H335)</f>
        <v>14.228172077402844</v>
      </c>
    </row>
    <row r="337" spans="3:11" s="17" customFormat="1" hidden="1" outlineLevel="3" x14ac:dyDescent="0.25">
      <c r="D337" s="18" t="s">
        <v>712</v>
      </c>
    </row>
    <row r="338" spans="3:11" hidden="1" outlineLevel="3" x14ac:dyDescent="0.25">
      <c r="D338" s="44"/>
      <c r="E338" s="45"/>
      <c r="F338" s="45"/>
      <c r="G338" s="45"/>
      <c r="H338" s="45" t="s">
        <v>70</v>
      </c>
    </row>
    <row r="339" spans="3:11" hidden="1" outlineLevel="3" x14ac:dyDescent="0.25">
      <c r="D339" s="28"/>
      <c r="E339" s="41"/>
      <c r="F339" s="41"/>
      <c r="G339" s="41"/>
      <c r="H339" s="41" t="s">
        <v>723</v>
      </c>
    </row>
    <row r="340" spans="3:11" hidden="1" outlineLevel="3" x14ac:dyDescent="0.25">
      <c r="D340" s="157" t="s">
        <v>713</v>
      </c>
      <c r="E340" s="189"/>
      <c r="F340" s="189"/>
      <c r="G340" s="158"/>
      <c r="H340" s="42">
        <f>H322+H330+H336</f>
        <v>14.885810285348745</v>
      </c>
    </row>
    <row r="341" spans="3:11" s="4" customFormat="1" ht="17.25" outlineLevel="2" collapsed="1" x14ac:dyDescent="0.25">
      <c r="C341" s="20" t="s">
        <v>724</v>
      </c>
    </row>
    <row r="342" spans="3:11" s="17" customFormat="1" hidden="1" outlineLevel="3" x14ac:dyDescent="0.25">
      <c r="D342" s="18" t="s">
        <v>725</v>
      </c>
    </row>
    <row r="343" spans="3:11" hidden="1" outlineLevel="3" x14ac:dyDescent="0.25">
      <c r="D343" s="157" t="s">
        <v>726</v>
      </c>
      <c r="E343" s="158"/>
      <c r="F343" s="168" t="s">
        <v>68</v>
      </c>
      <c r="G343" s="168" t="s">
        <v>378</v>
      </c>
      <c r="H343" s="168" t="s">
        <v>60</v>
      </c>
      <c r="I343" s="168" t="s">
        <v>669</v>
      </c>
      <c r="J343" s="153" t="s">
        <v>646</v>
      </c>
      <c r="K343" s="153" t="s">
        <v>70</v>
      </c>
    </row>
    <row r="344" spans="3:11" hidden="1" outlineLevel="3" x14ac:dyDescent="0.25">
      <c r="D344" s="157" t="s">
        <v>508</v>
      </c>
      <c r="E344" s="158"/>
      <c r="F344" s="169"/>
      <c r="G344" s="169"/>
      <c r="H344" s="169"/>
      <c r="I344" s="169"/>
      <c r="J344" s="154"/>
      <c r="K344" s="154"/>
    </row>
    <row r="345" spans="3:11" hidden="1" outlineLevel="3" x14ac:dyDescent="0.25">
      <c r="D345" s="24" t="str">
        <f>D308</f>
        <v>Z1</v>
      </c>
      <c r="E345" s="24" t="str">
        <f>E308</f>
        <v>Wohnen</v>
      </c>
      <c r="F345" s="42">
        <f>F228/$F$335*$G$335</f>
        <v>10.307733126194663</v>
      </c>
      <c r="G345" s="42">
        <f>G228*$G$327</f>
        <v>0</v>
      </c>
      <c r="H345" s="42" t="s">
        <v>502</v>
      </c>
      <c r="I345" s="42">
        <f>I228*$G$327</f>
        <v>7.7207354184277257</v>
      </c>
      <c r="J345" s="42" t="s">
        <v>502</v>
      </c>
      <c r="K345" s="42">
        <f t="shared" ref="K345:K346" si="17">SUM(F345:J345)</f>
        <v>18.028468544622388</v>
      </c>
    </row>
    <row r="346" spans="3:11" hidden="1" outlineLevel="3" x14ac:dyDescent="0.25">
      <c r="D346" s="157" t="s">
        <v>674</v>
      </c>
      <c r="E346" s="158"/>
      <c r="F346" s="42">
        <f>F229/$F$335*$G$335</f>
        <v>10.307733126194663</v>
      </c>
      <c r="G346" s="42">
        <f>G229*$G$327</f>
        <v>0</v>
      </c>
      <c r="H346" s="42" t="s">
        <v>502</v>
      </c>
      <c r="I346" s="42">
        <f>I229*$G$327</f>
        <v>7.7207354184277257</v>
      </c>
      <c r="J346" s="42" t="s">
        <v>502</v>
      </c>
      <c r="K346" s="42">
        <f t="shared" si="17"/>
        <v>18.028468544622388</v>
      </c>
    </row>
    <row r="347" spans="3:11" s="17" customFormat="1" hidden="1" outlineLevel="3" x14ac:dyDescent="0.25">
      <c r="D347" s="18" t="s">
        <v>727</v>
      </c>
    </row>
    <row r="348" spans="3:11" hidden="1" outlineLevel="3" x14ac:dyDescent="0.25">
      <c r="D348" s="157" t="s">
        <v>726</v>
      </c>
      <c r="E348" s="158"/>
      <c r="F348" s="168" t="s">
        <v>68</v>
      </c>
      <c r="G348" s="168" t="s">
        <v>378</v>
      </c>
      <c r="H348" s="168" t="s">
        <v>684</v>
      </c>
      <c r="I348" s="168" t="s">
        <v>669</v>
      </c>
      <c r="J348" s="153" t="s">
        <v>646</v>
      </c>
      <c r="K348" s="153" t="s">
        <v>70</v>
      </c>
    </row>
    <row r="349" spans="3:11" hidden="1" outlineLevel="3" x14ac:dyDescent="0.25">
      <c r="D349" s="157" t="s">
        <v>508</v>
      </c>
      <c r="E349" s="158"/>
      <c r="F349" s="169"/>
      <c r="G349" s="169"/>
      <c r="H349" s="169"/>
      <c r="I349" s="169"/>
      <c r="J349" s="154"/>
      <c r="K349" s="154"/>
    </row>
    <row r="350" spans="3:11" hidden="1" outlineLevel="3" x14ac:dyDescent="0.25">
      <c r="D350" s="24" t="str">
        <f>D345</f>
        <v>Z1</v>
      </c>
      <c r="E350" s="24" t="str">
        <f>E345</f>
        <v>Wohnen</v>
      </c>
      <c r="F350" s="42">
        <f t="shared" ref="F350:I351" si="18">F233*$G$327</f>
        <v>0.29133727810650895</v>
      </c>
      <c r="G350" s="42">
        <f t="shared" si="18"/>
        <v>0</v>
      </c>
      <c r="H350" s="42">
        <f t="shared" si="18"/>
        <v>1.9170312764158919</v>
      </c>
      <c r="I350" s="42">
        <f t="shared" si="18"/>
        <v>0.53861876584953516</v>
      </c>
      <c r="J350" s="42" t="s">
        <v>502</v>
      </c>
      <c r="K350" s="42">
        <f t="shared" ref="K350:K351" si="19">SUM(F350:J350)</f>
        <v>2.7469873203719359</v>
      </c>
    </row>
    <row r="351" spans="3:11" hidden="1" outlineLevel="3" x14ac:dyDescent="0.25">
      <c r="D351" s="157" t="s">
        <v>674</v>
      </c>
      <c r="E351" s="158"/>
      <c r="F351" s="42">
        <f t="shared" si="18"/>
        <v>0.29133727810650895</v>
      </c>
      <c r="G351" s="42">
        <f t="shared" si="18"/>
        <v>0</v>
      </c>
      <c r="H351" s="42">
        <f t="shared" si="18"/>
        <v>1.9170312764158919</v>
      </c>
      <c r="I351" s="42">
        <f t="shared" si="18"/>
        <v>0.53861876584953516</v>
      </c>
      <c r="J351" s="42" t="s">
        <v>502</v>
      </c>
      <c r="K351" s="42">
        <f t="shared" si="19"/>
        <v>2.7469873203719359</v>
      </c>
    </row>
    <row r="352" spans="3:11" s="17" customFormat="1" hidden="1" outlineLevel="3" x14ac:dyDescent="0.25">
      <c r="D352" s="18" t="s">
        <v>728</v>
      </c>
    </row>
    <row r="353" spans="1:12" hidden="1" outlineLevel="3" x14ac:dyDescent="0.25">
      <c r="D353" s="157" t="s">
        <v>726</v>
      </c>
      <c r="E353" s="158"/>
      <c r="F353" s="168" t="s">
        <v>68</v>
      </c>
      <c r="G353" s="168" t="s">
        <v>378</v>
      </c>
      <c r="H353" s="168" t="s">
        <v>684</v>
      </c>
      <c r="I353" s="168" t="s">
        <v>668</v>
      </c>
      <c r="J353" s="168" t="s">
        <v>669</v>
      </c>
      <c r="K353" s="153" t="s">
        <v>670</v>
      </c>
      <c r="L353" s="153" t="s">
        <v>70</v>
      </c>
    </row>
    <row r="354" spans="1:12" hidden="1" outlineLevel="3" x14ac:dyDescent="0.25">
      <c r="D354" s="157" t="s">
        <v>508</v>
      </c>
      <c r="E354" s="158"/>
      <c r="F354" s="169"/>
      <c r="G354" s="169"/>
      <c r="H354" s="169"/>
      <c r="I354" s="169"/>
      <c r="J354" s="169"/>
      <c r="K354" s="154"/>
      <c r="L354" s="154"/>
    </row>
    <row r="355" spans="1:12" hidden="1" outlineLevel="3" x14ac:dyDescent="0.25">
      <c r="D355" s="24" t="str">
        <f>D350</f>
        <v>Z1</v>
      </c>
      <c r="E355" s="24" t="str">
        <f>E350</f>
        <v>Wohnen</v>
      </c>
      <c r="F355" s="42">
        <f>F345+F350</f>
        <v>10.599070404301171</v>
      </c>
      <c r="G355" s="42">
        <f>G345+G350</f>
        <v>0</v>
      </c>
      <c r="H355" s="42">
        <f>H350</f>
        <v>1.9170312764158919</v>
      </c>
      <c r="I355" s="42" t="str">
        <f>H345</f>
        <v>k. A.</v>
      </c>
      <c r="J355" s="42">
        <f>I345+I350</f>
        <v>8.2593541842772602</v>
      </c>
      <c r="K355" s="42" t="s">
        <v>502</v>
      </c>
      <c r="L355" s="42">
        <f t="shared" ref="L355:L356" si="20">SUM(F355:K355)</f>
        <v>20.775455864994324</v>
      </c>
    </row>
    <row r="356" spans="1:12" hidden="1" outlineLevel="3" x14ac:dyDescent="0.25">
      <c r="D356" s="157" t="s">
        <v>674</v>
      </c>
      <c r="E356" s="158"/>
      <c r="F356" s="42">
        <f>F346+F351</f>
        <v>10.599070404301171</v>
      </c>
      <c r="G356" s="42">
        <f>G346+G351</f>
        <v>0</v>
      </c>
      <c r="H356" s="42">
        <f>H351</f>
        <v>1.9170312764158919</v>
      </c>
      <c r="I356" s="42" t="str">
        <f>H346</f>
        <v>k. A.</v>
      </c>
      <c r="J356" s="42">
        <f>I346+I351</f>
        <v>8.2593541842772602</v>
      </c>
      <c r="K356" s="42" t="s">
        <v>502</v>
      </c>
      <c r="L356" s="42">
        <f t="shared" si="20"/>
        <v>20.775455864994324</v>
      </c>
    </row>
    <row r="357" spans="1:12" s="17" customFormat="1" hidden="1" outlineLevel="3" x14ac:dyDescent="0.25">
      <c r="D357" s="18" t="s">
        <v>729</v>
      </c>
    </row>
    <row r="358" spans="1:12" hidden="1" outlineLevel="3" x14ac:dyDescent="0.25">
      <c r="D358" s="157" t="s">
        <v>730</v>
      </c>
      <c r="E358" s="158"/>
      <c r="F358" s="168" t="s">
        <v>68</v>
      </c>
      <c r="G358" s="168" t="s">
        <v>378</v>
      </c>
      <c r="H358" s="168" t="s">
        <v>684</v>
      </c>
      <c r="I358" s="168" t="s">
        <v>668</v>
      </c>
      <c r="J358" s="168" t="s">
        <v>669</v>
      </c>
      <c r="K358" s="153" t="s">
        <v>670</v>
      </c>
      <c r="L358" s="153" t="s">
        <v>70</v>
      </c>
    </row>
    <row r="359" spans="1:12" hidden="1" outlineLevel="3" x14ac:dyDescent="0.25">
      <c r="D359" s="157" t="s">
        <v>508</v>
      </c>
      <c r="E359" s="158"/>
      <c r="F359" s="169"/>
      <c r="G359" s="169"/>
      <c r="H359" s="169"/>
      <c r="I359" s="169"/>
      <c r="J359" s="169"/>
      <c r="K359" s="154"/>
      <c r="L359" s="154"/>
    </row>
    <row r="360" spans="1:12" hidden="1" outlineLevel="3" x14ac:dyDescent="0.25">
      <c r="D360" s="24" t="str">
        <f>D355</f>
        <v>Z1</v>
      </c>
      <c r="E360" s="24" t="str">
        <f>E355</f>
        <v>Wohnen</v>
      </c>
      <c r="F360" s="43">
        <f t="shared" ref="F360:G360" si="21">F355*$F371</f>
        <v>3134.6750720720715</v>
      </c>
      <c r="G360" s="43">
        <f t="shared" si="21"/>
        <v>0</v>
      </c>
      <c r="H360" s="43">
        <f>H355*$F371</f>
        <v>566.96199999999999</v>
      </c>
      <c r="I360" s="43" t="s">
        <v>502</v>
      </c>
      <c r="J360" s="43">
        <f>J355*$F371</f>
        <v>2442.7039999999997</v>
      </c>
      <c r="K360" s="43" t="s">
        <v>502</v>
      </c>
      <c r="L360" s="43">
        <f t="shared" ref="L360:L361" si="22">SUM(F360:K360)</f>
        <v>6144.3410720720713</v>
      </c>
    </row>
    <row r="361" spans="1:12" hidden="1" outlineLevel="3" x14ac:dyDescent="0.25">
      <c r="D361" s="157" t="s">
        <v>674</v>
      </c>
      <c r="E361" s="158"/>
      <c r="F361" s="43">
        <f t="shared" ref="F361:J361" si="23">SUM(F360:F360)</f>
        <v>3134.6750720720715</v>
      </c>
      <c r="G361" s="43">
        <f t="shared" si="23"/>
        <v>0</v>
      </c>
      <c r="H361" s="43">
        <f t="shared" si="23"/>
        <v>566.96199999999999</v>
      </c>
      <c r="I361" s="43" t="s">
        <v>502</v>
      </c>
      <c r="J361" s="43">
        <f t="shared" si="23"/>
        <v>2442.7039999999997</v>
      </c>
      <c r="K361" s="43" t="s">
        <v>502</v>
      </c>
      <c r="L361" s="43">
        <f t="shared" si="22"/>
        <v>6144.3410720720713</v>
      </c>
    </row>
    <row r="362" spans="1:12" s="3" customFormat="1" ht="18" x14ac:dyDescent="0.25">
      <c r="A362" s="2" t="s">
        <v>731</v>
      </c>
    </row>
    <row r="363" spans="1:12" s="4" customFormat="1" ht="16.5" outlineLevel="1" collapsed="1" x14ac:dyDescent="0.25">
      <c r="B363" s="5" t="s">
        <v>732</v>
      </c>
    </row>
    <row r="364" spans="1:12" hidden="1" outlineLevel="2" x14ac:dyDescent="0.25">
      <c r="D364" s="51"/>
    </row>
    <row r="365" spans="1:12" s="4" customFormat="1" ht="16.5" outlineLevel="1" collapsed="1" x14ac:dyDescent="0.25">
      <c r="B365" s="5" t="s">
        <v>733</v>
      </c>
    </row>
    <row r="366" spans="1:12" hidden="1" outlineLevel="2" x14ac:dyDescent="0.25">
      <c r="D366" s="7" t="s">
        <v>734</v>
      </c>
      <c r="E366" s="26" t="s">
        <v>428</v>
      </c>
      <c r="F366" s="7" t="s">
        <v>735</v>
      </c>
      <c r="G366" s="32" t="s">
        <v>426</v>
      </c>
      <c r="H366" s="7" t="s">
        <v>736</v>
      </c>
    </row>
    <row r="367" spans="1:12" s="4" customFormat="1" ht="16.5" outlineLevel="1" collapsed="1" x14ac:dyDescent="0.25">
      <c r="B367" s="5" t="s">
        <v>737</v>
      </c>
    </row>
    <row r="368" spans="1:12" hidden="1" outlineLevel="2" x14ac:dyDescent="0.25">
      <c r="D368" s="222"/>
      <c r="E368" s="224"/>
      <c r="F368" s="168" t="s">
        <v>738</v>
      </c>
      <c r="G368" s="168" t="s">
        <v>739</v>
      </c>
      <c r="H368" s="165" t="s">
        <v>740</v>
      </c>
      <c r="I368" s="167"/>
      <c r="J368" s="165" t="s">
        <v>741</v>
      </c>
      <c r="K368" s="167"/>
      <c r="L368" s="52"/>
    </row>
    <row r="369" spans="2:12" ht="21" hidden="1" customHeight="1" outlineLevel="2" x14ac:dyDescent="0.25">
      <c r="D369" s="254" t="s">
        <v>508</v>
      </c>
      <c r="E369" s="255"/>
      <c r="F369" s="169"/>
      <c r="G369" s="251"/>
      <c r="H369" s="168" t="s">
        <v>742</v>
      </c>
      <c r="I369" s="168" t="s">
        <v>743</v>
      </c>
      <c r="J369" s="168" t="s">
        <v>744</v>
      </c>
      <c r="K369" s="168" t="s">
        <v>745</v>
      </c>
      <c r="L369" s="52"/>
    </row>
    <row r="370" spans="2:12" hidden="1" outlineLevel="2" x14ac:dyDescent="0.25">
      <c r="D370" s="273"/>
      <c r="E370" s="274"/>
      <c r="F370" s="41" t="s">
        <v>746</v>
      </c>
      <c r="G370" s="169"/>
      <c r="H370" s="169"/>
      <c r="I370" s="169"/>
      <c r="J370" s="169"/>
      <c r="K370" s="169"/>
      <c r="L370" s="52"/>
    </row>
    <row r="371" spans="2:12" hidden="1" outlineLevel="2" x14ac:dyDescent="0.25">
      <c r="D371" s="24" t="s">
        <v>514</v>
      </c>
      <c r="E371" s="25" t="str">
        <f>E92</f>
        <v>Wohnen</v>
      </c>
      <c r="F371" s="42">
        <f>G74</f>
        <v>295.75</v>
      </c>
      <c r="G371" s="23" t="s">
        <v>1249</v>
      </c>
      <c r="H371" s="26" t="s">
        <v>426</v>
      </c>
      <c r="I371" s="26" t="s">
        <v>428</v>
      </c>
      <c r="J371" s="26" t="s">
        <v>428</v>
      </c>
      <c r="K371" s="26" t="s">
        <v>428</v>
      </c>
      <c r="L371" s="52"/>
    </row>
    <row r="372" spans="2:12" hidden="1" outlineLevel="2" x14ac:dyDescent="0.25">
      <c r="D372" s="13" t="s">
        <v>747</v>
      </c>
    </row>
    <row r="373" spans="2:12" s="4" customFormat="1" ht="16.5" outlineLevel="1" collapsed="1" x14ac:dyDescent="0.25">
      <c r="B373" s="5" t="s">
        <v>748</v>
      </c>
    </row>
    <row r="374" spans="2:12" s="17" customFormat="1" hidden="1" outlineLevel="2" x14ac:dyDescent="0.25">
      <c r="D374" s="18" t="s">
        <v>749</v>
      </c>
    </row>
    <row r="375" spans="2:12" hidden="1" outlineLevel="2" x14ac:dyDescent="0.25">
      <c r="D375" s="159" t="s">
        <v>508</v>
      </c>
      <c r="E375" s="170"/>
      <c r="F375" s="160"/>
      <c r="G375" s="45" t="s">
        <v>750</v>
      </c>
      <c r="H375" s="168" t="s">
        <v>68</v>
      </c>
      <c r="I375" s="168" t="s">
        <v>64</v>
      </c>
      <c r="J375" s="168" t="s">
        <v>60</v>
      </c>
      <c r="K375" s="47" t="s">
        <v>751</v>
      </c>
      <c r="L375" s="168" t="s">
        <v>752</v>
      </c>
    </row>
    <row r="376" spans="2:12" hidden="1" outlineLevel="2" x14ac:dyDescent="0.25">
      <c r="D376" s="163"/>
      <c r="E376" s="171"/>
      <c r="F376" s="164"/>
      <c r="G376" s="22" t="s">
        <v>746</v>
      </c>
      <c r="H376" s="169"/>
      <c r="I376" s="169"/>
      <c r="J376" s="169"/>
      <c r="K376" s="41" t="s">
        <v>62</v>
      </c>
      <c r="L376" s="169"/>
    </row>
    <row r="377" spans="2:12" hidden="1" outlineLevel="2" x14ac:dyDescent="0.25">
      <c r="D377" s="24" t="s">
        <v>514</v>
      </c>
      <c r="E377" s="196" t="str">
        <f>E92</f>
        <v>Wohnen</v>
      </c>
      <c r="F377" s="198"/>
      <c r="G377" s="42">
        <f>F371</f>
        <v>295.75</v>
      </c>
      <c r="H377" s="26" t="s">
        <v>515</v>
      </c>
      <c r="I377" s="26" t="s">
        <v>516</v>
      </c>
      <c r="J377" s="26" t="s">
        <v>516</v>
      </c>
      <c r="K377" s="26" t="s">
        <v>515</v>
      </c>
      <c r="L377" s="26" t="s">
        <v>515</v>
      </c>
    </row>
    <row r="378" spans="2:12" hidden="1" outlineLevel="2" x14ac:dyDescent="0.25">
      <c r="D378" s="157" t="s">
        <v>753</v>
      </c>
      <c r="E378" s="158"/>
      <c r="F378" s="53" t="s">
        <v>746</v>
      </c>
      <c r="G378" s="42">
        <f>SUM(G377:G377)</f>
        <v>295.75</v>
      </c>
      <c r="H378" s="42">
        <f>G377</f>
        <v>295.75</v>
      </c>
      <c r="I378" s="42">
        <v>0</v>
      </c>
      <c r="J378" s="42">
        <v>0</v>
      </c>
      <c r="K378" s="42">
        <f>G377</f>
        <v>295.75</v>
      </c>
      <c r="L378" s="42">
        <f>G377</f>
        <v>295.75</v>
      </c>
    </row>
    <row r="379" spans="2:12" hidden="1" outlineLevel="2" x14ac:dyDescent="0.25">
      <c r="D379" s="157" t="s">
        <v>754</v>
      </c>
      <c r="E379" s="189"/>
      <c r="F379" s="158"/>
      <c r="G379" s="54">
        <f>G378/$G$378</f>
        <v>1</v>
      </c>
      <c r="H379" s="54">
        <f t="shared" ref="H379:L379" si="24">H378/$G$378</f>
        <v>1</v>
      </c>
      <c r="I379" s="54">
        <f t="shared" si="24"/>
        <v>0</v>
      </c>
      <c r="J379" s="54">
        <f t="shared" si="24"/>
        <v>0</v>
      </c>
      <c r="K379" s="54">
        <f t="shared" si="24"/>
        <v>1</v>
      </c>
      <c r="L379" s="54">
        <f t="shared" si="24"/>
        <v>1</v>
      </c>
    </row>
    <row r="380" spans="2:12" s="17" customFormat="1" hidden="1" outlineLevel="2" x14ac:dyDescent="0.25">
      <c r="D380" s="18" t="s">
        <v>755</v>
      </c>
    </row>
    <row r="381" spans="2:12" hidden="1" outlineLevel="2" x14ac:dyDescent="0.25">
      <c r="D381" s="159" t="s">
        <v>508</v>
      </c>
      <c r="E381" s="170"/>
      <c r="F381" s="160"/>
      <c r="G381" s="45" t="s">
        <v>750</v>
      </c>
      <c r="H381" s="168" t="s">
        <v>68</v>
      </c>
      <c r="I381" s="168" t="s">
        <v>64</v>
      </c>
      <c r="J381" s="168" t="s">
        <v>60</v>
      </c>
      <c r="K381" s="47" t="s">
        <v>751</v>
      </c>
      <c r="L381" s="168" t="s">
        <v>752</v>
      </c>
    </row>
    <row r="382" spans="2:12" hidden="1" outlineLevel="2" x14ac:dyDescent="0.25">
      <c r="D382" s="163"/>
      <c r="E382" s="171"/>
      <c r="F382" s="164"/>
      <c r="G382" s="22" t="s">
        <v>746</v>
      </c>
      <c r="H382" s="169"/>
      <c r="I382" s="169"/>
      <c r="J382" s="169"/>
      <c r="K382" s="41" t="s">
        <v>62</v>
      </c>
      <c r="L382" s="169"/>
    </row>
    <row r="383" spans="2:12" hidden="1" outlineLevel="2" x14ac:dyDescent="0.25">
      <c r="D383" s="24"/>
      <c r="E383" s="196"/>
      <c r="F383" s="198"/>
      <c r="G383" s="42"/>
      <c r="H383" s="22" t="s">
        <v>520</v>
      </c>
      <c r="I383" s="22" t="s">
        <v>520</v>
      </c>
      <c r="J383" s="26" t="s">
        <v>516</v>
      </c>
      <c r="K383" s="26" t="s">
        <v>516</v>
      </c>
      <c r="L383" s="26" t="s">
        <v>516</v>
      </c>
    </row>
    <row r="384" spans="2:12" hidden="1" outlineLevel="2" x14ac:dyDescent="0.25">
      <c r="D384" s="157" t="s">
        <v>753</v>
      </c>
      <c r="E384" s="158"/>
      <c r="F384" s="53" t="s">
        <v>746</v>
      </c>
      <c r="G384" s="42">
        <v>0</v>
      </c>
      <c r="H384" s="41" t="s">
        <v>520</v>
      </c>
      <c r="I384" s="41" t="s">
        <v>520</v>
      </c>
      <c r="J384" s="42"/>
      <c r="K384" s="42"/>
      <c r="L384" s="42"/>
    </row>
    <row r="385" spans="2:12" hidden="1" outlineLevel="2" x14ac:dyDescent="0.25">
      <c r="D385" s="157" t="s">
        <v>754</v>
      </c>
      <c r="E385" s="189"/>
      <c r="F385" s="158"/>
      <c r="G385" s="54"/>
      <c r="H385" s="41" t="s">
        <v>520</v>
      </c>
      <c r="I385" s="41" t="s">
        <v>520</v>
      </c>
      <c r="J385" s="54"/>
      <c r="K385" s="54"/>
      <c r="L385" s="54"/>
    </row>
    <row r="386" spans="2:12" s="17" customFormat="1" hidden="1" outlineLevel="2" x14ac:dyDescent="0.25">
      <c r="D386" s="18" t="s">
        <v>756</v>
      </c>
    </row>
    <row r="387" spans="2:12" hidden="1" outlineLevel="2" x14ac:dyDescent="0.25">
      <c r="D387" s="159" t="s">
        <v>757</v>
      </c>
      <c r="E387" s="160"/>
      <c r="F387" s="45" t="s">
        <v>750</v>
      </c>
      <c r="G387" s="168" t="s">
        <v>68</v>
      </c>
      <c r="H387" s="168" t="s">
        <v>64</v>
      </c>
      <c r="I387" s="168" t="s">
        <v>60</v>
      </c>
      <c r="J387" s="47" t="s">
        <v>751</v>
      </c>
      <c r="K387" s="168" t="s">
        <v>752</v>
      </c>
    </row>
    <row r="388" spans="2:12" hidden="1" outlineLevel="2" x14ac:dyDescent="0.25">
      <c r="D388" s="163"/>
      <c r="E388" s="164"/>
      <c r="F388" s="22" t="s">
        <v>746</v>
      </c>
      <c r="G388" s="169"/>
      <c r="H388" s="169"/>
      <c r="I388" s="169"/>
      <c r="J388" s="41" t="s">
        <v>62</v>
      </c>
      <c r="K388" s="169"/>
    </row>
    <row r="389" spans="2:12" hidden="1" outlineLevel="2" x14ac:dyDescent="0.25">
      <c r="D389" s="216" t="s">
        <v>497</v>
      </c>
      <c r="E389" s="216" t="s">
        <v>746</v>
      </c>
      <c r="F389" s="270">
        <f t="shared" ref="F389:K389" si="25">G378</f>
        <v>295.75</v>
      </c>
      <c r="G389" s="270">
        <f t="shared" si="25"/>
        <v>295.75</v>
      </c>
      <c r="H389" s="270">
        <f t="shared" si="25"/>
        <v>0</v>
      </c>
      <c r="I389" s="270">
        <f t="shared" si="25"/>
        <v>0</v>
      </c>
      <c r="J389" s="270">
        <f t="shared" si="25"/>
        <v>295.75</v>
      </c>
      <c r="K389" s="270">
        <f t="shared" si="25"/>
        <v>295.75</v>
      </c>
    </row>
    <row r="390" spans="2:12" hidden="1" outlineLevel="2" x14ac:dyDescent="0.25">
      <c r="D390" s="217"/>
      <c r="E390" s="217"/>
      <c r="F390" s="257"/>
      <c r="G390" s="257"/>
      <c r="H390" s="257"/>
      <c r="I390" s="257"/>
      <c r="J390" s="257"/>
      <c r="K390" s="257"/>
    </row>
    <row r="391" spans="2:12" ht="21" hidden="1" customHeight="1" outlineLevel="2" x14ac:dyDescent="0.25">
      <c r="D391" s="216" t="s">
        <v>758</v>
      </c>
      <c r="E391" s="216" t="s">
        <v>746</v>
      </c>
      <c r="F391" s="270">
        <f>G384</f>
        <v>0</v>
      </c>
      <c r="G391" s="168" t="s">
        <v>520</v>
      </c>
      <c r="H391" s="168" t="s">
        <v>520</v>
      </c>
      <c r="I391" s="270">
        <f>J384</f>
        <v>0</v>
      </c>
      <c r="J391" s="270">
        <f>K384</f>
        <v>0</v>
      </c>
      <c r="K391" s="270">
        <f>L384</f>
        <v>0</v>
      </c>
    </row>
    <row r="392" spans="2:12" hidden="1" outlineLevel="2" x14ac:dyDescent="0.25">
      <c r="D392" s="217"/>
      <c r="E392" s="217"/>
      <c r="F392" s="257"/>
      <c r="G392" s="169"/>
      <c r="H392" s="169"/>
      <c r="I392" s="257"/>
      <c r="J392" s="257"/>
      <c r="K392" s="257"/>
    </row>
    <row r="393" spans="2:12" hidden="1" outlineLevel="2" x14ac:dyDescent="0.25">
      <c r="D393" s="46" t="s">
        <v>380</v>
      </c>
      <c r="E393" s="53" t="s">
        <v>746</v>
      </c>
      <c r="F393" s="42">
        <f>F389+F391</f>
        <v>295.75</v>
      </c>
      <c r="G393" s="42">
        <f>G389</f>
        <v>295.75</v>
      </c>
      <c r="H393" s="42">
        <f>H389</f>
        <v>0</v>
      </c>
      <c r="I393" s="42">
        <f>I389+I391</f>
        <v>0</v>
      </c>
      <c r="J393" s="42">
        <f t="shared" ref="J393:K393" si="26">J389+J391</f>
        <v>295.75</v>
      </c>
      <c r="K393" s="42">
        <f t="shared" si="26"/>
        <v>295.75</v>
      </c>
    </row>
    <row r="394" spans="2:12" hidden="1" outlineLevel="2" x14ac:dyDescent="0.25">
      <c r="D394" s="157" t="s">
        <v>759</v>
      </c>
      <c r="E394" s="158"/>
      <c r="F394" s="54">
        <f>F393/$F$393</f>
        <v>1</v>
      </c>
      <c r="G394" s="54">
        <f t="shared" ref="G394:K394" si="27">G393/$F$393</f>
        <v>1</v>
      </c>
      <c r="H394" s="54">
        <f t="shared" si="27"/>
        <v>0</v>
      </c>
      <c r="I394" s="54">
        <f t="shared" si="27"/>
        <v>0</v>
      </c>
      <c r="J394" s="54">
        <f t="shared" si="27"/>
        <v>1</v>
      </c>
      <c r="K394" s="54">
        <f t="shared" si="27"/>
        <v>1</v>
      </c>
    </row>
    <row r="395" spans="2:12" s="4" customFormat="1" ht="16.5" outlineLevel="1" x14ac:dyDescent="0.25">
      <c r="B395" s="5" t="s">
        <v>760</v>
      </c>
    </row>
    <row r="396" spans="2:12" s="4" customFormat="1" ht="15.75" outlineLevel="2" collapsed="1" x14ac:dyDescent="0.25">
      <c r="C396" s="20" t="s">
        <v>761</v>
      </c>
    </row>
    <row r="397" spans="2:12" hidden="1" outlineLevel="3" x14ac:dyDescent="0.25">
      <c r="D397" s="159" t="s">
        <v>762</v>
      </c>
      <c r="E397" s="160"/>
      <c r="F397" s="168" t="s">
        <v>763</v>
      </c>
      <c r="G397" s="168" t="s">
        <v>750</v>
      </c>
      <c r="H397" s="47" t="s">
        <v>764</v>
      </c>
      <c r="I397" s="47" t="s">
        <v>765</v>
      </c>
    </row>
    <row r="398" spans="2:12" hidden="1" outlineLevel="3" x14ac:dyDescent="0.25">
      <c r="D398" s="161" t="s">
        <v>766</v>
      </c>
      <c r="E398" s="162"/>
      <c r="F398" s="169"/>
      <c r="G398" s="169"/>
      <c r="H398" s="41" t="s">
        <v>344</v>
      </c>
      <c r="I398" s="41" t="s">
        <v>767</v>
      </c>
    </row>
    <row r="399" spans="2:12" hidden="1" outlineLevel="3" x14ac:dyDescent="0.25">
      <c r="D399" s="271"/>
      <c r="E399" s="272"/>
      <c r="F399" s="22" t="s">
        <v>768</v>
      </c>
      <c r="G399" s="22" t="s">
        <v>746</v>
      </c>
      <c r="H399" s="41" t="s">
        <v>769</v>
      </c>
      <c r="I399" s="41" t="s">
        <v>770</v>
      </c>
    </row>
    <row r="400" spans="2:12" hidden="1" outlineLevel="3" x14ac:dyDescent="0.25">
      <c r="D400" s="24" t="s">
        <v>514</v>
      </c>
      <c r="E400" s="25" t="str">
        <f>E92</f>
        <v>Wohnen</v>
      </c>
      <c r="F400" s="23" t="str">
        <f>G371</f>
        <v>EFH</v>
      </c>
      <c r="G400" s="42">
        <f>F371</f>
        <v>295.75</v>
      </c>
      <c r="H400" s="23">
        <v>365</v>
      </c>
      <c r="I400" s="23">
        <v>24</v>
      </c>
    </row>
    <row r="401" spans="3:12" hidden="1" outlineLevel="3" x14ac:dyDescent="0.25">
      <c r="D401" s="148" t="s">
        <v>771</v>
      </c>
      <c r="E401" s="149"/>
      <c r="F401" s="150"/>
      <c r="G401" s="42">
        <f>SUM(G400:G400)</f>
        <v>295.75</v>
      </c>
      <c r="H401" s="23">
        <f>SUMPRODUCT($G$400:$G$400,H400:H400)/$G$401</f>
        <v>365</v>
      </c>
      <c r="I401" s="42">
        <f>SUMPRODUCT($G$400:$G$400,I400:I400)/$G$401</f>
        <v>24</v>
      </c>
    </row>
    <row r="402" spans="3:12" s="4" customFormat="1" ht="15.75" outlineLevel="2" collapsed="1" x14ac:dyDescent="0.25">
      <c r="C402" s="20" t="s">
        <v>772</v>
      </c>
    </row>
    <row r="403" spans="3:12" hidden="1" outlineLevel="3" x14ac:dyDescent="0.25">
      <c r="D403" s="159" t="s">
        <v>762</v>
      </c>
      <c r="E403" s="160"/>
      <c r="F403" s="45" t="s">
        <v>763</v>
      </c>
      <c r="G403" s="45" t="s">
        <v>750</v>
      </c>
      <c r="H403" s="45" t="s">
        <v>773</v>
      </c>
      <c r="I403" s="45" t="s">
        <v>774</v>
      </c>
    </row>
    <row r="404" spans="3:12" hidden="1" outlineLevel="3" x14ac:dyDescent="0.25">
      <c r="D404" s="163" t="s">
        <v>766</v>
      </c>
      <c r="E404" s="164"/>
      <c r="F404" s="22" t="s">
        <v>768</v>
      </c>
      <c r="G404" s="22" t="s">
        <v>746</v>
      </c>
      <c r="H404" s="41" t="s">
        <v>775</v>
      </c>
      <c r="I404" s="41" t="s">
        <v>775</v>
      </c>
    </row>
    <row r="405" spans="3:12" hidden="1" outlineLevel="3" x14ac:dyDescent="0.25">
      <c r="D405" s="24" t="str">
        <f>D400</f>
        <v>Z1</v>
      </c>
      <c r="E405" s="25" t="str">
        <f>E400</f>
        <v>Wohnen</v>
      </c>
      <c r="F405" s="23" t="str">
        <f>F400</f>
        <v>EFH</v>
      </c>
      <c r="G405" s="42">
        <f>G400</f>
        <v>295.75</v>
      </c>
      <c r="H405" s="23">
        <v>20</v>
      </c>
      <c r="I405" s="23">
        <v>25</v>
      </c>
    </row>
    <row r="406" spans="3:12" hidden="1" outlineLevel="3" x14ac:dyDescent="0.25">
      <c r="D406" s="148" t="s">
        <v>771</v>
      </c>
      <c r="E406" s="149"/>
      <c r="F406" s="150"/>
      <c r="G406" s="42">
        <f>SUM(G405:G405)</f>
        <v>295.75</v>
      </c>
      <c r="H406" s="42">
        <f>SUMPRODUCT($G$405:$G$405,H405:H405)/$G$406</f>
        <v>20</v>
      </c>
      <c r="I406" s="42">
        <f>SUMPRODUCT($G$405:$G$405,I405:I405)/$G$406</f>
        <v>25</v>
      </c>
    </row>
    <row r="407" spans="3:12" s="4" customFormat="1" ht="15.75" outlineLevel="2" collapsed="1" x14ac:dyDescent="0.25">
      <c r="C407" s="20" t="s">
        <v>776</v>
      </c>
    </row>
    <row r="408" spans="3:12" hidden="1" outlineLevel="3" x14ac:dyDescent="0.25">
      <c r="D408" s="159" t="s">
        <v>762</v>
      </c>
      <c r="E408" s="160"/>
      <c r="F408" s="45" t="s">
        <v>763</v>
      </c>
      <c r="G408" s="45" t="s">
        <v>750</v>
      </c>
      <c r="H408" s="45" t="s">
        <v>777</v>
      </c>
      <c r="I408" s="45" t="s">
        <v>778</v>
      </c>
    </row>
    <row r="409" spans="3:12" hidden="1" outlineLevel="3" x14ac:dyDescent="0.25">
      <c r="D409" s="163" t="s">
        <v>766</v>
      </c>
      <c r="E409" s="164"/>
      <c r="F409" s="22" t="s">
        <v>768</v>
      </c>
      <c r="G409" s="22" t="s">
        <v>746</v>
      </c>
      <c r="H409" s="41" t="s">
        <v>779</v>
      </c>
      <c r="I409" s="41" t="s">
        <v>780</v>
      </c>
    </row>
    <row r="410" spans="3:12" hidden="1" outlineLevel="3" x14ac:dyDescent="0.25">
      <c r="D410" s="24" t="str">
        <f>D405</f>
        <v>Z1</v>
      </c>
      <c r="E410" s="24" t="str">
        <f>E405</f>
        <v>Wohnen</v>
      </c>
      <c r="F410" s="23" t="str">
        <f>F405</f>
        <v>EFH</v>
      </c>
      <c r="G410" s="42">
        <f>G405</f>
        <v>295.75</v>
      </c>
      <c r="H410" s="42">
        <f>I410*E547/G74</f>
        <v>0.89018596787827553</v>
      </c>
      <c r="I410" s="49">
        <v>0.45</v>
      </c>
    </row>
    <row r="411" spans="3:12" hidden="1" outlineLevel="3" x14ac:dyDescent="0.25">
      <c r="D411" s="148" t="s">
        <v>771</v>
      </c>
      <c r="E411" s="149"/>
      <c r="F411" s="150"/>
      <c r="G411" s="42">
        <f>SUM(G410:G410)</f>
        <v>295.75</v>
      </c>
      <c r="H411" s="42">
        <f>SUMPRODUCT($G$410:$G$410,H410:H410)/$G$411</f>
        <v>0.89018596787827553</v>
      </c>
      <c r="I411" s="49">
        <f>SUMPRODUCT($G$410:$G$410,I410:I410)/$G$411</f>
        <v>0.45</v>
      </c>
    </row>
    <row r="412" spans="3:12" s="4" customFormat="1" ht="15.75" outlineLevel="2" collapsed="1" x14ac:dyDescent="0.25">
      <c r="C412" s="20" t="s">
        <v>781</v>
      </c>
    </row>
    <row r="413" spans="3:12" hidden="1" outlineLevel="3" x14ac:dyDescent="0.25">
      <c r="D413" s="159" t="s">
        <v>762</v>
      </c>
      <c r="E413" s="160"/>
      <c r="F413" s="45" t="s">
        <v>763</v>
      </c>
      <c r="G413" s="45" t="s">
        <v>750</v>
      </c>
      <c r="H413" s="165" t="s">
        <v>782</v>
      </c>
      <c r="I413" s="167"/>
      <c r="J413" s="165" t="s">
        <v>783</v>
      </c>
      <c r="K413" s="166"/>
      <c r="L413" s="167"/>
    </row>
    <row r="414" spans="3:12" hidden="1" outlineLevel="3" x14ac:dyDescent="0.25">
      <c r="D414" s="163" t="s">
        <v>784</v>
      </c>
      <c r="E414" s="164"/>
      <c r="F414" s="22" t="s">
        <v>768</v>
      </c>
      <c r="G414" s="22" t="s">
        <v>746</v>
      </c>
      <c r="H414" s="22" t="s">
        <v>785</v>
      </c>
      <c r="I414" s="41" t="s">
        <v>786</v>
      </c>
      <c r="J414" s="41" t="s">
        <v>787</v>
      </c>
      <c r="K414" s="41" t="s">
        <v>788</v>
      </c>
      <c r="L414" s="41" t="s">
        <v>789</v>
      </c>
    </row>
    <row r="415" spans="3:12" hidden="1" outlineLevel="3" x14ac:dyDescent="0.25">
      <c r="D415" s="24" t="str">
        <f>D410</f>
        <v>Z1</v>
      </c>
      <c r="E415" s="24" t="str">
        <f>E410</f>
        <v>Wohnen</v>
      </c>
      <c r="F415" s="56" t="str">
        <f>F410</f>
        <v>EFH</v>
      </c>
      <c r="G415" s="57">
        <f>G410</f>
        <v>295.75</v>
      </c>
      <c r="H415" s="42">
        <f>G415</f>
        <v>295.75</v>
      </c>
      <c r="I415" s="23" t="s">
        <v>385</v>
      </c>
      <c r="J415" s="43">
        <f>K415/G415*1000</f>
        <v>30.136986301369866</v>
      </c>
      <c r="K415" s="43">
        <f>L415/H400*G415</f>
        <v>8.913013698630138</v>
      </c>
      <c r="L415" s="42">
        <f>F709</f>
        <v>11</v>
      </c>
    </row>
    <row r="416" spans="3:12" hidden="1" outlineLevel="3" x14ac:dyDescent="0.25">
      <c r="D416" s="148" t="s">
        <v>771</v>
      </c>
      <c r="E416" s="149"/>
      <c r="F416" s="150"/>
      <c r="G416" s="42">
        <f>SUM(G415:G415)</f>
        <v>295.75</v>
      </c>
      <c r="H416" s="22"/>
      <c r="I416" s="22"/>
      <c r="J416" s="22"/>
      <c r="K416" s="22"/>
      <c r="L416" s="42">
        <f>SUMPRODUCT($G$415:$G$415,L415:L415)/$G$416</f>
        <v>11</v>
      </c>
    </row>
    <row r="417" spans="1:8" hidden="1" outlineLevel="3" x14ac:dyDescent="0.25">
      <c r="D417" s="13" t="s">
        <v>790</v>
      </c>
    </row>
    <row r="418" spans="1:8" s="4" customFormat="1" ht="15.75" outlineLevel="2" collapsed="1" x14ac:dyDescent="0.25">
      <c r="C418" s="20" t="s">
        <v>791</v>
      </c>
    </row>
    <row r="419" spans="1:8" hidden="1" outlineLevel="3" x14ac:dyDescent="0.25">
      <c r="D419" s="159" t="s">
        <v>762</v>
      </c>
      <c r="E419" s="160"/>
      <c r="F419" s="45" t="s">
        <v>763</v>
      </c>
      <c r="G419" s="45" t="s">
        <v>750</v>
      </c>
      <c r="H419" s="45" t="s">
        <v>792</v>
      </c>
    </row>
    <row r="420" spans="1:8" hidden="1" outlineLevel="3" x14ac:dyDescent="0.25">
      <c r="D420" s="163" t="s">
        <v>766</v>
      </c>
      <c r="E420" s="164"/>
      <c r="F420" s="22" t="s">
        <v>768</v>
      </c>
      <c r="G420" s="22" t="s">
        <v>746</v>
      </c>
      <c r="H420" s="41" t="s">
        <v>793</v>
      </c>
    </row>
    <row r="421" spans="1:8" hidden="1" outlineLevel="3" x14ac:dyDescent="0.25">
      <c r="D421" s="24" t="str">
        <f>D415</f>
        <v>Z1</v>
      </c>
      <c r="E421" s="24" t="str">
        <f>E415</f>
        <v>Wohnen</v>
      </c>
      <c r="F421" s="56" t="str">
        <f>F415</f>
        <v>EFH</v>
      </c>
      <c r="G421" s="57">
        <f>G415</f>
        <v>295.75</v>
      </c>
      <c r="H421" s="23">
        <v>45</v>
      </c>
    </row>
    <row r="422" spans="1:8" hidden="1" outlineLevel="3" x14ac:dyDescent="0.25">
      <c r="D422" s="148" t="s">
        <v>771</v>
      </c>
      <c r="E422" s="149"/>
      <c r="F422" s="150"/>
      <c r="G422" s="42">
        <f>SUM(G421:G421)</f>
        <v>295.75</v>
      </c>
      <c r="H422" s="43">
        <f>SUMPRODUCT($G$421:$G$421,H421:H421)/$G$422</f>
        <v>45</v>
      </c>
    </row>
    <row r="423" spans="1:8" s="4" customFormat="1" ht="15.75" outlineLevel="2" x14ac:dyDescent="0.25">
      <c r="C423" s="20" t="s">
        <v>794</v>
      </c>
    </row>
    <row r="424" spans="1:8" s="3" customFormat="1" ht="18" x14ac:dyDescent="0.25">
      <c r="A424" s="2" t="s">
        <v>795</v>
      </c>
    </row>
    <row r="425" spans="1:8" s="4" customFormat="1" ht="16.5" outlineLevel="1" collapsed="1" x14ac:dyDescent="0.25">
      <c r="B425" s="5" t="s">
        <v>796</v>
      </c>
    </row>
    <row r="426" spans="1:8" hidden="1" outlineLevel="2" x14ac:dyDescent="0.25">
      <c r="D426" s="51"/>
    </row>
    <row r="427" spans="1:8" s="4" customFormat="1" ht="16.5" outlineLevel="1" x14ac:dyDescent="0.25">
      <c r="B427" s="5" t="s">
        <v>797</v>
      </c>
    </row>
    <row r="428" spans="1:8" s="4" customFormat="1" ht="17.25" outlineLevel="2" collapsed="1" x14ac:dyDescent="0.25">
      <c r="C428" s="20" t="s">
        <v>798</v>
      </c>
    </row>
    <row r="429" spans="1:8" s="17" customFormat="1" hidden="1" outlineLevel="3" x14ac:dyDescent="0.25">
      <c r="D429" s="18" t="s">
        <v>799</v>
      </c>
    </row>
    <row r="430" spans="1:8" hidden="1" outlineLevel="3" x14ac:dyDescent="0.25">
      <c r="D430" s="58" t="s">
        <v>800</v>
      </c>
      <c r="E430" s="59">
        <f>(SUMPRODUCT(H455:H458,I455:I458,J455:J458)+SUMPRODUCT(H463:H468,I463:I468,J463:J468)+SUMPRODUCT(H474,I474,J474)+SUMPRODUCT(H481:H482,I481:I482,J481:J482)+SUMPRODUCT(H488,I488,J488)+SUMPRODUCT(H494:H497,I494:I497)+SUMPRODUCT(H502,I502))/E449+E539</f>
        <v>0.35663158092942682</v>
      </c>
      <c r="F430" s="58" t="s">
        <v>572</v>
      </c>
    </row>
    <row r="431" spans="1:8" s="17" customFormat="1" hidden="1" outlineLevel="3" x14ac:dyDescent="0.25">
      <c r="D431" s="18" t="s">
        <v>801</v>
      </c>
    </row>
    <row r="432" spans="1:8" hidden="1" outlineLevel="3" x14ac:dyDescent="0.25">
      <c r="D432" s="159" t="s">
        <v>802</v>
      </c>
      <c r="E432" s="160"/>
      <c r="F432" s="165" t="s">
        <v>803</v>
      </c>
      <c r="G432" s="167"/>
    </row>
    <row r="433" spans="3:8" hidden="1" outlineLevel="3" x14ac:dyDescent="0.25">
      <c r="D433" s="163"/>
      <c r="E433" s="164"/>
      <c r="F433" s="41" t="s">
        <v>804</v>
      </c>
      <c r="G433" s="41" t="s">
        <v>805</v>
      </c>
    </row>
    <row r="434" spans="3:8" hidden="1" outlineLevel="3" x14ac:dyDescent="0.25">
      <c r="D434" s="148" t="s">
        <v>806</v>
      </c>
      <c r="E434" s="150"/>
      <c r="F434" s="50">
        <f>(SUMPRODUCT(H455:H458,I455:I458,J455:J458)+SUMPRODUCT(H463:H468,I463:I468,J463:J468)+SUMPRODUCT(H474,I474,J474)+SUMPRODUCT(H481:H482,I481:I482,J481:J482)+SUMPRODUCT(H488,I488,J488))/(E442+E443+E445+E446+E447)</f>
        <v>0.25330484500757033</v>
      </c>
      <c r="G434" s="49" t="s">
        <v>30</v>
      </c>
    </row>
    <row r="435" spans="3:8" hidden="1" outlineLevel="3" x14ac:dyDescent="0.25">
      <c r="D435" s="151" t="s">
        <v>807</v>
      </c>
      <c r="E435" s="38" t="s">
        <v>808</v>
      </c>
      <c r="F435" s="50">
        <f>(SUMPRODUCT(H494:H497,I494:I497))/(E448)</f>
        <v>1.1071085164835166</v>
      </c>
      <c r="G435" s="49" t="s">
        <v>30</v>
      </c>
    </row>
    <row r="436" spans="3:8" hidden="1" outlineLevel="3" x14ac:dyDescent="0.25">
      <c r="D436" s="269"/>
      <c r="E436" s="38" t="s">
        <v>809</v>
      </c>
      <c r="F436" s="49" t="s">
        <v>30</v>
      </c>
      <c r="G436" s="49" t="s">
        <v>30</v>
      </c>
    </row>
    <row r="437" spans="3:8" hidden="1" outlineLevel="3" x14ac:dyDescent="0.25">
      <c r="D437" s="152"/>
      <c r="E437" s="38" t="s">
        <v>810</v>
      </c>
      <c r="F437" s="49" t="s">
        <v>30</v>
      </c>
      <c r="G437" s="49" t="s">
        <v>30</v>
      </c>
    </row>
    <row r="438" spans="3:8" s="4" customFormat="1" ht="15.75" outlineLevel="2" collapsed="1" x14ac:dyDescent="0.25">
      <c r="C438" s="20" t="s">
        <v>811</v>
      </c>
    </row>
    <row r="439" spans="3:8" hidden="1" outlineLevel="3" x14ac:dyDescent="0.25">
      <c r="D439" s="60" t="s">
        <v>812</v>
      </c>
      <c r="E439" s="168" t="s">
        <v>222</v>
      </c>
      <c r="F439" s="168" t="s">
        <v>813</v>
      </c>
      <c r="G439" s="47" t="s">
        <v>814</v>
      </c>
      <c r="H439" s="47" t="s">
        <v>815</v>
      </c>
    </row>
    <row r="440" spans="3:8" hidden="1" outlineLevel="3" x14ac:dyDescent="0.25">
      <c r="D440" s="61" t="s">
        <v>816</v>
      </c>
      <c r="E440" s="169"/>
      <c r="F440" s="169"/>
      <c r="G440" s="41" t="s">
        <v>817</v>
      </c>
      <c r="H440" s="41" t="s">
        <v>221</v>
      </c>
    </row>
    <row r="441" spans="3:8" hidden="1" outlineLevel="3" x14ac:dyDescent="0.25">
      <c r="D441" s="62"/>
      <c r="E441" s="22" t="s">
        <v>746</v>
      </c>
      <c r="F441" s="22" t="s">
        <v>818</v>
      </c>
      <c r="G441" s="22" t="s">
        <v>819</v>
      </c>
      <c r="H441" s="22" t="s">
        <v>820</v>
      </c>
    </row>
    <row r="442" spans="3:8" hidden="1" outlineLevel="3" x14ac:dyDescent="0.25">
      <c r="D442" s="46" t="s">
        <v>821</v>
      </c>
      <c r="E442" s="49">
        <f>H459+H489</f>
        <v>170.63000000000002</v>
      </c>
      <c r="F442" s="63">
        <f>E442/$E$449</f>
        <v>0.32128869473525645</v>
      </c>
      <c r="G442" s="49">
        <f>E442/$G$74</f>
        <v>0.57693998309382932</v>
      </c>
      <c r="H442" s="49">
        <f>(SUMPRODUCT(H488,I488,J488)+SUMPRODUCT(H455:H458,I455:I458,J455:J458))/E442</f>
        <v>0.30031061360839245</v>
      </c>
    </row>
    <row r="443" spans="3:8" hidden="1" outlineLevel="3" x14ac:dyDescent="0.25">
      <c r="D443" s="61" t="s">
        <v>822</v>
      </c>
      <c r="E443" s="256">
        <f>H469</f>
        <v>170.83</v>
      </c>
      <c r="F443" s="258">
        <f t="shared" ref="F443:F448" si="28">E443/$E$449</f>
        <v>0.32166528583264292</v>
      </c>
      <c r="G443" s="172">
        <f t="shared" ref="G443:G448" si="29">E443/$G$74</f>
        <v>0.57761622992392225</v>
      </c>
      <c r="H443" s="172">
        <f>SUMPRODUCT(H463:H468,I463:I468,J463:J468)/E443</f>
        <v>0.20310484107006968</v>
      </c>
    </row>
    <row r="444" spans="3:8" hidden="1" outlineLevel="3" x14ac:dyDescent="0.25">
      <c r="D444" s="46" t="s">
        <v>823</v>
      </c>
      <c r="E444" s="257"/>
      <c r="F444" s="259">
        <f t="shared" si="28"/>
        <v>0</v>
      </c>
      <c r="G444" s="173">
        <f t="shared" si="29"/>
        <v>0</v>
      </c>
      <c r="H444" s="173"/>
    </row>
    <row r="445" spans="3:8" hidden="1" outlineLevel="3" x14ac:dyDescent="0.25">
      <c r="D445" s="46" t="s">
        <v>824</v>
      </c>
      <c r="E445" s="49">
        <f>H475</f>
        <v>135</v>
      </c>
      <c r="F445" s="63">
        <f t="shared" si="28"/>
        <v>0.254198990735859</v>
      </c>
      <c r="G445" s="49">
        <f t="shared" si="29"/>
        <v>0.45646661031276414</v>
      </c>
      <c r="H445" s="49">
        <f>(SUMPRODUCT(H474:H474,I474:I474,J474:J474))/E445</f>
        <v>0.21</v>
      </c>
    </row>
    <row r="446" spans="3:8" hidden="1" outlineLevel="3" x14ac:dyDescent="0.25">
      <c r="D446" s="46" t="s">
        <v>825</v>
      </c>
      <c r="E446" s="49">
        <f>H483</f>
        <v>25.5</v>
      </c>
      <c r="F446" s="63">
        <f t="shared" si="28"/>
        <v>4.8015364916773363E-2</v>
      </c>
      <c r="G446" s="49">
        <f t="shared" si="29"/>
        <v>8.6221470836855454E-2</v>
      </c>
      <c r="H446" s="49">
        <f>(SUMPRODUCT(H481:H482,I481:I482,J481:J482))/E446</f>
        <v>0.50433333333333341</v>
      </c>
    </row>
    <row r="447" spans="3:8" hidden="1" outlineLevel="3" x14ac:dyDescent="0.25">
      <c r="D447" s="46" t="s">
        <v>826</v>
      </c>
      <c r="E447" s="49">
        <v>0</v>
      </c>
      <c r="F447" s="63">
        <f t="shared" si="28"/>
        <v>0</v>
      </c>
      <c r="G447" s="49">
        <f t="shared" si="29"/>
        <v>0</v>
      </c>
      <c r="H447" s="23" t="s">
        <v>30</v>
      </c>
    </row>
    <row r="448" spans="3:8" hidden="1" outlineLevel="3" x14ac:dyDescent="0.25">
      <c r="D448" s="46" t="s">
        <v>827</v>
      </c>
      <c r="E448" s="23">
        <f>H498+H503</f>
        <v>29.12</v>
      </c>
      <c r="F448" s="63">
        <f t="shared" si="28"/>
        <v>5.483166377946825E-2</v>
      </c>
      <c r="G448" s="49">
        <f t="shared" si="29"/>
        <v>9.8461538461538461E-2</v>
      </c>
      <c r="H448" s="49">
        <f>(SUMPRODUCT(H494:H497,I494:I497)+SUMPRODUCT(H502,I502))/E448</f>
        <v>1.2258585164835165</v>
      </c>
    </row>
    <row r="449" spans="3:10" hidden="1" outlineLevel="3" x14ac:dyDescent="0.25">
      <c r="D449" s="46" t="s">
        <v>828</v>
      </c>
      <c r="E449" s="49">
        <f>SUM(E442:E448)</f>
        <v>531.08000000000004</v>
      </c>
      <c r="F449" s="64">
        <f>E449/$E$449</f>
        <v>1</v>
      </c>
      <c r="G449" s="49">
        <f>E449/$G$74</f>
        <v>1.7957058326289097</v>
      </c>
      <c r="H449" s="41"/>
    </row>
    <row r="450" spans="3:10" hidden="1" outlineLevel="3" x14ac:dyDescent="0.25">
      <c r="D450" s="46" t="s">
        <v>829</v>
      </c>
      <c r="E450" s="49" t="s">
        <v>30</v>
      </c>
      <c r="F450" s="41"/>
      <c r="G450" s="49" t="s">
        <v>30</v>
      </c>
      <c r="H450" s="22"/>
    </row>
    <row r="451" spans="3:10" s="4" customFormat="1" ht="15.75" outlineLevel="2" collapsed="1" x14ac:dyDescent="0.25">
      <c r="C451" s="20" t="s">
        <v>830</v>
      </c>
    </row>
    <row r="452" spans="3:10" s="17" customFormat="1" hidden="1" outlineLevel="3" x14ac:dyDescent="0.25">
      <c r="D452" s="18" t="s">
        <v>831</v>
      </c>
    </row>
    <row r="453" spans="3:10" hidden="1" outlineLevel="3" x14ac:dyDescent="0.25">
      <c r="D453" s="151" t="s">
        <v>832</v>
      </c>
      <c r="E453" s="151" t="s">
        <v>0</v>
      </c>
      <c r="F453" s="153" t="s">
        <v>833</v>
      </c>
      <c r="G453" s="153" t="s">
        <v>834</v>
      </c>
      <c r="H453" s="65" t="s">
        <v>222</v>
      </c>
      <c r="I453" s="65" t="s">
        <v>426</v>
      </c>
      <c r="J453" s="65" t="s">
        <v>835</v>
      </c>
    </row>
    <row r="454" spans="3:10" hidden="1" outlineLevel="3" x14ac:dyDescent="0.25">
      <c r="D454" s="152"/>
      <c r="E454" s="152"/>
      <c r="F454" s="154"/>
      <c r="G454" s="154"/>
      <c r="H454" s="22" t="s">
        <v>746</v>
      </c>
      <c r="I454" s="22" t="s">
        <v>820</v>
      </c>
      <c r="J454" s="22" t="s">
        <v>710</v>
      </c>
    </row>
    <row r="455" spans="3:10" hidden="1" outlineLevel="3" x14ac:dyDescent="0.25">
      <c r="D455" s="24" t="str">
        <f>D515</f>
        <v>WA1</v>
      </c>
      <c r="E455" s="25" t="str">
        <f t="shared" ref="E455:J455" si="30">E515</f>
        <v>Außenwand</v>
      </c>
      <c r="F455" s="23" t="str">
        <f t="shared" si="30"/>
        <v>S</v>
      </c>
      <c r="G455" s="23" t="str">
        <f t="shared" si="30"/>
        <v>90°</v>
      </c>
      <c r="H455" s="23">
        <f t="shared" si="30"/>
        <v>22.26</v>
      </c>
      <c r="I455" s="23">
        <f t="shared" si="30"/>
        <v>0.28000000000000003</v>
      </c>
      <c r="J455" s="49">
        <f t="shared" si="30"/>
        <v>1</v>
      </c>
    </row>
    <row r="456" spans="3:10" hidden="1" outlineLevel="3" x14ac:dyDescent="0.25">
      <c r="D456" s="24" t="str">
        <f t="shared" ref="D456:J458" si="31">D516</f>
        <v>WA1</v>
      </c>
      <c r="E456" s="25" t="str">
        <f t="shared" si="31"/>
        <v>Außenwand</v>
      </c>
      <c r="F456" s="23" t="str">
        <f t="shared" si="31"/>
        <v>N</v>
      </c>
      <c r="G456" s="23" t="str">
        <f t="shared" si="31"/>
        <v>90°</v>
      </c>
      <c r="H456" s="23">
        <f t="shared" si="31"/>
        <v>46.56</v>
      </c>
      <c r="I456" s="23">
        <f t="shared" si="31"/>
        <v>0.28000000000000003</v>
      </c>
      <c r="J456" s="49">
        <f t="shared" si="31"/>
        <v>1</v>
      </c>
    </row>
    <row r="457" spans="3:10" hidden="1" outlineLevel="3" x14ac:dyDescent="0.25">
      <c r="D457" s="24" t="str">
        <f t="shared" si="31"/>
        <v>WA1</v>
      </c>
      <c r="E457" s="25" t="str">
        <f t="shared" si="31"/>
        <v>Außenwand</v>
      </c>
      <c r="F457" s="23" t="str">
        <f t="shared" si="31"/>
        <v>O</v>
      </c>
      <c r="G457" s="23" t="str">
        <f t="shared" si="31"/>
        <v>90°</v>
      </c>
      <c r="H457" s="23">
        <f t="shared" si="31"/>
        <v>51.2</v>
      </c>
      <c r="I457" s="23">
        <f t="shared" si="31"/>
        <v>0.28000000000000003</v>
      </c>
      <c r="J457" s="49">
        <f t="shared" si="31"/>
        <v>1</v>
      </c>
    </row>
    <row r="458" spans="3:10" hidden="1" outlineLevel="3" x14ac:dyDescent="0.25">
      <c r="D458" s="24" t="str">
        <f t="shared" si="31"/>
        <v>WA1</v>
      </c>
      <c r="E458" s="25" t="str">
        <f t="shared" si="31"/>
        <v>Außenwand</v>
      </c>
      <c r="F458" s="23" t="str">
        <f t="shared" si="31"/>
        <v>W</v>
      </c>
      <c r="G458" s="23" t="str">
        <f t="shared" si="31"/>
        <v>90°</v>
      </c>
      <c r="H458" s="23">
        <f t="shared" si="31"/>
        <v>48.33</v>
      </c>
      <c r="I458" s="23">
        <f t="shared" si="31"/>
        <v>0.28000000000000003</v>
      </c>
      <c r="J458" s="49">
        <f t="shared" si="31"/>
        <v>1</v>
      </c>
    </row>
    <row r="459" spans="3:10" hidden="1" outlineLevel="3" x14ac:dyDescent="0.25">
      <c r="D459" s="148" t="s">
        <v>842</v>
      </c>
      <c r="E459" s="150"/>
      <c r="F459" s="22"/>
      <c r="G459" s="22"/>
      <c r="H459" s="49">
        <f>SUM(H455:H458)</f>
        <v>168.35000000000002</v>
      </c>
      <c r="I459" s="22"/>
      <c r="J459" s="22"/>
    </row>
    <row r="460" spans="3:10" s="17" customFormat="1" hidden="1" outlineLevel="3" x14ac:dyDescent="0.25">
      <c r="D460" s="18" t="s">
        <v>843</v>
      </c>
    </row>
    <row r="461" spans="3:10" hidden="1" outlineLevel="3" x14ac:dyDescent="0.25">
      <c r="D461" s="151" t="s">
        <v>832</v>
      </c>
      <c r="E461" s="151" t="s">
        <v>0</v>
      </c>
      <c r="F461" s="153" t="s">
        <v>833</v>
      </c>
      <c r="G461" s="153" t="s">
        <v>834</v>
      </c>
      <c r="H461" s="65" t="s">
        <v>222</v>
      </c>
      <c r="I461" s="65" t="s">
        <v>426</v>
      </c>
      <c r="J461" s="65" t="s">
        <v>835</v>
      </c>
    </row>
    <row r="462" spans="3:10" hidden="1" outlineLevel="3" x14ac:dyDescent="0.25">
      <c r="D462" s="152"/>
      <c r="E462" s="152"/>
      <c r="F462" s="154"/>
      <c r="G462" s="154"/>
      <c r="H462" s="22" t="s">
        <v>746</v>
      </c>
      <c r="I462" s="22" t="s">
        <v>820</v>
      </c>
      <c r="J462" s="22" t="s">
        <v>710</v>
      </c>
    </row>
    <row r="463" spans="3:10" hidden="1" outlineLevel="3" x14ac:dyDescent="0.25">
      <c r="D463" s="24" t="str">
        <f>D521</f>
        <v>DA1</v>
      </c>
      <c r="E463" s="25" t="str">
        <f t="shared" ref="E463:J463" si="32">E521</f>
        <v>Dach</v>
      </c>
      <c r="F463" s="23" t="str">
        <f t="shared" si="32"/>
        <v>S</v>
      </c>
      <c r="G463" s="23" t="str">
        <f t="shared" si="32"/>
        <v>30°</v>
      </c>
      <c r="H463" s="23">
        <f t="shared" si="32"/>
        <v>84.54</v>
      </c>
      <c r="I463" s="49">
        <f t="shared" si="32"/>
        <v>0.2</v>
      </c>
      <c r="J463" s="49">
        <f t="shared" si="32"/>
        <v>1</v>
      </c>
    </row>
    <row r="464" spans="3:10" hidden="1" outlineLevel="3" x14ac:dyDescent="0.25">
      <c r="D464" s="24" t="str">
        <f>D522</f>
        <v>DA1</v>
      </c>
      <c r="E464" s="25" t="str">
        <f t="shared" ref="E464:J464" si="33">E522</f>
        <v>Dach</v>
      </c>
      <c r="F464" s="23" t="str">
        <f t="shared" si="33"/>
        <v>N</v>
      </c>
      <c r="G464" s="23" t="str">
        <f t="shared" si="33"/>
        <v>30°</v>
      </c>
      <c r="H464" s="23">
        <f t="shared" si="33"/>
        <v>66.790000000000006</v>
      </c>
      <c r="I464" s="49">
        <f t="shared" si="33"/>
        <v>0.2</v>
      </c>
      <c r="J464" s="49">
        <f t="shared" si="33"/>
        <v>1</v>
      </c>
    </row>
    <row r="465" spans="4:10" hidden="1" outlineLevel="3" x14ac:dyDescent="0.25">
      <c r="D465" s="24" t="str">
        <f>D525</f>
        <v>WA2</v>
      </c>
      <c r="E465" s="25" t="str">
        <f t="shared" ref="E465:J465" si="34">E525</f>
        <v>Gaubenwand</v>
      </c>
      <c r="F465" s="23" t="str">
        <f t="shared" si="34"/>
        <v>O</v>
      </c>
      <c r="G465" s="23" t="str">
        <f t="shared" si="34"/>
        <v>90°</v>
      </c>
      <c r="H465" s="23">
        <f t="shared" si="34"/>
        <v>2.62</v>
      </c>
      <c r="I465" s="49">
        <f t="shared" si="34"/>
        <v>0.28000000000000003</v>
      </c>
      <c r="J465" s="49">
        <f t="shared" si="34"/>
        <v>1</v>
      </c>
    </row>
    <row r="466" spans="4:10" hidden="1" outlineLevel="3" x14ac:dyDescent="0.25">
      <c r="D466" s="24" t="str">
        <f t="shared" ref="D466:J468" si="35">D526</f>
        <v>WA2</v>
      </c>
      <c r="E466" s="25" t="str">
        <f t="shared" si="35"/>
        <v>Gaubenwand</v>
      </c>
      <c r="F466" s="23" t="str">
        <f t="shared" si="35"/>
        <v>W</v>
      </c>
      <c r="G466" s="23" t="str">
        <f t="shared" si="35"/>
        <v>90°</v>
      </c>
      <c r="H466" s="23">
        <f t="shared" si="35"/>
        <v>2.62</v>
      </c>
      <c r="I466" s="49">
        <f t="shared" si="35"/>
        <v>0.28000000000000003</v>
      </c>
      <c r="J466" s="49">
        <f t="shared" si="35"/>
        <v>1</v>
      </c>
    </row>
    <row r="467" spans="4:10" hidden="1" outlineLevel="3" x14ac:dyDescent="0.25">
      <c r="D467" s="24" t="str">
        <f t="shared" si="35"/>
        <v>WA2</v>
      </c>
      <c r="E467" s="25" t="str">
        <f t="shared" si="35"/>
        <v>Gaubenwand</v>
      </c>
      <c r="F467" s="23" t="str">
        <f t="shared" si="35"/>
        <v>N</v>
      </c>
      <c r="G467" s="23" t="str">
        <f t="shared" si="35"/>
        <v>90°</v>
      </c>
      <c r="H467" s="23">
        <f t="shared" si="35"/>
        <v>1.39</v>
      </c>
      <c r="I467" s="49">
        <f t="shared" si="35"/>
        <v>0.28000000000000003</v>
      </c>
      <c r="J467" s="49">
        <f t="shared" si="35"/>
        <v>1</v>
      </c>
    </row>
    <row r="468" spans="4:10" hidden="1" outlineLevel="3" x14ac:dyDescent="0.25">
      <c r="D468" s="24" t="str">
        <f t="shared" si="35"/>
        <v>DA2</v>
      </c>
      <c r="E468" s="25" t="str">
        <f t="shared" si="35"/>
        <v>Gaubendach</v>
      </c>
      <c r="F468" s="23" t="str">
        <f t="shared" si="35"/>
        <v>N</v>
      </c>
      <c r="G468" s="23" t="str">
        <f t="shared" si="35"/>
        <v>30°</v>
      </c>
      <c r="H468" s="23">
        <f t="shared" si="35"/>
        <v>12.87</v>
      </c>
      <c r="I468" s="49">
        <f t="shared" si="35"/>
        <v>0.2</v>
      </c>
      <c r="J468" s="49">
        <f t="shared" si="35"/>
        <v>1</v>
      </c>
    </row>
    <row r="469" spans="4:10" hidden="1" outlineLevel="3" x14ac:dyDescent="0.25">
      <c r="D469" s="148" t="s">
        <v>842</v>
      </c>
      <c r="E469" s="150"/>
      <c r="F469" s="22"/>
      <c r="G469" s="22"/>
      <c r="H469" s="23">
        <f>SUM(H463:H468)</f>
        <v>170.83</v>
      </c>
      <c r="I469" s="22"/>
      <c r="J469" s="22"/>
    </row>
    <row r="470" spans="4:10" s="17" customFormat="1" hidden="1" outlineLevel="3" x14ac:dyDescent="0.25">
      <c r="D470" s="18" t="s">
        <v>847</v>
      </c>
    </row>
    <row r="471" spans="4:10" s="17" customFormat="1" hidden="1" outlineLevel="3" x14ac:dyDescent="0.25">
      <c r="D471" s="18" t="s">
        <v>848</v>
      </c>
    </row>
    <row r="472" spans="4:10" hidden="1" outlineLevel="3" x14ac:dyDescent="0.25">
      <c r="D472" s="151" t="s">
        <v>832</v>
      </c>
      <c r="E472" s="151" t="s">
        <v>0</v>
      </c>
      <c r="F472" s="153" t="s">
        <v>833</v>
      </c>
      <c r="G472" s="153" t="s">
        <v>834</v>
      </c>
      <c r="H472" s="65" t="s">
        <v>222</v>
      </c>
      <c r="I472" s="65" t="s">
        <v>426</v>
      </c>
      <c r="J472" s="65" t="s">
        <v>835</v>
      </c>
    </row>
    <row r="473" spans="4:10" hidden="1" outlineLevel="3" x14ac:dyDescent="0.25">
      <c r="D473" s="152"/>
      <c r="E473" s="152"/>
      <c r="F473" s="154"/>
      <c r="G473" s="154"/>
      <c r="H473" s="22" t="s">
        <v>746</v>
      </c>
      <c r="I473" s="22" t="s">
        <v>820</v>
      </c>
      <c r="J473" s="22" t="s">
        <v>710</v>
      </c>
    </row>
    <row r="474" spans="4:10" hidden="1" outlineLevel="3" x14ac:dyDescent="0.25">
      <c r="D474" s="24" t="str">
        <f>D519</f>
        <v>BE1</v>
      </c>
      <c r="E474" s="25" t="str">
        <f t="shared" ref="E474:J474" si="36">E519</f>
        <v>Boden an Erdreich</v>
      </c>
      <c r="F474" s="23" t="str">
        <f t="shared" si="36"/>
        <v>H</v>
      </c>
      <c r="G474" s="23" t="str">
        <f t="shared" si="36"/>
        <v>0°</v>
      </c>
      <c r="H474" s="49">
        <f t="shared" si="36"/>
        <v>135</v>
      </c>
      <c r="I474" s="23">
        <f t="shared" si="36"/>
        <v>0.35</v>
      </c>
      <c r="J474" s="49">
        <f t="shared" si="36"/>
        <v>0.6</v>
      </c>
    </row>
    <row r="475" spans="4:10" hidden="1" outlineLevel="3" x14ac:dyDescent="0.25">
      <c r="D475" s="148" t="s">
        <v>842</v>
      </c>
      <c r="E475" s="150"/>
      <c r="F475" s="22"/>
      <c r="G475" s="22"/>
      <c r="H475" s="49">
        <f>SUM(H474:H474)</f>
        <v>135</v>
      </c>
      <c r="I475" s="22"/>
      <c r="J475" s="22"/>
    </row>
    <row r="476" spans="4:10" s="17" customFormat="1" hidden="1" outlineLevel="3" x14ac:dyDescent="0.25">
      <c r="D476" s="18" t="s">
        <v>850</v>
      </c>
    </row>
    <row r="477" spans="4:10" s="17" customFormat="1" hidden="1" outlineLevel="3" x14ac:dyDescent="0.25">
      <c r="D477" s="18" t="s">
        <v>851</v>
      </c>
    </row>
    <row r="478" spans="4:10" s="17" customFormat="1" hidden="1" outlineLevel="3" x14ac:dyDescent="0.25">
      <c r="D478" s="18" t="s">
        <v>853</v>
      </c>
    </row>
    <row r="479" spans="4:10" hidden="1" outlineLevel="3" x14ac:dyDescent="0.25">
      <c r="D479" s="151" t="s">
        <v>832</v>
      </c>
      <c r="E479" s="151" t="s">
        <v>0</v>
      </c>
      <c r="F479" s="153" t="s">
        <v>833</v>
      </c>
      <c r="G479" s="153" t="s">
        <v>834</v>
      </c>
      <c r="H479" s="65" t="s">
        <v>222</v>
      </c>
      <c r="I479" s="65" t="s">
        <v>426</v>
      </c>
      <c r="J479" s="65" t="s">
        <v>835</v>
      </c>
    </row>
    <row r="480" spans="4:10" hidden="1" outlineLevel="3" x14ac:dyDescent="0.25">
      <c r="D480" s="152"/>
      <c r="E480" s="152"/>
      <c r="F480" s="154"/>
      <c r="G480" s="154"/>
      <c r="H480" s="22" t="s">
        <v>746</v>
      </c>
      <c r="I480" s="22" t="s">
        <v>820</v>
      </c>
      <c r="J480" s="22" t="s">
        <v>710</v>
      </c>
    </row>
    <row r="481" spans="3:13" hidden="1" outlineLevel="3" x14ac:dyDescent="0.25">
      <c r="D481" s="24" t="str">
        <f>D523</f>
        <v>WU1</v>
      </c>
      <c r="E481" s="25" t="str">
        <f t="shared" ref="E481:J481" si="37">E523</f>
        <v>Wintergartenwand</v>
      </c>
      <c r="F481" s="23" t="str">
        <f t="shared" si="37"/>
        <v>S</v>
      </c>
      <c r="G481" s="23" t="str">
        <f t="shared" si="37"/>
        <v>90°</v>
      </c>
      <c r="H481" s="23">
        <f t="shared" si="37"/>
        <v>7.82</v>
      </c>
      <c r="I481" s="23">
        <f t="shared" si="37"/>
        <v>0.35</v>
      </c>
      <c r="J481" s="49">
        <f t="shared" si="37"/>
        <v>0.5</v>
      </c>
    </row>
    <row r="482" spans="3:13" hidden="1" outlineLevel="3" x14ac:dyDescent="0.25">
      <c r="D482" s="24" t="str">
        <f>D524</f>
        <v>FU1</v>
      </c>
      <c r="E482" s="25" t="str">
        <f t="shared" ref="E482:J482" si="38">E524</f>
        <v>Wintergartenfenster</v>
      </c>
      <c r="F482" s="23" t="str">
        <f t="shared" si="38"/>
        <v>S</v>
      </c>
      <c r="G482" s="23" t="str">
        <f t="shared" si="38"/>
        <v>90°</v>
      </c>
      <c r="H482" s="23">
        <f t="shared" si="38"/>
        <v>17.68</v>
      </c>
      <c r="I482" s="23">
        <f t="shared" si="38"/>
        <v>1.3</v>
      </c>
      <c r="J482" s="49">
        <f t="shared" si="38"/>
        <v>0.5</v>
      </c>
    </row>
    <row r="483" spans="3:13" hidden="1" outlineLevel="3" x14ac:dyDescent="0.25">
      <c r="D483" s="148" t="s">
        <v>842</v>
      </c>
      <c r="E483" s="150"/>
      <c r="F483" s="22"/>
      <c r="G483" s="22"/>
      <c r="H483" s="49">
        <f>SUM(H481:H482)</f>
        <v>25.5</v>
      </c>
      <c r="I483" s="22"/>
      <c r="J483" s="22"/>
    </row>
    <row r="484" spans="3:13" s="17" customFormat="1" ht="15.75" hidden="1" customHeight="1" outlineLevel="3" x14ac:dyDescent="0.25">
      <c r="D484" s="18" t="s">
        <v>854</v>
      </c>
    </row>
    <row r="485" spans="3:13" s="17" customFormat="1" hidden="1" outlineLevel="3" x14ac:dyDescent="0.25">
      <c r="D485" s="18" t="s">
        <v>855</v>
      </c>
    </row>
    <row r="486" spans="3:13" hidden="1" outlineLevel="3" x14ac:dyDescent="0.25">
      <c r="D486" s="151" t="s">
        <v>832</v>
      </c>
      <c r="E486" s="151" t="s">
        <v>0</v>
      </c>
      <c r="F486" s="153" t="s">
        <v>833</v>
      </c>
      <c r="G486" s="153" t="s">
        <v>834</v>
      </c>
      <c r="H486" s="65" t="s">
        <v>222</v>
      </c>
      <c r="I486" s="65" t="s">
        <v>426</v>
      </c>
      <c r="J486" s="65" t="s">
        <v>835</v>
      </c>
    </row>
    <row r="487" spans="3:13" hidden="1" outlineLevel="3" x14ac:dyDescent="0.25">
      <c r="D487" s="152"/>
      <c r="E487" s="152"/>
      <c r="F487" s="154"/>
      <c r="G487" s="154"/>
      <c r="H487" s="22" t="s">
        <v>746</v>
      </c>
      <c r="I487" s="22" t="s">
        <v>820</v>
      </c>
      <c r="J487" s="22" t="s">
        <v>710</v>
      </c>
    </row>
    <row r="488" spans="3:13" hidden="1" outlineLevel="3" x14ac:dyDescent="0.25">
      <c r="D488" s="24" t="str">
        <f>D520</f>
        <v>TA1</v>
      </c>
      <c r="E488" s="25" t="str">
        <f t="shared" ref="E488:J488" si="39">E520</f>
        <v>Hautür</v>
      </c>
      <c r="F488" s="23" t="str">
        <f t="shared" si="39"/>
        <v>N</v>
      </c>
      <c r="G488" s="23" t="str">
        <f t="shared" si="39"/>
        <v>90°</v>
      </c>
      <c r="H488" s="23">
        <f t="shared" si="39"/>
        <v>2.2799999999999998</v>
      </c>
      <c r="I488" s="23">
        <f t="shared" si="39"/>
        <v>1.8</v>
      </c>
      <c r="J488" s="49">
        <f t="shared" si="39"/>
        <v>1</v>
      </c>
    </row>
    <row r="489" spans="3:13" hidden="1" outlineLevel="3" x14ac:dyDescent="0.25">
      <c r="D489" s="148" t="s">
        <v>842</v>
      </c>
      <c r="E489" s="150"/>
      <c r="F489" s="22"/>
      <c r="G489" s="22"/>
      <c r="H489" s="23">
        <f>SUM(H488:H488)</f>
        <v>2.2799999999999998</v>
      </c>
      <c r="I489" s="22"/>
      <c r="J489" s="22"/>
    </row>
    <row r="490" spans="3:13" s="4" customFormat="1" ht="15.75" outlineLevel="2" collapsed="1" x14ac:dyDescent="0.25">
      <c r="C490" s="20" t="s">
        <v>856</v>
      </c>
    </row>
    <row r="491" spans="3:13" s="17" customFormat="1" hidden="1" outlineLevel="3" x14ac:dyDescent="0.25">
      <c r="D491" s="18" t="s">
        <v>857</v>
      </c>
    </row>
    <row r="492" spans="3:13" ht="69.75" hidden="1" outlineLevel="3" x14ac:dyDescent="0.25">
      <c r="D492" s="151" t="s">
        <v>832</v>
      </c>
      <c r="E492" s="151" t="s">
        <v>0</v>
      </c>
      <c r="F492" s="153" t="s">
        <v>833</v>
      </c>
      <c r="G492" s="153" t="s">
        <v>834</v>
      </c>
      <c r="H492" s="65" t="s">
        <v>222</v>
      </c>
      <c r="I492" s="65" t="s">
        <v>858</v>
      </c>
      <c r="J492" s="65" t="s">
        <v>859</v>
      </c>
      <c r="K492" s="65" t="s">
        <v>860</v>
      </c>
      <c r="L492" s="65" t="s">
        <v>861</v>
      </c>
      <c r="M492" s="65" t="s">
        <v>862</v>
      </c>
    </row>
    <row r="493" spans="3:13" hidden="1" outlineLevel="3" x14ac:dyDescent="0.25">
      <c r="D493" s="152"/>
      <c r="E493" s="152"/>
      <c r="F493" s="154"/>
      <c r="G493" s="154"/>
      <c r="H493" s="22" t="s">
        <v>746</v>
      </c>
      <c r="I493" s="22" t="s">
        <v>820</v>
      </c>
      <c r="J493" s="22" t="s">
        <v>710</v>
      </c>
      <c r="K493" s="22" t="s">
        <v>710</v>
      </c>
      <c r="L493" s="22" t="s">
        <v>710</v>
      </c>
      <c r="M493" s="22" t="s">
        <v>710</v>
      </c>
    </row>
    <row r="494" spans="3:13" hidden="1" outlineLevel="3" x14ac:dyDescent="0.25">
      <c r="D494" s="24" t="str">
        <f>D532</f>
        <v>FA1</v>
      </c>
      <c r="E494" s="25" t="str">
        <f t="shared" ref="E494:K494" si="40">E532</f>
        <v>Wandfenster</v>
      </c>
      <c r="F494" s="23" t="str">
        <f t="shared" si="40"/>
        <v>S</v>
      </c>
      <c r="G494" s="23" t="str">
        <f t="shared" si="40"/>
        <v>90°</v>
      </c>
      <c r="H494" s="23">
        <f t="shared" si="40"/>
        <v>2.87</v>
      </c>
      <c r="I494" s="49">
        <f t="shared" si="40"/>
        <v>1.3</v>
      </c>
      <c r="J494" s="23">
        <f t="shared" si="40"/>
        <v>0.78</v>
      </c>
      <c r="K494" s="23">
        <f t="shared" si="40"/>
        <v>0.6</v>
      </c>
      <c r="L494" s="49">
        <f t="shared" ref="L494" si="41">L532</f>
        <v>0.6</v>
      </c>
      <c r="M494" s="49">
        <f>N532</f>
        <v>0.6</v>
      </c>
    </row>
    <row r="495" spans="3:13" hidden="1" outlineLevel="3" x14ac:dyDescent="0.25">
      <c r="D495" s="24" t="str">
        <f t="shared" ref="D495:K495" si="42">D533</f>
        <v>FA1</v>
      </c>
      <c r="E495" s="25" t="str">
        <f t="shared" si="42"/>
        <v>Wandfenster</v>
      </c>
      <c r="F495" s="23" t="str">
        <f t="shared" si="42"/>
        <v>N</v>
      </c>
      <c r="G495" s="23" t="str">
        <f t="shared" si="42"/>
        <v>90°</v>
      </c>
      <c r="H495" s="23">
        <f t="shared" si="42"/>
        <v>10.61</v>
      </c>
      <c r="I495" s="49">
        <f t="shared" si="42"/>
        <v>1.3</v>
      </c>
      <c r="J495" s="23">
        <f t="shared" si="42"/>
        <v>0.78</v>
      </c>
      <c r="K495" s="23">
        <f t="shared" si="42"/>
        <v>0.6</v>
      </c>
      <c r="L495" s="49">
        <f t="shared" ref="L495" si="43">L533</f>
        <v>0.6</v>
      </c>
      <c r="M495" s="49">
        <f t="shared" ref="M495:M497" si="44">N533</f>
        <v>0.6</v>
      </c>
    </row>
    <row r="496" spans="3:13" hidden="1" outlineLevel="3" x14ac:dyDescent="0.25">
      <c r="D496" s="24" t="str">
        <f t="shared" ref="D496:K496" si="45">D534</f>
        <v>FA1</v>
      </c>
      <c r="E496" s="25" t="str">
        <f t="shared" si="45"/>
        <v>Wandfenster</v>
      </c>
      <c r="F496" s="23" t="str">
        <f t="shared" si="45"/>
        <v>O</v>
      </c>
      <c r="G496" s="23" t="str">
        <f t="shared" si="45"/>
        <v>90°</v>
      </c>
      <c r="H496" s="23">
        <f t="shared" si="45"/>
        <v>5.15</v>
      </c>
      <c r="I496" s="49">
        <f t="shared" si="45"/>
        <v>1.3</v>
      </c>
      <c r="J496" s="23">
        <f t="shared" si="45"/>
        <v>0.78</v>
      </c>
      <c r="K496" s="23">
        <f t="shared" si="45"/>
        <v>0.6</v>
      </c>
      <c r="L496" s="49">
        <f t="shared" ref="L496" si="46">L534</f>
        <v>0.6</v>
      </c>
      <c r="M496" s="49">
        <f t="shared" si="44"/>
        <v>0.6</v>
      </c>
    </row>
    <row r="497" spans="3:14" hidden="1" outlineLevel="3" x14ac:dyDescent="0.25">
      <c r="D497" s="24" t="str">
        <f t="shared" ref="D497:K497" si="47">D535</f>
        <v>FA1</v>
      </c>
      <c r="E497" s="25" t="str">
        <f t="shared" si="47"/>
        <v>Wandfenster</v>
      </c>
      <c r="F497" s="23" t="str">
        <f t="shared" si="47"/>
        <v>W</v>
      </c>
      <c r="G497" s="23" t="str">
        <f t="shared" si="47"/>
        <v>90°</v>
      </c>
      <c r="H497" s="23">
        <f t="shared" si="47"/>
        <v>8.02</v>
      </c>
      <c r="I497" s="49">
        <f t="shared" si="47"/>
        <v>1</v>
      </c>
      <c r="J497" s="23">
        <f t="shared" si="47"/>
        <v>0.78</v>
      </c>
      <c r="K497" s="23">
        <f t="shared" si="47"/>
        <v>0.6</v>
      </c>
      <c r="L497" s="49">
        <f t="shared" ref="L497" si="48">L535</f>
        <v>0.6</v>
      </c>
      <c r="M497" s="49">
        <f t="shared" si="44"/>
        <v>0.6</v>
      </c>
    </row>
    <row r="498" spans="3:14" hidden="1" outlineLevel="3" x14ac:dyDescent="0.25">
      <c r="D498" s="148" t="s">
        <v>842</v>
      </c>
      <c r="E498" s="150"/>
      <c r="F498" s="22"/>
      <c r="G498" s="22"/>
      <c r="H498" s="23">
        <f>SUM(H494:H497)</f>
        <v>26.650000000000002</v>
      </c>
      <c r="I498" s="22"/>
      <c r="J498" s="22"/>
      <c r="K498" s="22"/>
      <c r="L498" s="22"/>
      <c r="M498" s="22"/>
    </row>
    <row r="499" spans="3:14" s="17" customFormat="1" hidden="1" outlineLevel="3" x14ac:dyDescent="0.25">
      <c r="D499" s="18" t="s">
        <v>864</v>
      </c>
    </row>
    <row r="500" spans="3:14" ht="69.75" hidden="1" outlineLevel="3" x14ac:dyDescent="0.25">
      <c r="D500" s="151" t="s">
        <v>832</v>
      </c>
      <c r="E500" s="151" t="s">
        <v>0</v>
      </c>
      <c r="F500" s="153" t="s">
        <v>833</v>
      </c>
      <c r="G500" s="153" t="s">
        <v>834</v>
      </c>
      <c r="H500" s="65" t="s">
        <v>222</v>
      </c>
      <c r="I500" s="65" t="s">
        <v>867</v>
      </c>
      <c r="J500" s="65" t="s">
        <v>859</v>
      </c>
      <c r="K500" s="65" t="s">
        <v>860</v>
      </c>
      <c r="L500" s="65" t="s">
        <v>861</v>
      </c>
      <c r="M500" s="65" t="s">
        <v>862</v>
      </c>
    </row>
    <row r="501" spans="3:14" hidden="1" outlineLevel="3" x14ac:dyDescent="0.25">
      <c r="D501" s="152"/>
      <c r="E501" s="152"/>
      <c r="F501" s="154"/>
      <c r="G501" s="154"/>
      <c r="H501" s="22" t="s">
        <v>746</v>
      </c>
      <c r="I501" s="22" t="s">
        <v>820</v>
      </c>
      <c r="J501" s="22" t="s">
        <v>710</v>
      </c>
      <c r="K501" s="22" t="s">
        <v>710</v>
      </c>
      <c r="L501" s="22" t="s">
        <v>710</v>
      </c>
      <c r="M501" s="22" t="s">
        <v>710</v>
      </c>
    </row>
    <row r="502" spans="3:14" hidden="1" outlineLevel="3" x14ac:dyDescent="0.25">
      <c r="D502" s="24" t="str">
        <f>D536</f>
        <v>FD1</v>
      </c>
      <c r="E502" s="25" t="str">
        <f t="shared" ref="E502:L502" si="49">E536</f>
        <v>Dachflächenfenster</v>
      </c>
      <c r="F502" s="23" t="str">
        <f t="shared" si="49"/>
        <v>N</v>
      </c>
      <c r="G502" s="23" t="str">
        <f t="shared" si="49"/>
        <v>30°</v>
      </c>
      <c r="H502" s="23">
        <f t="shared" si="49"/>
        <v>2.4700000000000002</v>
      </c>
      <c r="I502" s="49">
        <f t="shared" si="49"/>
        <v>1.4</v>
      </c>
      <c r="J502" s="23">
        <f t="shared" si="49"/>
        <v>0.7</v>
      </c>
      <c r="K502" s="23">
        <f t="shared" si="49"/>
        <v>0.6</v>
      </c>
      <c r="L502" s="49">
        <f t="shared" si="49"/>
        <v>0.6</v>
      </c>
      <c r="M502" s="49">
        <f>N536</f>
        <v>0.6</v>
      </c>
    </row>
    <row r="503" spans="3:14" hidden="1" outlineLevel="3" x14ac:dyDescent="0.25">
      <c r="D503" s="148" t="s">
        <v>842</v>
      </c>
      <c r="E503" s="150"/>
      <c r="F503" s="22"/>
      <c r="G503" s="22"/>
      <c r="H503" s="23">
        <f>SUM(H502)</f>
        <v>2.4700000000000002</v>
      </c>
      <c r="I503" s="22"/>
      <c r="J503" s="22"/>
      <c r="K503" s="22"/>
      <c r="L503" s="22"/>
      <c r="M503" s="22"/>
    </row>
    <row r="504" spans="3:14" s="17" customFormat="1" hidden="1" outlineLevel="3" x14ac:dyDescent="0.25">
      <c r="D504" s="18" t="s">
        <v>865</v>
      </c>
    </row>
    <row r="505" spans="3:14" s="17" customFormat="1" hidden="1" outlineLevel="3" x14ac:dyDescent="0.25">
      <c r="D505" s="18" t="s">
        <v>866</v>
      </c>
    </row>
    <row r="506" spans="3:14" s="17" customFormat="1" hidden="1" outlineLevel="3" x14ac:dyDescent="0.25">
      <c r="D506" s="18" t="s">
        <v>868</v>
      </c>
    </row>
    <row r="507" spans="3:14" s="17" customFormat="1" hidden="1" outlineLevel="3" x14ac:dyDescent="0.25">
      <c r="D507" s="18" t="s">
        <v>869</v>
      </c>
    </row>
    <row r="508" spans="3:14" s="4" customFormat="1" ht="15.75" outlineLevel="2" collapsed="1" x14ac:dyDescent="0.25">
      <c r="C508" s="20" t="s">
        <v>870</v>
      </c>
    </row>
    <row r="509" spans="3:14" s="17" customFormat="1" hidden="1" outlineLevel="3" x14ac:dyDescent="0.25">
      <c r="D509" s="18" t="s">
        <v>871</v>
      </c>
    </row>
    <row r="510" spans="3:14" ht="15" hidden="1" customHeight="1" outlineLevel="3" x14ac:dyDescent="0.25">
      <c r="D510" s="151" t="s">
        <v>508</v>
      </c>
      <c r="E510" s="261" t="str">
        <f>E92</f>
        <v>Wohnen</v>
      </c>
      <c r="F510" s="262"/>
      <c r="G510" s="263"/>
      <c r="H510" s="148" t="s">
        <v>872</v>
      </c>
      <c r="I510" s="149"/>
      <c r="J510" s="149"/>
      <c r="K510" s="149"/>
      <c r="L510" s="150"/>
      <c r="M510" s="267" t="s">
        <v>426</v>
      </c>
      <c r="N510" s="268"/>
    </row>
    <row r="511" spans="3:14" ht="15" hidden="1" customHeight="1" outlineLevel="3" x14ac:dyDescent="0.25">
      <c r="D511" s="152"/>
      <c r="E511" s="264"/>
      <c r="F511" s="265"/>
      <c r="G511" s="266"/>
      <c r="H511" s="148" t="s">
        <v>873</v>
      </c>
      <c r="I511" s="149"/>
      <c r="J511" s="149"/>
      <c r="K511" s="149"/>
      <c r="L511" s="150"/>
      <c r="M511" s="267" t="s">
        <v>428</v>
      </c>
      <c r="N511" s="268"/>
    </row>
    <row r="512" spans="3:14" hidden="1" outlineLevel="3" x14ac:dyDescent="0.25">
      <c r="D512" s="148" t="s">
        <v>806</v>
      </c>
      <c r="E512" s="149"/>
      <c r="F512" s="149"/>
      <c r="G512" s="149"/>
      <c r="H512" s="149"/>
      <c r="I512" s="149"/>
      <c r="J512" s="149"/>
      <c r="K512" s="149"/>
      <c r="L512" s="149"/>
      <c r="M512" s="149"/>
      <c r="N512" s="150"/>
    </row>
    <row r="513" spans="4:14" hidden="1" outlineLevel="3" x14ac:dyDescent="0.25">
      <c r="D513" s="151" t="s">
        <v>832</v>
      </c>
      <c r="E513" s="151" t="s">
        <v>0</v>
      </c>
      <c r="F513" s="153" t="s">
        <v>833</v>
      </c>
      <c r="G513" s="153" t="s">
        <v>834</v>
      </c>
      <c r="H513" s="22" t="s">
        <v>222</v>
      </c>
      <c r="I513" s="22" t="s">
        <v>426</v>
      </c>
      <c r="J513" s="155" t="s">
        <v>835</v>
      </c>
      <c r="K513" s="260"/>
      <c r="L513" s="260"/>
      <c r="M513" s="260"/>
      <c r="N513" s="156"/>
    </row>
    <row r="514" spans="4:14" hidden="1" outlineLevel="3" x14ac:dyDescent="0.25">
      <c r="D514" s="152"/>
      <c r="E514" s="152"/>
      <c r="F514" s="154"/>
      <c r="G514" s="154"/>
      <c r="H514" s="22" t="s">
        <v>746</v>
      </c>
      <c r="I514" s="22" t="s">
        <v>820</v>
      </c>
      <c r="J514" s="155" t="s">
        <v>710</v>
      </c>
      <c r="K514" s="260"/>
      <c r="L514" s="260"/>
      <c r="M514" s="260"/>
      <c r="N514" s="156"/>
    </row>
    <row r="515" spans="4:14" hidden="1" outlineLevel="3" x14ac:dyDescent="0.25">
      <c r="D515" s="24" t="s">
        <v>836</v>
      </c>
      <c r="E515" s="25" t="s">
        <v>837</v>
      </c>
      <c r="F515" s="23" t="s">
        <v>515</v>
      </c>
      <c r="G515" s="23" t="s">
        <v>839</v>
      </c>
      <c r="H515" s="49">
        <f>GEB_Erg_Norm_HT!B8</f>
        <v>22.26</v>
      </c>
      <c r="I515" s="49">
        <f>GEB_Erg_Norm_HT!C8</f>
        <v>0.28000000000000003</v>
      </c>
      <c r="J515" s="145">
        <f>GEB_Erg_Norm_HT!D8</f>
        <v>1</v>
      </c>
      <c r="K515" s="146"/>
      <c r="L515" s="146"/>
      <c r="M515" s="146"/>
      <c r="N515" s="147"/>
    </row>
    <row r="516" spans="4:14" hidden="1" outlineLevel="3" x14ac:dyDescent="0.25">
      <c r="D516" s="24" t="s">
        <v>836</v>
      </c>
      <c r="E516" s="25" t="s">
        <v>837</v>
      </c>
      <c r="F516" s="23" t="s">
        <v>838</v>
      </c>
      <c r="G516" s="23" t="s">
        <v>839</v>
      </c>
      <c r="H516" s="23">
        <f>GEB_Erg_Norm_HT!B14</f>
        <v>46.56</v>
      </c>
      <c r="I516" s="23">
        <f>GEB_Erg_Norm_HT!C14</f>
        <v>0.28000000000000003</v>
      </c>
      <c r="J516" s="145">
        <f>GEB_Erg_Norm_HT!D14</f>
        <v>1</v>
      </c>
      <c r="K516" s="146"/>
      <c r="L516" s="146"/>
      <c r="M516" s="146"/>
      <c r="N516" s="147"/>
    </row>
    <row r="517" spans="4:14" hidden="1" outlineLevel="3" x14ac:dyDescent="0.25">
      <c r="D517" s="24" t="s">
        <v>836</v>
      </c>
      <c r="E517" s="25" t="s">
        <v>837</v>
      </c>
      <c r="F517" s="23" t="s">
        <v>840</v>
      </c>
      <c r="G517" s="23" t="s">
        <v>839</v>
      </c>
      <c r="H517" s="23">
        <f>GEB_Erg_Norm_HT!B19</f>
        <v>51.2</v>
      </c>
      <c r="I517" s="23">
        <f>GEB_Erg_Norm_HT!C19</f>
        <v>0.28000000000000003</v>
      </c>
      <c r="J517" s="145">
        <f>GEB_Erg_Norm_HT!D19</f>
        <v>1</v>
      </c>
      <c r="K517" s="146"/>
      <c r="L517" s="146"/>
      <c r="M517" s="146"/>
      <c r="N517" s="147"/>
    </row>
    <row r="518" spans="4:14" hidden="1" outlineLevel="3" x14ac:dyDescent="0.25">
      <c r="D518" s="24" t="s">
        <v>836</v>
      </c>
      <c r="E518" s="25" t="s">
        <v>837</v>
      </c>
      <c r="F518" s="23" t="s">
        <v>841</v>
      </c>
      <c r="G518" s="23" t="s">
        <v>839</v>
      </c>
      <c r="H518" s="49">
        <f>GEB_Erg_Norm_HT!B23</f>
        <v>48.33</v>
      </c>
      <c r="I518" s="49">
        <f>GEB_Erg_Norm_HT!C23</f>
        <v>0.28000000000000003</v>
      </c>
      <c r="J518" s="145">
        <f>GEB_Erg_Norm_HT!D23</f>
        <v>1</v>
      </c>
      <c r="K518" s="146"/>
      <c r="L518" s="146"/>
      <c r="M518" s="146"/>
      <c r="N518" s="147"/>
    </row>
    <row r="519" spans="4:14" hidden="1" outlineLevel="3" x14ac:dyDescent="0.25">
      <c r="D519" s="24" t="s">
        <v>849</v>
      </c>
      <c r="E519" s="25" t="s">
        <v>874</v>
      </c>
      <c r="F519" s="23" t="s">
        <v>256</v>
      </c>
      <c r="G519" s="23" t="s">
        <v>846</v>
      </c>
      <c r="H519" s="49">
        <f>GEB_Erg_Norm_HT!B21</f>
        <v>135</v>
      </c>
      <c r="I519" s="23">
        <f>GEB_Erg_Norm_HT!C21</f>
        <v>0.35</v>
      </c>
      <c r="J519" s="145">
        <f>GEB_Erg_Norm_HT!D21</f>
        <v>0.6</v>
      </c>
      <c r="K519" s="146"/>
      <c r="L519" s="146"/>
      <c r="M519" s="146"/>
      <c r="N519" s="147"/>
    </row>
    <row r="520" spans="4:14" hidden="1" outlineLevel="3" x14ac:dyDescent="0.25">
      <c r="D520" s="24" t="s">
        <v>1253</v>
      </c>
      <c r="E520" s="25" t="s">
        <v>1254</v>
      </c>
      <c r="F520" s="23" t="s">
        <v>838</v>
      </c>
      <c r="G520" s="23" t="s">
        <v>839</v>
      </c>
      <c r="H520" s="23">
        <f>GEB_Erg_Norm_HT!B22</f>
        <v>2.2799999999999998</v>
      </c>
      <c r="I520" s="49">
        <f>GEB_Erg_Norm_HT!C22</f>
        <v>1.8</v>
      </c>
      <c r="J520" s="145">
        <f>GEB_Erg_Norm_HT!D22</f>
        <v>1</v>
      </c>
      <c r="K520" s="146"/>
      <c r="L520" s="146"/>
      <c r="M520" s="146"/>
      <c r="N520" s="147"/>
    </row>
    <row r="521" spans="4:14" hidden="1" outlineLevel="3" x14ac:dyDescent="0.25">
      <c r="D521" s="24" t="s">
        <v>844</v>
      </c>
      <c r="E521" s="25" t="s">
        <v>845</v>
      </c>
      <c r="F521" s="23" t="s">
        <v>515</v>
      </c>
      <c r="G521" s="23" t="s">
        <v>1255</v>
      </c>
      <c r="H521" s="23">
        <f>GEB_Erg_Norm_HT!B5</f>
        <v>84.54</v>
      </c>
      <c r="I521" s="49">
        <f>GEB_Erg_Norm_HT!C5</f>
        <v>0.2</v>
      </c>
      <c r="J521" s="145">
        <f>GEB_Erg_Norm_HT!D5</f>
        <v>1</v>
      </c>
      <c r="K521" s="146"/>
      <c r="L521" s="146"/>
      <c r="M521" s="146"/>
      <c r="N521" s="147"/>
    </row>
    <row r="522" spans="4:14" hidden="1" outlineLevel="3" x14ac:dyDescent="0.25">
      <c r="D522" s="24" t="s">
        <v>844</v>
      </c>
      <c r="E522" s="25" t="s">
        <v>845</v>
      </c>
      <c r="F522" s="23" t="s">
        <v>838</v>
      </c>
      <c r="G522" s="23" t="s">
        <v>1255</v>
      </c>
      <c r="H522" s="23">
        <f>GEB_Erg_Norm_HT!B6</f>
        <v>66.790000000000006</v>
      </c>
      <c r="I522" s="49">
        <f>GEB_Erg_Norm_HT!C6</f>
        <v>0.2</v>
      </c>
      <c r="J522" s="145">
        <f>GEB_Erg_Norm_HT!D6</f>
        <v>1</v>
      </c>
      <c r="K522" s="146"/>
      <c r="L522" s="146"/>
      <c r="M522" s="146"/>
      <c r="N522" s="147"/>
    </row>
    <row r="523" spans="4:14" hidden="1" outlineLevel="3" x14ac:dyDescent="0.25">
      <c r="D523" s="24" t="s">
        <v>852</v>
      </c>
      <c r="E523" s="25" t="s">
        <v>1260</v>
      </c>
      <c r="F523" s="23" t="s">
        <v>515</v>
      </c>
      <c r="G523" s="23" t="s">
        <v>839</v>
      </c>
      <c r="H523" s="23">
        <f>GEB_Erg_Norm_HT!B16</f>
        <v>7.82</v>
      </c>
      <c r="I523" s="23">
        <f>GEB_Erg_Norm_HT!C16</f>
        <v>0.35</v>
      </c>
      <c r="J523" s="145">
        <f>GEB_Erg_Norm_HT!D16</f>
        <v>0.5</v>
      </c>
      <c r="K523" s="146"/>
      <c r="L523" s="146"/>
      <c r="M523" s="146"/>
      <c r="N523" s="147"/>
    </row>
    <row r="524" spans="4:14" hidden="1" outlineLevel="3" x14ac:dyDescent="0.25">
      <c r="D524" s="24" t="s">
        <v>1258</v>
      </c>
      <c r="E524" s="25" t="s">
        <v>1259</v>
      </c>
      <c r="F524" s="23" t="s">
        <v>515</v>
      </c>
      <c r="G524" s="23" t="s">
        <v>839</v>
      </c>
      <c r="H524" s="23">
        <f>GEB_Erg_Norm_HT!B17</f>
        <v>17.68</v>
      </c>
      <c r="I524" s="49">
        <f>GEB_Erg_Norm_HT!C17</f>
        <v>1.3</v>
      </c>
      <c r="J524" s="145">
        <f>GEB_Erg_Norm_HT!D17</f>
        <v>0.5</v>
      </c>
      <c r="K524" s="146"/>
      <c r="L524" s="146"/>
      <c r="M524" s="146"/>
      <c r="N524" s="147"/>
    </row>
    <row r="525" spans="4:14" hidden="1" outlineLevel="3" x14ac:dyDescent="0.25">
      <c r="D525" s="24" t="s">
        <v>1261</v>
      </c>
      <c r="E525" s="25" t="s">
        <v>1263</v>
      </c>
      <c r="F525" s="23" t="s">
        <v>840</v>
      </c>
      <c r="G525" s="23" t="s">
        <v>839</v>
      </c>
      <c r="H525" s="23">
        <f>GEB_Erg_Norm_HT!B10</f>
        <v>2.62</v>
      </c>
      <c r="I525" s="23">
        <f>GEB_Erg_Norm_HT!C10</f>
        <v>0.28000000000000003</v>
      </c>
      <c r="J525" s="145">
        <f>GEB_Erg_Norm_HT!D10</f>
        <v>1</v>
      </c>
      <c r="K525" s="146"/>
      <c r="L525" s="146"/>
      <c r="M525" s="146"/>
      <c r="N525" s="147"/>
    </row>
    <row r="526" spans="4:14" hidden="1" outlineLevel="3" x14ac:dyDescent="0.25">
      <c r="D526" s="24" t="s">
        <v>1261</v>
      </c>
      <c r="E526" s="25" t="s">
        <v>1263</v>
      </c>
      <c r="F526" s="23" t="s">
        <v>841</v>
      </c>
      <c r="G526" s="23" t="s">
        <v>839</v>
      </c>
      <c r="H526" s="23">
        <f>GEB_Erg_Norm_HT!B11</f>
        <v>2.62</v>
      </c>
      <c r="I526" s="23">
        <f>GEB_Erg_Norm_HT!C11</f>
        <v>0.28000000000000003</v>
      </c>
      <c r="J526" s="145">
        <f>GEB_Erg_Norm_HT!D11</f>
        <v>1</v>
      </c>
      <c r="K526" s="146"/>
      <c r="L526" s="146"/>
      <c r="M526" s="146"/>
      <c r="N526" s="147"/>
    </row>
    <row r="527" spans="4:14" hidden="1" outlineLevel="3" x14ac:dyDescent="0.25">
      <c r="D527" s="24" t="s">
        <v>1261</v>
      </c>
      <c r="E527" s="25" t="s">
        <v>1263</v>
      </c>
      <c r="F527" s="23" t="s">
        <v>838</v>
      </c>
      <c r="G527" s="23" t="s">
        <v>839</v>
      </c>
      <c r="H527" s="23">
        <f>GEB_Erg_Norm_HT!B12</f>
        <v>1.39</v>
      </c>
      <c r="I527" s="23">
        <f>GEB_Erg_Norm_HT!C12</f>
        <v>0.28000000000000003</v>
      </c>
      <c r="J527" s="145">
        <f>GEB_Erg_Norm_HT!D12</f>
        <v>1</v>
      </c>
      <c r="K527" s="146"/>
      <c r="L527" s="146"/>
      <c r="M527" s="146"/>
      <c r="N527" s="147"/>
    </row>
    <row r="528" spans="4:14" hidden="1" outlineLevel="3" x14ac:dyDescent="0.25">
      <c r="D528" s="24" t="s">
        <v>1262</v>
      </c>
      <c r="E528" s="25" t="s">
        <v>1264</v>
      </c>
      <c r="F528" s="23" t="s">
        <v>838</v>
      </c>
      <c r="G528" s="23" t="s">
        <v>1255</v>
      </c>
      <c r="H528" s="23">
        <f>GEB_Erg_Norm_HT!B18</f>
        <v>12.87</v>
      </c>
      <c r="I528" s="49">
        <f>GEB_Erg_Norm_HT!C18</f>
        <v>0.2</v>
      </c>
      <c r="J528" s="145">
        <f>GEB_Erg_Norm_HT!D18</f>
        <v>1</v>
      </c>
      <c r="K528" s="146"/>
      <c r="L528" s="146"/>
      <c r="M528" s="146"/>
      <c r="N528" s="147"/>
    </row>
    <row r="529" spans="2:14" hidden="1" outlineLevel="3" x14ac:dyDescent="0.25">
      <c r="D529" s="148" t="s">
        <v>807</v>
      </c>
      <c r="E529" s="149"/>
      <c r="F529" s="149"/>
      <c r="G529" s="149"/>
      <c r="H529" s="149"/>
      <c r="I529" s="149"/>
      <c r="J529" s="149"/>
      <c r="K529" s="149"/>
      <c r="L529" s="149"/>
      <c r="M529" s="149"/>
      <c r="N529" s="150"/>
    </row>
    <row r="530" spans="2:14" ht="69.75" hidden="1" customHeight="1" outlineLevel="3" x14ac:dyDescent="0.25">
      <c r="D530" s="151" t="s">
        <v>832</v>
      </c>
      <c r="E530" s="151" t="s">
        <v>0</v>
      </c>
      <c r="F530" s="153" t="s">
        <v>833</v>
      </c>
      <c r="G530" s="153" t="s">
        <v>834</v>
      </c>
      <c r="H530" s="22" t="s">
        <v>222</v>
      </c>
      <c r="I530" s="22" t="s">
        <v>426</v>
      </c>
      <c r="J530" s="22" t="s">
        <v>859</v>
      </c>
      <c r="K530" s="22" t="s">
        <v>860</v>
      </c>
      <c r="L530" s="155" t="s">
        <v>861</v>
      </c>
      <c r="M530" s="156"/>
      <c r="N530" s="22" t="s">
        <v>862</v>
      </c>
    </row>
    <row r="531" spans="2:14" hidden="1" outlineLevel="3" x14ac:dyDescent="0.25">
      <c r="D531" s="152"/>
      <c r="E531" s="152"/>
      <c r="F531" s="154"/>
      <c r="G531" s="154"/>
      <c r="H531" s="22" t="s">
        <v>746</v>
      </c>
      <c r="I531" s="22" t="s">
        <v>820</v>
      </c>
      <c r="J531" s="22" t="s">
        <v>710</v>
      </c>
      <c r="K531" s="22" t="s">
        <v>710</v>
      </c>
      <c r="L531" s="155" t="s">
        <v>710</v>
      </c>
      <c r="M531" s="156"/>
      <c r="N531" s="22" t="s">
        <v>710</v>
      </c>
    </row>
    <row r="532" spans="2:14" hidden="1" outlineLevel="3" x14ac:dyDescent="0.25">
      <c r="D532" s="24" t="s">
        <v>863</v>
      </c>
      <c r="E532" s="25" t="s">
        <v>1252</v>
      </c>
      <c r="F532" s="23" t="s">
        <v>515</v>
      </c>
      <c r="G532" s="23" t="s">
        <v>839</v>
      </c>
      <c r="H532" s="23">
        <f>GEB_Erg_Norm_HT!B9</f>
        <v>2.87</v>
      </c>
      <c r="I532" s="49">
        <f>GEB_Erg_Norm_HT!C9</f>
        <v>1.3</v>
      </c>
      <c r="J532" s="23">
        <v>0.78</v>
      </c>
      <c r="K532" s="49">
        <v>0.6</v>
      </c>
      <c r="L532" s="145">
        <v>0.6</v>
      </c>
      <c r="M532" s="147"/>
      <c r="N532" s="49">
        <v>0.6</v>
      </c>
    </row>
    <row r="533" spans="2:14" hidden="1" outlineLevel="3" x14ac:dyDescent="0.25">
      <c r="D533" s="24" t="s">
        <v>863</v>
      </c>
      <c r="E533" s="25" t="s">
        <v>1252</v>
      </c>
      <c r="F533" s="23" t="s">
        <v>838</v>
      </c>
      <c r="G533" s="23" t="s">
        <v>839</v>
      </c>
      <c r="H533" s="23">
        <f>GEB_Erg_Norm_HT!B13+GEB_Erg_Norm_HT!B15</f>
        <v>10.61</v>
      </c>
      <c r="I533" s="49">
        <f>GEB_Erg_Norm_HT!C13</f>
        <v>1.3</v>
      </c>
      <c r="J533" s="23">
        <v>0.78</v>
      </c>
      <c r="K533" s="49">
        <v>0.6</v>
      </c>
      <c r="L533" s="145">
        <v>0.6</v>
      </c>
      <c r="M533" s="147"/>
      <c r="N533" s="49">
        <v>0.6</v>
      </c>
    </row>
    <row r="534" spans="2:14" hidden="1" outlineLevel="3" x14ac:dyDescent="0.25">
      <c r="D534" s="24" t="s">
        <v>863</v>
      </c>
      <c r="E534" s="25" t="s">
        <v>1252</v>
      </c>
      <c r="F534" s="23" t="s">
        <v>840</v>
      </c>
      <c r="G534" s="23" t="s">
        <v>839</v>
      </c>
      <c r="H534" s="23">
        <f>GEB_Erg_Norm_HT!B20</f>
        <v>5.15</v>
      </c>
      <c r="I534" s="49">
        <f>GEB_Erg_Norm_HT!C20</f>
        <v>1.3</v>
      </c>
      <c r="J534" s="23">
        <v>0.78</v>
      </c>
      <c r="K534" s="49">
        <v>0.6</v>
      </c>
      <c r="L534" s="145">
        <v>0.6</v>
      </c>
      <c r="M534" s="147"/>
      <c r="N534" s="49">
        <v>0.6</v>
      </c>
    </row>
    <row r="535" spans="2:14" hidden="1" outlineLevel="3" x14ac:dyDescent="0.25">
      <c r="D535" s="24" t="s">
        <v>863</v>
      </c>
      <c r="E535" s="25" t="s">
        <v>1252</v>
      </c>
      <c r="F535" s="23" t="s">
        <v>841</v>
      </c>
      <c r="G535" s="23" t="s">
        <v>839</v>
      </c>
      <c r="H535" s="23">
        <f>GEB_Erg_Norm_HT!B24</f>
        <v>8.02</v>
      </c>
      <c r="I535" s="49">
        <f>GEB_Erg_Norm_HT!D24</f>
        <v>1</v>
      </c>
      <c r="J535" s="23">
        <v>0.78</v>
      </c>
      <c r="K535" s="49">
        <v>0.6</v>
      </c>
      <c r="L535" s="145">
        <v>0.6</v>
      </c>
      <c r="M535" s="147"/>
      <c r="N535" s="49">
        <v>0.6</v>
      </c>
    </row>
    <row r="536" spans="2:14" hidden="1" outlineLevel="3" x14ac:dyDescent="0.25">
      <c r="D536" s="24" t="s">
        <v>1256</v>
      </c>
      <c r="E536" s="25" t="s">
        <v>1257</v>
      </c>
      <c r="F536" s="23" t="s">
        <v>838</v>
      </c>
      <c r="G536" s="23" t="s">
        <v>1255</v>
      </c>
      <c r="H536" s="23">
        <f>GEB_Erg_Norm_HT!B7</f>
        <v>2.4700000000000002</v>
      </c>
      <c r="I536" s="49">
        <f>GEB_Erg_Norm_HT!C7</f>
        <v>1.4</v>
      </c>
      <c r="J536" s="49">
        <v>0.7</v>
      </c>
      <c r="K536" s="49">
        <v>0.6</v>
      </c>
      <c r="L536" s="145">
        <v>0.6</v>
      </c>
      <c r="M536" s="147"/>
      <c r="N536" s="49">
        <v>0.6</v>
      </c>
    </row>
    <row r="537" spans="2:14" s="4" customFormat="1" ht="16.5" outlineLevel="1" collapsed="1" x14ac:dyDescent="0.25">
      <c r="B537" s="5" t="s">
        <v>875</v>
      </c>
    </row>
    <row r="538" spans="2:14" s="17" customFormat="1" hidden="1" outlineLevel="2" x14ac:dyDescent="0.25">
      <c r="D538" s="18" t="s">
        <v>876</v>
      </c>
    </row>
    <row r="539" spans="2:14" hidden="1" outlineLevel="2" x14ac:dyDescent="0.25">
      <c r="D539" s="58" t="s">
        <v>877</v>
      </c>
      <c r="E539" s="59">
        <f>SUMPRODUCT(H543:H543,I543:I543)/SUM(I543:I543)</f>
        <v>0.05</v>
      </c>
      <c r="F539" s="58" t="s">
        <v>572</v>
      </c>
    </row>
    <row r="540" spans="2:14" s="17" customFormat="1" hidden="1" outlineLevel="2" x14ac:dyDescent="0.25">
      <c r="D540" s="18" t="s">
        <v>878</v>
      </c>
    </row>
    <row r="541" spans="2:14" hidden="1" outlineLevel="2" x14ac:dyDescent="0.25">
      <c r="D541" s="222" t="s">
        <v>508</v>
      </c>
      <c r="E541" s="224"/>
      <c r="F541" s="165" t="s">
        <v>879</v>
      </c>
      <c r="G541" s="167"/>
      <c r="H541" s="45" t="s">
        <v>880</v>
      </c>
      <c r="I541" s="45" t="s">
        <v>881</v>
      </c>
    </row>
    <row r="542" spans="2:14" hidden="1" outlineLevel="2" x14ac:dyDescent="0.25">
      <c r="D542" s="225"/>
      <c r="E542" s="227"/>
      <c r="F542" s="41" t="s">
        <v>882</v>
      </c>
      <c r="G542" s="41" t="s">
        <v>883</v>
      </c>
      <c r="H542" s="41" t="s">
        <v>820</v>
      </c>
      <c r="I542" s="41" t="s">
        <v>746</v>
      </c>
    </row>
    <row r="543" spans="2:14" hidden="1" outlineLevel="2" x14ac:dyDescent="0.25">
      <c r="D543" s="24" t="s">
        <v>514</v>
      </c>
      <c r="E543" s="25" t="str">
        <f>E92</f>
        <v>Wohnen</v>
      </c>
      <c r="F543" s="26" t="s">
        <v>426</v>
      </c>
      <c r="G543" s="26" t="s">
        <v>428</v>
      </c>
      <c r="H543" s="23">
        <v>0.05</v>
      </c>
      <c r="I543" s="49">
        <f>SUM(H515:H528,H532:H536)</f>
        <v>531.08000000000004</v>
      </c>
    </row>
    <row r="544" spans="2:14" s="4" customFormat="1" ht="16.5" outlineLevel="1" x14ac:dyDescent="0.25">
      <c r="B544" s="5" t="s">
        <v>884</v>
      </c>
    </row>
    <row r="545" spans="3:10" s="4" customFormat="1" ht="15.75" outlineLevel="2" collapsed="1" x14ac:dyDescent="0.25">
      <c r="C545" s="20" t="s">
        <v>885</v>
      </c>
    </row>
    <row r="546" spans="3:10" s="17" customFormat="1" hidden="1" outlineLevel="3" x14ac:dyDescent="0.25">
      <c r="D546" s="18" t="s">
        <v>886</v>
      </c>
    </row>
    <row r="547" spans="3:10" hidden="1" outlineLevel="3" x14ac:dyDescent="0.25">
      <c r="D547" s="67" t="s">
        <v>887</v>
      </c>
      <c r="E547" s="68">
        <f>SUM(J552:J552)</f>
        <v>585.04999999999995</v>
      </c>
      <c r="F547" s="67" t="s">
        <v>383</v>
      </c>
    </row>
    <row r="548" spans="3:10" hidden="1" outlineLevel="3" x14ac:dyDescent="0.25">
      <c r="D548" s="69" t="s">
        <v>888</v>
      </c>
      <c r="E548" s="39">
        <v>769.8</v>
      </c>
      <c r="F548" s="69" t="s">
        <v>383</v>
      </c>
    </row>
    <row r="549" spans="3:10" s="17" customFormat="1" hidden="1" outlineLevel="3" x14ac:dyDescent="0.25">
      <c r="D549" s="18" t="s">
        <v>889</v>
      </c>
    </row>
    <row r="550" spans="3:10" hidden="1" outlineLevel="3" x14ac:dyDescent="0.25">
      <c r="D550" s="222" t="s">
        <v>508</v>
      </c>
      <c r="E550" s="224"/>
      <c r="F550" s="165" t="s">
        <v>879</v>
      </c>
      <c r="G550" s="167"/>
      <c r="H550" s="45" t="s">
        <v>750</v>
      </c>
      <c r="I550" s="45" t="s">
        <v>890</v>
      </c>
      <c r="J550" s="45" t="s">
        <v>891</v>
      </c>
    </row>
    <row r="551" spans="3:10" hidden="1" outlineLevel="3" x14ac:dyDescent="0.25">
      <c r="D551" s="225"/>
      <c r="E551" s="227"/>
      <c r="F551" s="41" t="s">
        <v>882</v>
      </c>
      <c r="G551" s="41" t="s">
        <v>883</v>
      </c>
      <c r="H551" s="41" t="s">
        <v>746</v>
      </c>
      <c r="I551" s="41" t="s">
        <v>892</v>
      </c>
      <c r="J551" s="41" t="s">
        <v>893</v>
      </c>
    </row>
    <row r="552" spans="3:10" hidden="1" outlineLevel="3" x14ac:dyDescent="0.25">
      <c r="D552" s="24" t="s">
        <v>514</v>
      </c>
      <c r="E552" s="25" t="str">
        <f>E92</f>
        <v>Wohnen</v>
      </c>
      <c r="F552" s="26" t="s">
        <v>426</v>
      </c>
      <c r="G552" s="26" t="s">
        <v>428</v>
      </c>
      <c r="H552" s="49">
        <f>F371</f>
        <v>295.75</v>
      </c>
      <c r="I552" s="49">
        <f>J552/H552</f>
        <v>1.9781910397295011</v>
      </c>
      <c r="J552" s="42">
        <v>585.04999999999995</v>
      </c>
    </row>
    <row r="553" spans="3:10" s="4" customFormat="1" ht="15.75" outlineLevel="2" collapsed="1" x14ac:dyDescent="0.25">
      <c r="C553" s="20" t="s">
        <v>894</v>
      </c>
    </row>
    <row r="554" spans="3:10" s="17" customFormat="1" hidden="1" outlineLevel="3" x14ac:dyDescent="0.25">
      <c r="D554" s="18" t="s">
        <v>895</v>
      </c>
    </row>
    <row r="555" spans="3:10" hidden="1" outlineLevel="3" x14ac:dyDescent="0.25">
      <c r="D555" s="67" t="s">
        <v>564</v>
      </c>
      <c r="E555" s="70">
        <f>SUMPRODUCT(I561:I561,H561:H561)/SUM(H561:H561)</f>
        <v>1</v>
      </c>
      <c r="F555" s="67" t="s">
        <v>24</v>
      </c>
    </row>
    <row r="556" spans="3:10" hidden="1" outlineLevel="3" x14ac:dyDescent="0.25">
      <c r="D556" s="69" t="s">
        <v>566</v>
      </c>
      <c r="E556" s="70">
        <f>SUMPRODUCT(J561:J561,I543:I543)/SUM(I543:I543)</f>
        <v>1.1016231076297354</v>
      </c>
      <c r="F556" s="69" t="s">
        <v>896</v>
      </c>
    </row>
    <row r="557" spans="3:10" s="17" customFormat="1" hidden="1" outlineLevel="3" x14ac:dyDescent="0.25">
      <c r="D557" s="18" t="s">
        <v>897</v>
      </c>
    </row>
    <row r="558" spans="3:10" hidden="1" outlineLevel="3" x14ac:dyDescent="0.25">
      <c r="D558" s="222" t="s">
        <v>508</v>
      </c>
      <c r="E558" s="224"/>
      <c r="F558" s="237" t="s">
        <v>879</v>
      </c>
      <c r="G558" s="239"/>
      <c r="H558" s="168" t="s">
        <v>891</v>
      </c>
      <c r="I558" s="165" t="s">
        <v>898</v>
      </c>
      <c r="J558" s="167"/>
    </row>
    <row r="559" spans="3:10" hidden="1" outlineLevel="3" x14ac:dyDescent="0.25">
      <c r="D559" s="254"/>
      <c r="E559" s="255"/>
      <c r="F559" s="240"/>
      <c r="G559" s="242"/>
      <c r="H559" s="169"/>
      <c r="I559" s="41" t="s">
        <v>899</v>
      </c>
      <c r="J559" s="41" t="s">
        <v>900</v>
      </c>
    </row>
    <row r="560" spans="3:10" hidden="1" outlineLevel="3" x14ac:dyDescent="0.25">
      <c r="D560" s="225"/>
      <c r="E560" s="227"/>
      <c r="F560" s="41" t="s">
        <v>882</v>
      </c>
      <c r="G560" s="41" t="s">
        <v>883</v>
      </c>
      <c r="H560" s="41" t="s">
        <v>893</v>
      </c>
      <c r="I560" s="41" t="s">
        <v>901</v>
      </c>
      <c r="J560" s="41" t="s">
        <v>902</v>
      </c>
    </row>
    <row r="561" spans="2:10" hidden="1" outlineLevel="3" x14ac:dyDescent="0.25">
      <c r="D561" s="24" t="s">
        <v>514</v>
      </c>
      <c r="E561" s="25" t="str">
        <f>E552</f>
        <v>Wohnen</v>
      </c>
      <c r="F561" s="26" t="s">
        <v>426</v>
      </c>
      <c r="G561" s="26" t="s">
        <v>428</v>
      </c>
      <c r="H561" s="42">
        <f>J552</f>
        <v>585.04999999999995</v>
      </c>
      <c r="I561" s="49">
        <f>GEB_Belüftung_Details_Abs!D6</f>
        <v>1</v>
      </c>
      <c r="J561" s="49">
        <f>I561*H561/I543</f>
        <v>1.1016231076297354</v>
      </c>
    </row>
    <row r="562" spans="2:10" s="4" customFormat="1" ht="16.5" outlineLevel="1" x14ac:dyDescent="0.25">
      <c r="B562" s="5" t="s">
        <v>903</v>
      </c>
    </row>
    <row r="563" spans="2:10" s="4" customFormat="1" ht="15.75" outlineLevel="2" collapsed="1" x14ac:dyDescent="0.25">
      <c r="C563" s="20" t="s">
        <v>904</v>
      </c>
    </row>
    <row r="564" spans="2:10" s="17" customFormat="1" hidden="1" outlineLevel="3" x14ac:dyDescent="0.25">
      <c r="D564" s="18" t="s">
        <v>905</v>
      </c>
    </row>
    <row r="565" spans="2:10" hidden="1" outlineLevel="3" x14ac:dyDescent="0.25">
      <c r="D565" s="67" t="s">
        <v>906</v>
      </c>
      <c r="E565" s="70">
        <f>E448/E449</f>
        <v>5.483166377946825E-2</v>
      </c>
      <c r="F565" s="67" t="s">
        <v>907</v>
      </c>
    </row>
    <row r="566" spans="2:10" hidden="1" outlineLevel="3" x14ac:dyDescent="0.25">
      <c r="D566" s="72" t="s">
        <v>908</v>
      </c>
      <c r="E566" s="70">
        <f>E448/(H459+H469+H498+H503+H489)</f>
        <v>7.8579523989421987E-2</v>
      </c>
      <c r="F566" s="72" t="s">
        <v>907</v>
      </c>
    </row>
    <row r="567" spans="2:10" hidden="1" outlineLevel="3" x14ac:dyDescent="0.25">
      <c r="D567" s="69" t="s">
        <v>909</v>
      </c>
      <c r="E567" s="70">
        <f>E448/G74</f>
        <v>9.8461538461538461E-2</v>
      </c>
      <c r="F567" s="69" t="s">
        <v>907</v>
      </c>
    </row>
    <row r="568" spans="2:10" s="17" customFormat="1" hidden="1" outlineLevel="3" x14ac:dyDescent="0.25">
      <c r="D568" s="18" t="s">
        <v>910</v>
      </c>
    </row>
    <row r="569" spans="2:10" hidden="1" outlineLevel="3" x14ac:dyDescent="0.25">
      <c r="D569" s="222" t="s">
        <v>508</v>
      </c>
      <c r="E569" s="224"/>
      <c r="F569" s="237" t="s">
        <v>879</v>
      </c>
      <c r="G569" s="239"/>
      <c r="H569" s="165" t="s">
        <v>911</v>
      </c>
      <c r="I569" s="166"/>
      <c r="J569" s="167"/>
    </row>
    <row r="570" spans="2:10" hidden="1" outlineLevel="3" x14ac:dyDescent="0.25">
      <c r="D570" s="254"/>
      <c r="E570" s="255"/>
      <c r="F570" s="240"/>
      <c r="G570" s="242"/>
      <c r="H570" s="41" t="s">
        <v>912</v>
      </c>
      <c r="I570" s="41" t="s">
        <v>913</v>
      </c>
      <c r="J570" s="41" t="s">
        <v>750</v>
      </c>
    </row>
    <row r="571" spans="2:10" hidden="1" outlineLevel="3" x14ac:dyDescent="0.25">
      <c r="D571" s="225"/>
      <c r="E571" s="227"/>
      <c r="F571" s="41" t="s">
        <v>882</v>
      </c>
      <c r="G571" s="41" t="s">
        <v>883</v>
      </c>
      <c r="H571" s="41" t="s">
        <v>819</v>
      </c>
      <c r="I571" s="41" t="s">
        <v>819</v>
      </c>
      <c r="J571" s="41" t="s">
        <v>819</v>
      </c>
    </row>
    <row r="572" spans="2:10" hidden="1" outlineLevel="3" x14ac:dyDescent="0.25">
      <c r="D572" s="24" t="s">
        <v>514</v>
      </c>
      <c r="E572" s="25" t="str">
        <f>E92</f>
        <v>Wohnen</v>
      </c>
      <c r="F572" s="26" t="s">
        <v>426</v>
      </c>
      <c r="G572" s="26" t="s">
        <v>428</v>
      </c>
      <c r="H572" s="49">
        <f>SUM(H532:H536)/SUM(H515:H528,H532:H536)</f>
        <v>5.483166377946825E-2</v>
      </c>
      <c r="I572" s="49">
        <f>SUM(H532:H536)/SUM(H515:H518,H520:H522,H525:H528,H532:H536)</f>
        <v>7.8579523989421987E-2</v>
      </c>
      <c r="J572" s="49">
        <f>SUM(H532:H536)/G74</f>
        <v>9.8461538461538461E-2</v>
      </c>
    </row>
    <row r="573" spans="2:10" s="4" customFormat="1" ht="15.75" outlineLevel="2" collapsed="1" x14ac:dyDescent="0.25">
      <c r="C573" s="20" t="s">
        <v>914</v>
      </c>
    </row>
    <row r="574" spans="2:10" s="17" customFormat="1" hidden="1" outlineLevel="3" x14ac:dyDescent="0.25">
      <c r="D574" s="18" t="s">
        <v>915</v>
      </c>
    </row>
    <row r="575" spans="2:10" hidden="1" outlineLevel="3" x14ac:dyDescent="0.25">
      <c r="D575" s="67" t="s">
        <v>916</v>
      </c>
      <c r="E575" s="70">
        <f>E449/E548</f>
        <v>0.68989347882566909</v>
      </c>
      <c r="F575" s="67" t="s">
        <v>917</v>
      </c>
    </row>
    <row r="576" spans="2:10" hidden="1" outlineLevel="3" x14ac:dyDescent="0.25">
      <c r="D576" s="69" t="s">
        <v>918</v>
      </c>
      <c r="E576" s="73">
        <f>E449/G74</f>
        <v>1.7957058326289097</v>
      </c>
      <c r="F576" s="69" t="s">
        <v>907</v>
      </c>
    </row>
    <row r="577" spans="3:9" s="17" customFormat="1" hidden="1" outlineLevel="3" x14ac:dyDescent="0.25">
      <c r="D577" s="18" t="s">
        <v>919</v>
      </c>
    </row>
    <row r="578" spans="3:9" hidden="1" outlineLevel="3" x14ac:dyDescent="0.25">
      <c r="D578" s="222" t="s">
        <v>508</v>
      </c>
      <c r="E578" s="224"/>
      <c r="F578" s="237" t="s">
        <v>879</v>
      </c>
      <c r="G578" s="239"/>
      <c r="H578" s="165" t="s">
        <v>920</v>
      </c>
      <c r="I578" s="167"/>
    </row>
    <row r="579" spans="3:9" hidden="1" outlineLevel="3" x14ac:dyDescent="0.25">
      <c r="D579" s="254"/>
      <c r="E579" s="255"/>
      <c r="F579" s="240"/>
      <c r="G579" s="242"/>
      <c r="H579" s="41" t="s">
        <v>921</v>
      </c>
      <c r="I579" s="41" t="s">
        <v>922</v>
      </c>
    </row>
    <row r="580" spans="3:9" hidden="1" outlineLevel="3" x14ac:dyDescent="0.25">
      <c r="D580" s="225"/>
      <c r="E580" s="227"/>
      <c r="F580" s="41" t="s">
        <v>882</v>
      </c>
      <c r="G580" s="41" t="s">
        <v>883</v>
      </c>
      <c r="H580" s="41" t="s">
        <v>923</v>
      </c>
      <c r="I580" s="41" t="s">
        <v>819</v>
      </c>
    </row>
    <row r="581" spans="3:9" hidden="1" outlineLevel="3" x14ac:dyDescent="0.25">
      <c r="D581" s="24" t="s">
        <v>514</v>
      </c>
      <c r="E581" s="25" t="str">
        <f>E92</f>
        <v>Wohnen</v>
      </c>
      <c r="F581" s="26" t="s">
        <v>426</v>
      </c>
      <c r="G581" s="26" t="s">
        <v>428</v>
      </c>
      <c r="H581" s="49">
        <f>I543/E548</f>
        <v>0.68989347882566909</v>
      </c>
      <c r="I581" s="49">
        <f>I543/G74</f>
        <v>1.7957058326289097</v>
      </c>
    </row>
    <row r="582" spans="3:9" s="4" customFormat="1" ht="15.75" outlineLevel="2" collapsed="1" x14ac:dyDescent="0.25">
      <c r="C582" s="20" t="s">
        <v>924</v>
      </c>
    </row>
    <row r="583" spans="3:9" s="17" customFormat="1" hidden="1" outlineLevel="3" x14ac:dyDescent="0.25">
      <c r="D583" s="18" t="s">
        <v>925</v>
      </c>
    </row>
    <row r="584" spans="3:9" hidden="1" outlineLevel="3" x14ac:dyDescent="0.25">
      <c r="D584" s="151" t="s">
        <v>832</v>
      </c>
      <c r="E584" s="151" t="s">
        <v>0</v>
      </c>
      <c r="F584" s="65" t="s">
        <v>927</v>
      </c>
      <c r="G584" s="65" t="s">
        <v>928</v>
      </c>
      <c r="H584" s="65" t="s">
        <v>929</v>
      </c>
      <c r="I584" s="65" t="s">
        <v>930</v>
      </c>
    </row>
    <row r="585" spans="3:9" hidden="1" outlineLevel="3" x14ac:dyDescent="0.25">
      <c r="D585" s="152"/>
      <c r="E585" s="152"/>
      <c r="F585" s="22" t="s">
        <v>746</v>
      </c>
      <c r="G585" s="22" t="s">
        <v>892</v>
      </c>
      <c r="H585" s="22" t="s">
        <v>892</v>
      </c>
      <c r="I585" s="22" t="s">
        <v>710</v>
      </c>
    </row>
    <row r="586" spans="3:9" hidden="1" outlineLevel="3" x14ac:dyDescent="0.25">
      <c r="D586" s="24" t="str">
        <f>D519</f>
        <v>BE1</v>
      </c>
      <c r="E586" s="24" t="str">
        <f>E519</f>
        <v>Boden an Erdreich</v>
      </c>
      <c r="F586" s="92">
        <f>H519</f>
        <v>135</v>
      </c>
      <c r="G586" s="23">
        <v>47</v>
      </c>
      <c r="H586" s="42" t="s">
        <v>502</v>
      </c>
      <c r="I586" s="49">
        <f>J519</f>
        <v>0.6</v>
      </c>
    </row>
    <row r="587" spans="3:9" s="17" customFormat="1" hidden="1" outlineLevel="3" x14ac:dyDescent="0.25">
      <c r="D587" s="18" t="s">
        <v>926</v>
      </c>
    </row>
    <row r="588" spans="3:9" s="17" customFormat="1" hidden="1" outlineLevel="3" x14ac:dyDescent="0.25">
      <c r="D588" s="18" t="s">
        <v>931</v>
      </c>
    </row>
    <row r="589" spans="3:9" s="4" customFormat="1" ht="15.75" outlineLevel="2" collapsed="1" x14ac:dyDescent="0.25">
      <c r="C589" s="20" t="s">
        <v>932</v>
      </c>
    </row>
    <row r="590" spans="3:9" s="17" customFormat="1" hidden="1" outlineLevel="3" x14ac:dyDescent="0.25">
      <c r="D590" s="18" t="s">
        <v>933</v>
      </c>
    </row>
    <row r="591" spans="3:9" hidden="1" outlineLevel="3" x14ac:dyDescent="0.25">
      <c r="D591" s="216" t="s">
        <v>0</v>
      </c>
      <c r="E591" s="45" t="s">
        <v>750</v>
      </c>
      <c r="F591" s="45" t="s">
        <v>934</v>
      </c>
      <c r="G591" s="45" t="s">
        <v>935</v>
      </c>
      <c r="H591" s="45" t="s">
        <v>936</v>
      </c>
      <c r="I591" s="45" t="s">
        <v>937</v>
      </c>
    </row>
    <row r="592" spans="3:9" hidden="1" outlineLevel="3" x14ac:dyDescent="0.25">
      <c r="D592" s="217"/>
      <c r="E592" s="41" t="s">
        <v>746</v>
      </c>
      <c r="F592" s="41" t="s">
        <v>892</v>
      </c>
      <c r="G592" s="41" t="s">
        <v>892</v>
      </c>
      <c r="H592" s="41" t="s">
        <v>892</v>
      </c>
      <c r="I592" s="41" t="s">
        <v>710</v>
      </c>
    </row>
    <row r="593" spans="2:10" hidden="1" outlineLevel="3" x14ac:dyDescent="0.25">
      <c r="D593" s="28" t="s">
        <v>938</v>
      </c>
      <c r="E593" s="42">
        <f>G74</f>
        <v>295.75</v>
      </c>
      <c r="F593" s="42">
        <v>13.5</v>
      </c>
      <c r="G593" s="42">
        <v>10</v>
      </c>
      <c r="H593" s="42">
        <v>2.74</v>
      </c>
      <c r="I593" s="23">
        <v>2</v>
      </c>
    </row>
    <row r="594" spans="2:10" hidden="1" outlineLevel="3" x14ac:dyDescent="0.25">
      <c r="D594" s="28" t="s">
        <v>939</v>
      </c>
      <c r="E594" s="42">
        <f>E593</f>
        <v>295.75</v>
      </c>
      <c r="F594" s="42">
        <f t="shared" ref="F594:I594" si="50">F593</f>
        <v>13.5</v>
      </c>
      <c r="G594" s="42">
        <f t="shared" si="50"/>
        <v>10</v>
      </c>
      <c r="H594" s="42">
        <f t="shared" si="50"/>
        <v>2.74</v>
      </c>
      <c r="I594" s="43">
        <f t="shared" si="50"/>
        <v>2</v>
      </c>
    </row>
    <row r="595" spans="2:10" s="17" customFormat="1" hidden="1" outlineLevel="3" x14ac:dyDescent="0.25">
      <c r="D595" s="18" t="s">
        <v>940</v>
      </c>
    </row>
    <row r="596" spans="2:10" hidden="1" outlineLevel="3" x14ac:dyDescent="0.25">
      <c r="D596" s="159" t="s">
        <v>0</v>
      </c>
      <c r="E596" s="160"/>
      <c r="F596" s="45" t="s">
        <v>750</v>
      </c>
      <c r="G596" s="45" t="s">
        <v>934</v>
      </c>
      <c r="H596" s="45" t="s">
        <v>935</v>
      </c>
      <c r="I596" s="45" t="s">
        <v>936</v>
      </c>
      <c r="J596" s="45" t="s">
        <v>937</v>
      </c>
    </row>
    <row r="597" spans="2:10" hidden="1" outlineLevel="3" x14ac:dyDescent="0.25">
      <c r="D597" s="163"/>
      <c r="E597" s="164"/>
      <c r="F597" s="41" t="s">
        <v>746</v>
      </c>
      <c r="G597" s="41" t="s">
        <v>892</v>
      </c>
      <c r="H597" s="41" t="s">
        <v>892</v>
      </c>
      <c r="I597" s="41" t="s">
        <v>892</v>
      </c>
      <c r="J597" s="41" t="s">
        <v>710</v>
      </c>
    </row>
    <row r="598" spans="2:10" hidden="1" outlineLevel="3" x14ac:dyDescent="0.25">
      <c r="D598" s="157" t="s">
        <v>941</v>
      </c>
      <c r="E598" s="189"/>
      <c r="F598" s="189"/>
      <c r="G598" s="189"/>
      <c r="H598" s="189"/>
      <c r="I598" s="189"/>
      <c r="J598" s="158"/>
    </row>
    <row r="599" spans="2:10" hidden="1" outlineLevel="3" x14ac:dyDescent="0.25">
      <c r="D599" s="24" t="s">
        <v>942</v>
      </c>
      <c r="E599" s="25" t="s">
        <v>943</v>
      </c>
      <c r="F599" s="42">
        <f>E593</f>
        <v>295.75</v>
      </c>
      <c r="G599" s="42">
        <f t="shared" ref="G599:J599" si="51">F593</f>
        <v>13.5</v>
      </c>
      <c r="H599" s="42">
        <f t="shared" si="51"/>
        <v>10</v>
      </c>
      <c r="I599" s="42">
        <f t="shared" si="51"/>
        <v>2.74</v>
      </c>
      <c r="J599" s="43">
        <f t="shared" si="51"/>
        <v>2</v>
      </c>
    </row>
    <row r="600" spans="2:10" hidden="1" outlineLevel="3" x14ac:dyDescent="0.25">
      <c r="D600" s="157" t="s">
        <v>944</v>
      </c>
      <c r="E600" s="189"/>
      <c r="F600" s="189"/>
      <c r="G600" s="189"/>
      <c r="H600" s="189"/>
      <c r="I600" s="189"/>
      <c r="J600" s="158"/>
    </row>
    <row r="601" spans="2:10" hidden="1" outlineLevel="3" x14ac:dyDescent="0.25">
      <c r="D601" s="80" t="s">
        <v>945</v>
      </c>
      <c r="E601" s="66" t="s">
        <v>1317</v>
      </c>
      <c r="F601" s="42">
        <f>E593</f>
        <v>295.75</v>
      </c>
      <c r="G601" s="42">
        <f t="shared" ref="G601:J601" si="52">F593</f>
        <v>13.5</v>
      </c>
      <c r="H601" s="42">
        <f t="shared" si="52"/>
        <v>10</v>
      </c>
      <c r="I601" s="42">
        <f t="shared" si="52"/>
        <v>2.74</v>
      </c>
      <c r="J601" s="43">
        <f t="shared" si="52"/>
        <v>2</v>
      </c>
    </row>
    <row r="602" spans="2:10" hidden="1" outlineLevel="3" x14ac:dyDescent="0.25">
      <c r="D602" s="24" t="s">
        <v>1315</v>
      </c>
      <c r="E602" s="25" t="s">
        <v>1316</v>
      </c>
      <c r="F602" s="42">
        <f>E593</f>
        <v>295.75</v>
      </c>
      <c r="G602" s="42">
        <f t="shared" ref="G602:J602" si="53">F593</f>
        <v>13.5</v>
      </c>
      <c r="H602" s="42">
        <f t="shared" si="53"/>
        <v>10</v>
      </c>
      <c r="I602" s="42">
        <f t="shared" si="53"/>
        <v>2.74</v>
      </c>
      <c r="J602" s="43">
        <f t="shared" si="53"/>
        <v>2</v>
      </c>
    </row>
    <row r="603" spans="2:10" hidden="1" outlineLevel="3" x14ac:dyDescent="0.25">
      <c r="D603" s="157" t="s">
        <v>946</v>
      </c>
      <c r="E603" s="189"/>
      <c r="F603" s="189"/>
      <c r="G603" s="189"/>
      <c r="H603" s="189"/>
      <c r="I603" s="189"/>
      <c r="J603" s="158"/>
    </row>
    <row r="604" spans="2:10" hidden="1" outlineLevel="3" x14ac:dyDescent="0.25">
      <c r="D604" s="24" t="s">
        <v>1391</v>
      </c>
      <c r="E604" s="25" t="s">
        <v>1401</v>
      </c>
      <c r="F604" s="42">
        <f>E593</f>
        <v>295.75</v>
      </c>
      <c r="G604" s="42">
        <f t="shared" ref="G604:J604" si="54">F593</f>
        <v>13.5</v>
      </c>
      <c r="H604" s="42">
        <f t="shared" si="54"/>
        <v>10</v>
      </c>
      <c r="I604" s="42">
        <f t="shared" si="54"/>
        <v>2.74</v>
      </c>
      <c r="J604" s="43">
        <f t="shared" si="54"/>
        <v>2</v>
      </c>
    </row>
    <row r="605" spans="2:10" s="4" customFormat="1" ht="16.5" outlineLevel="1" collapsed="1" x14ac:dyDescent="0.25">
      <c r="B605" s="5" t="s">
        <v>947</v>
      </c>
    </row>
    <row r="606" spans="2:10" hidden="1" outlineLevel="2" x14ac:dyDescent="0.25">
      <c r="D606" s="222" t="s">
        <v>508</v>
      </c>
      <c r="E606" s="224"/>
      <c r="F606" s="165" t="s">
        <v>879</v>
      </c>
      <c r="G606" s="167"/>
      <c r="H606" s="168" t="s">
        <v>948</v>
      </c>
      <c r="I606" s="45" t="s">
        <v>949</v>
      </c>
      <c r="J606" s="45" t="s">
        <v>950</v>
      </c>
    </row>
    <row r="607" spans="2:10" hidden="1" outlineLevel="2" x14ac:dyDescent="0.25">
      <c r="D607" s="225"/>
      <c r="E607" s="227"/>
      <c r="F607" s="41" t="s">
        <v>882</v>
      </c>
      <c r="G607" s="41" t="s">
        <v>883</v>
      </c>
      <c r="H607" s="169"/>
      <c r="I607" s="41" t="s">
        <v>951</v>
      </c>
      <c r="J607" s="41" t="s">
        <v>952</v>
      </c>
    </row>
    <row r="608" spans="2:10" hidden="1" outlineLevel="2" x14ac:dyDescent="0.25">
      <c r="D608" s="24" t="s">
        <v>514</v>
      </c>
      <c r="E608" s="25" t="str">
        <f>E92</f>
        <v>Wohnen</v>
      </c>
      <c r="F608" s="26" t="s">
        <v>426</v>
      </c>
      <c r="G608" s="26" t="s">
        <v>428</v>
      </c>
      <c r="H608" s="23" t="s">
        <v>1265</v>
      </c>
      <c r="I608" s="23">
        <v>90</v>
      </c>
      <c r="J608" s="43">
        <f>GEB_Erg_Norm_T2_HZG!F51</f>
        <v>91.29</v>
      </c>
    </row>
    <row r="609" spans="1:9" s="3" customFormat="1" ht="18" x14ac:dyDescent="0.25">
      <c r="A609" s="2" t="s">
        <v>953</v>
      </c>
    </row>
    <row r="610" spans="1:9" s="4" customFormat="1" ht="16.5" outlineLevel="1" collapsed="1" x14ac:dyDescent="0.25">
      <c r="B610" s="5" t="s">
        <v>954</v>
      </c>
    </row>
    <row r="611" spans="1:9" hidden="1" outlineLevel="2" x14ac:dyDescent="0.25">
      <c r="D611" s="51"/>
    </row>
    <row r="612" spans="1:9" s="4" customFormat="1" ht="16.5" outlineLevel="1" collapsed="1" x14ac:dyDescent="0.25">
      <c r="B612" s="5" t="s">
        <v>955</v>
      </c>
    </row>
    <row r="613" spans="1:9" s="17" customFormat="1" hidden="1" outlineLevel="2" x14ac:dyDescent="0.25">
      <c r="D613" s="18" t="s">
        <v>956</v>
      </c>
    </row>
    <row r="614" spans="1:9" hidden="1" outlineLevel="2" x14ac:dyDescent="0.25">
      <c r="D614" s="159" t="s">
        <v>508</v>
      </c>
      <c r="E614" s="160"/>
      <c r="F614" s="168" t="s">
        <v>957</v>
      </c>
      <c r="G614" s="47" t="s">
        <v>958</v>
      </c>
      <c r="H614" s="47" t="s">
        <v>959</v>
      </c>
    </row>
    <row r="615" spans="1:9" hidden="1" outlineLevel="2" x14ac:dyDescent="0.25">
      <c r="D615" s="161"/>
      <c r="E615" s="162"/>
      <c r="F615" s="169"/>
      <c r="G615" s="41" t="s">
        <v>960</v>
      </c>
      <c r="H615" s="41" t="s">
        <v>960</v>
      </c>
    </row>
    <row r="616" spans="1:9" hidden="1" outlineLevel="2" x14ac:dyDescent="0.25">
      <c r="D616" s="163"/>
      <c r="E616" s="164"/>
      <c r="F616" s="41" t="s">
        <v>769</v>
      </c>
      <c r="G616" s="41" t="s">
        <v>775</v>
      </c>
      <c r="H616" s="41" t="s">
        <v>961</v>
      </c>
    </row>
    <row r="617" spans="1:9" hidden="1" outlineLevel="2" x14ac:dyDescent="0.25">
      <c r="D617" s="24" t="s">
        <v>962</v>
      </c>
      <c r="E617" s="25" t="str">
        <f>E92</f>
        <v>Wohnen</v>
      </c>
      <c r="F617" s="74">
        <f>(GEB_Erg_Norm_T2_HZG!D136+GEB_Erg_Norm_T2_HZG!D69)/24</f>
        <v>205.94916666666666</v>
      </c>
      <c r="G617" s="42">
        <f>(SUMPRODUCT(GEB_Erg_Norm_T2_HZG!F68:Q68,GEB_Erg_Norm_T2_HZG!F69:Q69)+SUMPRODUCT(GEB_Erg_Norm_T2_HZG!F135:Q135,GEB_Erg_Norm_T2_HZG!F136:Q136))/(F617*24)</f>
        <v>18.795508377876423</v>
      </c>
      <c r="H617" s="49">
        <f>(SUMPRODUCT(GEB_Erg_Norm_T2_HZG!F143:Q143,GEB_Erg_Norm_T2_HZG!F69:Q69)+SUMPRODUCT(GEB_Erg_Norm_T2_HZG!F144:Q144,GEB_Erg_Norm_T2_HZG!F136:Q136))/(F617*24)</f>
        <v>0.51814092474275608</v>
      </c>
    </row>
    <row r="618" spans="1:9" ht="24" hidden="1" customHeight="1" outlineLevel="2" x14ac:dyDescent="0.25">
      <c r="D618" s="157" t="s">
        <v>963</v>
      </c>
      <c r="E618" s="158"/>
      <c r="F618" s="74">
        <f>SUMPRODUCT(F617:F617,$F$371:$F$371)/SUM($F$371:$F$371)</f>
        <v>205.94916666666666</v>
      </c>
      <c r="G618" s="75">
        <f>SUMPRODUCT(G617:G617,$F$371:$F$371)/SUM($F$371:$F$371)</f>
        <v>18.795508377876423</v>
      </c>
      <c r="H618" s="49">
        <f>SUMPRODUCT(H617:H617,$F$371:$F$371)/SUM($F$371:$F$371)</f>
        <v>0.51814092474275608</v>
      </c>
    </row>
    <row r="619" spans="1:9" s="17" customFormat="1" hidden="1" outlineLevel="2" x14ac:dyDescent="0.25">
      <c r="D619" s="18" t="s">
        <v>964</v>
      </c>
    </row>
    <row r="620" spans="1:9" s="4" customFormat="1" ht="16.5" outlineLevel="1" x14ac:dyDescent="0.25">
      <c r="B620" s="5" t="s">
        <v>965</v>
      </c>
    </row>
    <row r="621" spans="1:9" s="4" customFormat="1" ht="15.75" outlineLevel="2" collapsed="1" x14ac:dyDescent="0.25">
      <c r="C621" s="20" t="s">
        <v>966</v>
      </c>
    </row>
    <row r="622" spans="1:9" s="17" customFormat="1" hidden="1" outlineLevel="3" x14ac:dyDescent="0.25">
      <c r="D622" s="18" t="s">
        <v>967</v>
      </c>
    </row>
    <row r="623" spans="1:9" hidden="1" outlineLevel="3" x14ac:dyDescent="0.25">
      <c r="D623" s="159" t="s">
        <v>508</v>
      </c>
      <c r="E623" s="160"/>
      <c r="F623" s="168" t="s">
        <v>968</v>
      </c>
      <c r="G623" s="168" t="s">
        <v>969</v>
      </c>
      <c r="H623" s="168" t="s">
        <v>970</v>
      </c>
      <c r="I623" s="47" t="s">
        <v>581</v>
      </c>
    </row>
    <row r="624" spans="1:9" hidden="1" outlineLevel="3" x14ac:dyDescent="0.25">
      <c r="D624" s="161"/>
      <c r="E624" s="162"/>
      <c r="F624" s="169"/>
      <c r="G624" s="169"/>
      <c r="H624" s="169"/>
      <c r="I624" s="41" t="s">
        <v>338</v>
      </c>
    </row>
    <row r="625" spans="3:9" hidden="1" outlineLevel="3" x14ac:dyDescent="0.25">
      <c r="D625" s="163"/>
      <c r="E625" s="164"/>
      <c r="F625" s="41" t="s">
        <v>709</v>
      </c>
      <c r="G625" s="41" t="s">
        <v>709</v>
      </c>
      <c r="H625" s="41" t="s">
        <v>709</v>
      </c>
      <c r="I625" s="41" t="s">
        <v>709</v>
      </c>
    </row>
    <row r="626" spans="3:9" hidden="1" outlineLevel="3" x14ac:dyDescent="0.25">
      <c r="D626" s="24" t="s">
        <v>962</v>
      </c>
      <c r="E626" s="25" t="str">
        <f>E617</f>
        <v>Wohnen</v>
      </c>
      <c r="F626" s="42">
        <f>(GEB_Erg_Norm_T2_HZG!D2)/F371</f>
        <v>23.60284023668639</v>
      </c>
      <c r="G626" s="75">
        <f>(GEB_Erg_Norm_T2_HZG!D6+GEB_Erg_Norm_T2_HZG!D73)/F371</f>
        <v>53.764463229078615</v>
      </c>
      <c r="H626" s="75">
        <f>(GEB_Erg_Norm_T2_HZG!D11+GEB_Erg_Norm_T2_HZG!D78)/F371</f>
        <v>11.067557058326289</v>
      </c>
      <c r="I626" s="75">
        <f>(GEB_Erg_Norm_T2_HZG!D22+GEB_Erg_Norm_T2_HZG!D23++GEB_Erg_Norm_T2_HZG!D89)/F371</f>
        <v>0.60706677937447162</v>
      </c>
    </row>
    <row r="627" spans="3:9" ht="24" hidden="1" customHeight="1" outlineLevel="3" x14ac:dyDescent="0.25">
      <c r="D627" s="157" t="s">
        <v>963</v>
      </c>
      <c r="E627" s="158"/>
      <c r="F627" s="75">
        <f>SUMPRODUCT(F626:F626,$F$371:$F$371)/SUM($F$371:$F$371)</f>
        <v>23.60284023668639</v>
      </c>
      <c r="G627" s="75">
        <f>SUMPRODUCT(G626:G626,$F$371:$F$371)/SUM($F$371:$F$371)</f>
        <v>53.764463229078615</v>
      </c>
      <c r="H627" s="75">
        <f>SUMPRODUCT(H626:H626,$F$371:$F$371)/SUM($F$371:$F$371)</f>
        <v>11.067557058326289</v>
      </c>
      <c r="I627" s="75">
        <f>SUMPRODUCT(I626:I626,$F$371:$F$371)/SUM($F$371:$F$371)</f>
        <v>0.60706677937447162</v>
      </c>
    </row>
    <row r="628" spans="3:9" s="17" customFormat="1" hidden="1" outlineLevel="3" x14ac:dyDescent="0.25">
      <c r="D628" s="18" t="s">
        <v>971</v>
      </c>
    </row>
    <row r="629" spans="3:9" hidden="1" outlineLevel="3" x14ac:dyDescent="0.25">
      <c r="D629" s="159" t="s">
        <v>508</v>
      </c>
      <c r="E629" s="160"/>
      <c r="F629" s="47" t="s">
        <v>972</v>
      </c>
      <c r="G629" s="47" t="s">
        <v>973</v>
      </c>
      <c r="H629" s="47" t="s">
        <v>581</v>
      </c>
      <c r="I629" s="168" t="s">
        <v>974</v>
      </c>
    </row>
    <row r="630" spans="3:9" hidden="1" outlineLevel="3" x14ac:dyDescent="0.25">
      <c r="D630" s="161"/>
      <c r="E630" s="162"/>
      <c r="F630" s="41" t="s">
        <v>315</v>
      </c>
      <c r="G630" s="41" t="s">
        <v>315</v>
      </c>
      <c r="H630" s="41" t="s">
        <v>315</v>
      </c>
      <c r="I630" s="169"/>
    </row>
    <row r="631" spans="3:9" hidden="1" outlineLevel="3" x14ac:dyDescent="0.25">
      <c r="D631" s="163"/>
      <c r="E631" s="164"/>
      <c r="F631" s="41" t="s">
        <v>709</v>
      </c>
      <c r="G631" s="41" t="s">
        <v>709</v>
      </c>
      <c r="H631" s="41" t="s">
        <v>709</v>
      </c>
      <c r="I631" s="41" t="s">
        <v>710</v>
      </c>
    </row>
    <row r="632" spans="3:9" hidden="1" outlineLevel="3" x14ac:dyDescent="0.25">
      <c r="D632" s="24" t="s">
        <v>962</v>
      </c>
      <c r="E632" s="25" t="str">
        <f>E626</f>
        <v>Wohnen</v>
      </c>
      <c r="F632" s="42">
        <f>(GEB_Erg_Norm_T2_HZG!D25+GEB_Erg_Norm_T2_HZG!D92)/F371</f>
        <v>21.48896027049873</v>
      </c>
      <c r="G632" s="42">
        <f>(GEB_Erg_Norm_T2_HZG!D39+GEB_Erg_Norm_T2_HZG!D106)/F371</f>
        <v>40.321183431952662</v>
      </c>
      <c r="H632" s="42">
        <f>(GEB_Erg_Norm_T2_HZG!D116)/F371</f>
        <v>0</v>
      </c>
      <c r="I632" s="49">
        <f>(G626+H626+I626-F626)/(F632+G632+H632)</f>
        <v>0.67685082616033077</v>
      </c>
    </row>
    <row r="633" spans="3:9" ht="24" hidden="1" customHeight="1" outlineLevel="3" x14ac:dyDescent="0.25">
      <c r="D633" s="157" t="s">
        <v>963</v>
      </c>
      <c r="E633" s="158"/>
      <c r="F633" s="75">
        <f>SUMPRODUCT(F632:F632,$F$371:$F$371)/SUM($F$371:$F$371)</f>
        <v>21.48896027049873</v>
      </c>
      <c r="G633" s="75">
        <f>SUMPRODUCT(G632:G632,$F$371:$F$371)/SUM($F$371:$F$371)</f>
        <v>40.321183431952662</v>
      </c>
      <c r="H633" s="75">
        <f>SUMPRODUCT(H632:H632,$F$371:$F$371)/SUM($F$371:$F$371)</f>
        <v>0</v>
      </c>
      <c r="I633" s="81">
        <f>SUMPRODUCT(I632:I632,$F$371:$F$371)/SUM($F$371:$F$371)</f>
        <v>0.67685082616033077</v>
      </c>
    </row>
    <row r="634" spans="3:9" s="4" customFormat="1" ht="15.75" outlineLevel="2" x14ac:dyDescent="0.25">
      <c r="C634" s="20" t="s">
        <v>975</v>
      </c>
    </row>
    <row r="635" spans="3:9" s="4" customFormat="1" ht="15.75" outlineLevel="2" collapsed="1" x14ac:dyDescent="0.25">
      <c r="C635" s="20" t="s">
        <v>976</v>
      </c>
    </row>
    <row r="636" spans="3:9" s="17" customFormat="1" hidden="1" outlineLevel="3" x14ac:dyDescent="0.25">
      <c r="D636" s="18" t="s">
        <v>977</v>
      </c>
    </row>
    <row r="637" spans="3:9" hidden="1" outlineLevel="3" x14ac:dyDescent="0.25">
      <c r="D637" s="159" t="s">
        <v>508</v>
      </c>
      <c r="E637" s="160"/>
      <c r="F637" s="45" t="s">
        <v>978</v>
      </c>
      <c r="G637" s="45" t="s">
        <v>979</v>
      </c>
    </row>
    <row r="638" spans="3:9" hidden="1" outlineLevel="3" x14ac:dyDescent="0.25">
      <c r="D638" s="163"/>
      <c r="E638" s="164"/>
      <c r="F638" s="41" t="s">
        <v>709</v>
      </c>
      <c r="G638" s="41" t="s">
        <v>709</v>
      </c>
    </row>
    <row r="639" spans="3:9" hidden="1" outlineLevel="3" x14ac:dyDescent="0.25">
      <c r="D639" s="24" t="s">
        <v>962</v>
      </c>
      <c r="E639" s="25" t="str">
        <f>E632</f>
        <v>Wohnen</v>
      </c>
      <c r="F639" s="42">
        <f>(GEB_Erg_Norm_T2_HZG!D2)/F371</f>
        <v>23.60284023668639</v>
      </c>
      <c r="G639" s="42">
        <f>(GEB_Erg_Norm_T2_HZG!D71)/F371</f>
        <v>0</v>
      </c>
    </row>
    <row r="640" spans="3:9" s="17" customFormat="1" hidden="1" outlineLevel="3" x14ac:dyDescent="0.25">
      <c r="D640" s="18" t="s">
        <v>980</v>
      </c>
    </row>
    <row r="641" spans="1:10" hidden="1" outlineLevel="3" x14ac:dyDescent="0.25">
      <c r="D641" s="159" t="s">
        <v>508</v>
      </c>
      <c r="E641" s="160"/>
      <c r="F641" s="45" t="s">
        <v>981</v>
      </c>
      <c r="G641" s="45" t="s">
        <v>60</v>
      </c>
      <c r="H641" s="45" t="s">
        <v>68</v>
      </c>
      <c r="I641" s="45" t="s">
        <v>752</v>
      </c>
      <c r="J641" s="45" t="s">
        <v>982</v>
      </c>
    </row>
    <row r="642" spans="1:10" hidden="1" outlineLevel="3" x14ac:dyDescent="0.25">
      <c r="D642" s="163"/>
      <c r="E642" s="164"/>
      <c r="F642" s="41" t="s">
        <v>709</v>
      </c>
      <c r="G642" s="41" t="s">
        <v>709</v>
      </c>
      <c r="H642" s="41" t="s">
        <v>709</v>
      </c>
      <c r="I642" s="41" t="s">
        <v>709</v>
      </c>
      <c r="J642" s="41" t="s">
        <v>709</v>
      </c>
    </row>
    <row r="643" spans="1:10" hidden="1" outlineLevel="3" x14ac:dyDescent="0.25">
      <c r="D643" s="24" t="s">
        <v>962</v>
      </c>
      <c r="E643" s="25" t="str">
        <f>E639</f>
        <v>Wohnen</v>
      </c>
      <c r="F643" s="42">
        <f>(GEB_Erg_Norm_T2_HZG!D46+GEB_Erg_Norm_T2_HZG!D47+GEB_Erg_Norm_T2_HZG!D113+GEB_Erg_Norm_T2_HZG!D114)/F371</f>
        <v>16.424987320371933</v>
      </c>
      <c r="G643" s="42">
        <f>(GEB_Erg_Norm_T2_HZG!D45+GEB_Erg_Norm_T2_HZG!D112)/F371</f>
        <v>0</v>
      </c>
      <c r="H643" s="42">
        <f>(GEB_Erg_Norm_T2_HZG!D42+GEB_Erg_Norm_T2_HZG!D109)/F371</f>
        <v>9.8578867286559593</v>
      </c>
      <c r="I643" s="42">
        <f>(GEB_Erg_Norm_T2_HZG!D41+GEB_Erg_Norm_T2_HZG!D108)/F371</f>
        <v>14.038309382924767</v>
      </c>
      <c r="J643" s="42">
        <f>(GEB_Erg_Norm_T2_HZG!D43+GEB_Erg_Norm_T2_HZG!D110)/F371</f>
        <v>0</v>
      </c>
    </row>
    <row r="644" spans="1:10" s="4" customFormat="1" ht="15.75" outlineLevel="2" x14ac:dyDescent="0.25">
      <c r="C644" s="20" t="s">
        <v>983</v>
      </c>
    </row>
    <row r="645" spans="1:10" s="4" customFormat="1" ht="16.5" outlineLevel="1" x14ac:dyDescent="0.25">
      <c r="B645" s="5" t="s">
        <v>984</v>
      </c>
    </row>
    <row r="646" spans="1:10" s="4" customFormat="1" ht="15.75" outlineLevel="2" collapsed="1" x14ac:dyDescent="0.25">
      <c r="C646" s="20" t="s">
        <v>985</v>
      </c>
    </row>
    <row r="647" spans="1:10" hidden="1" outlineLevel="3" x14ac:dyDescent="0.25">
      <c r="D647" s="159" t="s">
        <v>508</v>
      </c>
      <c r="E647" s="160"/>
      <c r="F647" s="45" t="s">
        <v>986</v>
      </c>
      <c r="G647" s="45" t="s">
        <v>987</v>
      </c>
    </row>
    <row r="648" spans="1:10" hidden="1" outlineLevel="3" x14ac:dyDescent="0.25">
      <c r="D648" s="163"/>
      <c r="E648" s="164"/>
      <c r="F648" s="41" t="s">
        <v>988</v>
      </c>
      <c r="G648" s="41" t="s">
        <v>989</v>
      </c>
    </row>
    <row r="649" spans="1:10" hidden="1" outlineLevel="3" x14ac:dyDescent="0.25">
      <c r="D649" s="24" t="s">
        <v>962</v>
      </c>
      <c r="E649" s="25" t="str">
        <f>E643</f>
        <v>Wohnen</v>
      </c>
      <c r="F649" s="42">
        <f>GEB_Erg_Norm_T2_HZG!D137</f>
        <v>7.55</v>
      </c>
      <c r="G649" s="42">
        <f>F649*1000/F371</f>
        <v>25.528317836010142</v>
      </c>
    </row>
    <row r="650" spans="1:10" s="4" customFormat="1" ht="15.75" outlineLevel="2" x14ac:dyDescent="0.25">
      <c r="C650" s="20" t="s">
        <v>990</v>
      </c>
    </row>
    <row r="651" spans="1:10" s="3" customFormat="1" ht="18" x14ac:dyDescent="0.25">
      <c r="A651" s="2" t="s">
        <v>991</v>
      </c>
    </row>
    <row r="652" spans="1:10" s="4" customFormat="1" ht="16.5" outlineLevel="1" collapsed="1" x14ac:dyDescent="0.25">
      <c r="B652" s="5" t="s">
        <v>992</v>
      </c>
    </row>
    <row r="653" spans="1:10" hidden="1" outlineLevel="2" x14ac:dyDescent="0.25">
      <c r="D653" s="51"/>
    </row>
    <row r="654" spans="1:10" s="4" customFormat="1" ht="16.5" outlineLevel="1" x14ac:dyDescent="0.25">
      <c r="B654" s="5" t="s">
        <v>993</v>
      </c>
    </row>
    <row r="655" spans="1:10" s="4" customFormat="1" ht="15.75" outlineLevel="2" collapsed="1" x14ac:dyDescent="0.25">
      <c r="C655" s="20" t="s">
        <v>994</v>
      </c>
    </row>
    <row r="656" spans="1:10" hidden="1" outlineLevel="3" x14ac:dyDescent="0.25">
      <c r="D656" s="58" t="s">
        <v>995</v>
      </c>
      <c r="E656" s="76">
        <f>E658*E547</f>
        <v>263.27249999999998</v>
      </c>
      <c r="F656" s="58" t="s">
        <v>996</v>
      </c>
    </row>
    <row r="657" spans="2:9" hidden="1" outlineLevel="3" x14ac:dyDescent="0.25">
      <c r="D657" s="69" t="s">
        <v>997</v>
      </c>
      <c r="E657" s="19">
        <f>E656/G74</f>
        <v>0.89018596787827553</v>
      </c>
      <c r="F657" s="69" t="s">
        <v>998</v>
      </c>
    </row>
    <row r="658" spans="2:9" hidden="1" outlineLevel="3" x14ac:dyDescent="0.25">
      <c r="D658" s="69" t="s">
        <v>999</v>
      </c>
      <c r="E658" s="73">
        <f>I411</f>
        <v>0.45</v>
      </c>
      <c r="F658" s="69" t="s">
        <v>24</v>
      </c>
    </row>
    <row r="659" spans="2:9" hidden="1" outlineLevel="3" x14ac:dyDescent="0.25">
      <c r="D659" s="69" t="s">
        <v>1000</v>
      </c>
      <c r="E659" s="73">
        <f>SUMPRODUCT(GEB_Erg_Norm_T2_HZG!F57:Q57,GEB_Erg_Norm_T2_HZG!F67:Q67)/SUM(GEB_Erg_Norm_T2_HZG!F67:Q67)</f>
        <v>0.11931506849315068</v>
      </c>
      <c r="F659" s="69" t="s">
        <v>24</v>
      </c>
    </row>
    <row r="660" spans="2:9" s="4" customFormat="1" ht="15.75" outlineLevel="2" collapsed="1" x14ac:dyDescent="0.25">
      <c r="C660" s="20" t="s">
        <v>1001</v>
      </c>
    </row>
    <row r="661" spans="2:9" hidden="1" outlineLevel="3" x14ac:dyDescent="0.25">
      <c r="D661" s="77"/>
      <c r="E661" s="65"/>
      <c r="F661" s="45" t="s">
        <v>638</v>
      </c>
      <c r="G661" s="45" t="s">
        <v>637</v>
      </c>
    </row>
    <row r="662" spans="2:9" hidden="1" outlineLevel="3" x14ac:dyDescent="0.25">
      <c r="D662" s="28" t="s">
        <v>1002</v>
      </c>
      <c r="E662" s="22" t="s">
        <v>1003</v>
      </c>
      <c r="F662" s="43">
        <f>SUM(F692:F692)</f>
        <v>204.76749999999998</v>
      </c>
      <c r="G662" s="43">
        <f>SUM(G692:G692)</f>
        <v>204.76749999999998</v>
      </c>
    </row>
    <row r="663" spans="2:9" hidden="1" outlineLevel="3" x14ac:dyDescent="0.25">
      <c r="D663" s="28" t="s">
        <v>1004</v>
      </c>
      <c r="E663" s="22" t="s">
        <v>988</v>
      </c>
      <c r="F663" s="49">
        <f>SUM(F700:F700)</f>
        <v>0.112622125</v>
      </c>
      <c r="G663" s="49">
        <f>SUM(I700:I700)</f>
        <v>0.112622125</v>
      </c>
    </row>
    <row r="664" spans="2:9" hidden="1" outlineLevel="3" x14ac:dyDescent="0.25">
      <c r="D664" s="28" t="s">
        <v>1005</v>
      </c>
      <c r="E664" s="22" t="s">
        <v>1006</v>
      </c>
      <c r="F664" s="49">
        <f>F663/(F662/3600)</f>
        <v>1.9800000000000004</v>
      </c>
      <c r="G664" s="49">
        <f>G663/(G662/3600)</f>
        <v>1.9800000000000004</v>
      </c>
    </row>
    <row r="665" spans="2:9" hidden="1" outlineLevel="3" x14ac:dyDescent="0.25">
      <c r="D665" s="28" t="s">
        <v>1007</v>
      </c>
      <c r="E665" s="22" t="s">
        <v>1008</v>
      </c>
      <c r="F665" s="252">
        <f>'TGA_WE-HZG_Det_Abs'!J98/(F663+G663)</f>
        <v>4051.8681386983239</v>
      </c>
      <c r="G665" s="253"/>
    </row>
    <row r="666" spans="2:9" s="4" customFormat="1" ht="16.5" outlineLevel="1" x14ac:dyDescent="0.25">
      <c r="B666" s="5" t="s">
        <v>1009</v>
      </c>
    </row>
    <row r="667" spans="2:9" s="4" customFormat="1" ht="15.75" outlineLevel="2" collapsed="1" x14ac:dyDescent="0.25">
      <c r="C667" s="20" t="s">
        <v>1010</v>
      </c>
    </row>
    <row r="668" spans="2:9" s="17" customFormat="1" hidden="1" outlineLevel="3" x14ac:dyDescent="0.25">
      <c r="D668" s="18" t="s">
        <v>1011</v>
      </c>
    </row>
    <row r="669" spans="2:9" hidden="1" outlineLevel="3" x14ac:dyDescent="0.25">
      <c r="D669" s="159" t="s">
        <v>508</v>
      </c>
      <c r="E669" s="160"/>
      <c r="F669" s="237" t="s">
        <v>1012</v>
      </c>
      <c r="G669" s="239"/>
      <c r="H669" s="165" t="s">
        <v>1013</v>
      </c>
      <c r="I669" s="167"/>
    </row>
    <row r="670" spans="2:9" hidden="1" outlineLevel="3" x14ac:dyDescent="0.25">
      <c r="D670" s="163"/>
      <c r="E670" s="164"/>
      <c r="F670" s="240"/>
      <c r="G670" s="242"/>
      <c r="H670" s="41" t="s">
        <v>1014</v>
      </c>
      <c r="I670" s="41" t="s">
        <v>1015</v>
      </c>
    </row>
    <row r="671" spans="2:9" hidden="1" outlineLevel="3" x14ac:dyDescent="0.25">
      <c r="D671" s="24" t="str">
        <f>D92</f>
        <v>Z1</v>
      </c>
      <c r="E671" s="24" t="str">
        <f>E92</f>
        <v>Wohnen</v>
      </c>
      <c r="F671" s="25" t="str">
        <f>D102</f>
        <v>RV1</v>
      </c>
      <c r="G671" s="25" t="str">
        <f>E102</f>
        <v>Wohnungslüftung</v>
      </c>
      <c r="H671" s="26" t="s">
        <v>515</v>
      </c>
      <c r="I671" s="26" t="s">
        <v>516</v>
      </c>
    </row>
    <row r="672" spans="2:9" s="17" customFormat="1" hidden="1" outlineLevel="3" x14ac:dyDescent="0.25">
      <c r="D672" s="18" t="s">
        <v>1016</v>
      </c>
    </row>
    <row r="673" spans="3:10" hidden="1" outlineLevel="3" x14ac:dyDescent="0.25">
      <c r="D673" s="237" t="s">
        <v>1012</v>
      </c>
      <c r="E673" s="239"/>
      <c r="F673" s="45" t="s">
        <v>388</v>
      </c>
      <c r="G673" s="165" t="s">
        <v>391</v>
      </c>
      <c r="H673" s="166"/>
      <c r="I673" s="167"/>
    </row>
    <row r="674" spans="3:10" hidden="1" outlineLevel="3" x14ac:dyDescent="0.25">
      <c r="D674" s="240"/>
      <c r="E674" s="242"/>
      <c r="F674" s="41" t="s">
        <v>1017</v>
      </c>
      <c r="G674" s="41" t="s">
        <v>1018</v>
      </c>
      <c r="H674" s="41" t="s">
        <v>1019</v>
      </c>
      <c r="I674" s="41" t="s">
        <v>1020</v>
      </c>
    </row>
    <row r="675" spans="3:10" hidden="1" outlineLevel="3" x14ac:dyDescent="0.25">
      <c r="D675" s="24" t="str">
        <f>F671</f>
        <v>RV1</v>
      </c>
      <c r="E675" s="24" t="str">
        <f>G671</f>
        <v>Wohnungslüftung</v>
      </c>
      <c r="F675" s="26" t="s">
        <v>515</v>
      </c>
      <c r="G675" s="26" t="s">
        <v>428</v>
      </c>
      <c r="H675" s="26" t="s">
        <v>428</v>
      </c>
      <c r="I675" s="26" t="s">
        <v>428</v>
      </c>
    </row>
    <row r="676" spans="3:10" s="4" customFormat="1" ht="15.75" outlineLevel="2" collapsed="1" x14ac:dyDescent="0.25">
      <c r="C676" s="20" t="s">
        <v>1021</v>
      </c>
    </row>
    <row r="677" spans="3:10" s="17" customFormat="1" hidden="1" outlineLevel="3" x14ac:dyDescent="0.25">
      <c r="D677" s="18" t="s">
        <v>1022</v>
      </c>
    </row>
    <row r="678" spans="3:10" s="17" customFormat="1" hidden="1" outlineLevel="3" x14ac:dyDescent="0.25">
      <c r="D678" s="18" t="s">
        <v>1023</v>
      </c>
    </row>
    <row r="679" spans="3:10" hidden="1" outlineLevel="3" x14ac:dyDescent="0.25">
      <c r="D679" s="237" t="s">
        <v>1012</v>
      </c>
      <c r="E679" s="239"/>
      <c r="F679" s="165" t="s">
        <v>1024</v>
      </c>
      <c r="G679" s="167"/>
      <c r="H679" s="45" t="s">
        <v>1025</v>
      </c>
      <c r="I679" s="45" t="s">
        <v>1026</v>
      </c>
      <c r="J679" s="168" t="s">
        <v>1027</v>
      </c>
    </row>
    <row r="680" spans="3:10" hidden="1" outlineLevel="3" x14ac:dyDescent="0.25">
      <c r="D680" s="240"/>
      <c r="E680" s="242"/>
      <c r="F680" s="41" t="s">
        <v>187</v>
      </c>
      <c r="G680" s="41" t="s">
        <v>1028</v>
      </c>
      <c r="H680" s="41" t="s">
        <v>818</v>
      </c>
      <c r="I680" s="41" t="s">
        <v>818</v>
      </c>
      <c r="J680" s="169"/>
    </row>
    <row r="681" spans="3:10" hidden="1" outlineLevel="3" x14ac:dyDescent="0.25">
      <c r="D681" s="24" t="str">
        <f>D675</f>
        <v>RV1</v>
      </c>
      <c r="E681" s="24" t="str">
        <f>E675</f>
        <v>Wohnungslüftung</v>
      </c>
      <c r="F681" s="26" t="s">
        <v>515</v>
      </c>
      <c r="G681" s="26" t="s">
        <v>516</v>
      </c>
      <c r="H681" s="23" t="s">
        <v>502</v>
      </c>
      <c r="I681" s="23">
        <v>80</v>
      </c>
      <c r="J681" s="23" t="s">
        <v>512</v>
      </c>
    </row>
    <row r="682" spans="3:10" s="17" customFormat="1" hidden="1" outlineLevel="3" x14ac:dyDescent="0.25">
      <c r="D682" s="18" t="s">
        <v>1029</v>
      </c>
    </row>
    <row r="683" spans="3:10" hidden="1" outlineLevel="3" x14ac:dyDescent="0.25">
      <c r="D683" s="237" t="s">
        <v>1012</v>
      </c>
      <c r="E683" s="239"/>
      <c r="F683" s="237" t="s">
        <v>1030</v>
      </c>
      <c r="G683" s="239"/>
      <c r="H683" s="168" t="s">
        <v>1031</v>
      </c>
      <c r="I683" s="237" t="s">
        <v>1032</v>
      </c>
      <c r="J683" s="239"/>
    </row>
    <row r="684" spans="3:10" hidden="1" outlineLevel="3" x14ac:dyDescent="0.25">
      <c r="D684" s="249"/>
      <c r="E684" s="250"/>
      <c r="F684" s="240"/>
      <c r="G684" s="242"/>
      <c r="H684" s="169"/>
      <c r="I684" s="240" t="s">
        <v>1033</v>
      </c>
      <c r="J684" s="242"/>
    </row>
    <row r="685" spans="3:10" hidden="1" outlineLevel="3" x14ac:dyDescent="0.25">
      <c r="D685" s="240"/>
      <c r="E685" s="242"/>
      <c r="F685" s="41" t="s">
        <v>1034</v>
      </c>
      <c r="G685" s="41" t="s">
        <v>1035</v>
      </c>
      <c r="H685" s="41" t="s">
        <v>775</v>
      </c>
      <c r="I685" s="165" t="s">
        <v>775</v>
      </c>
      <c r="J685" s="167"/>
    </row>
    <row r="686" spans="3:10" hidden="1" outlineLevel="3" x14ac:dyDescent="0.25">
      <c r="D686" s="24" t="str">
        <f>D681</f>
        <v>RV1</v>
      </c>
      <c r="E686" s="24" t="str">
        <f>E681</f>
        <v>Wohnungslüftung</v>
      </c>
      <c r="F686" s="26" t="s">
        <v>426</v>
      </c>
      <c r="G686" s="26" t="s">
        <v>428</v>
      </c>
      <c r="H686" s="23">
        <v>35</v>
      </c>
      <c r="I686" s="23" t="s">
        <v>502</v>
      </c>
      <c r="J686" s="23" t="s">
        <v>502</v>
      </c>
    </row>
    <row r="687" spans="3:10" s="4" customFormat="1" ht="15.75" outlineLevel="2" x14ac:dyDescent="0.25">
      <c r="C687" s="20" t="s">
        <v>1036</v>
      </c>
    </row>
    <row r="688" spans="3:10" s="4" customFormat="1" ht="15.75" outlineLevel="2" collapsed="1" x14ac:dyDescent="0.25">
      <c r="C688" s="20" t="s">
        <v>1037</v>
      </c>
    </row>
    <row r="689" spans="1:11" hidden="1" outlineLevel="3" x14ac:dyDescent="0.25">
      <c r="D689" s="237" t="s">
        <v>1012</v>
      </c>
      <c r="E689" s="239"/>
      <c r="F689" s="165" t="s">
        <v>1038</v>
      </c>
      <c r="G689" s="167"/>
      <c r="H689" s="168" t="s">
        <v>1039</v>
      </c>
    </row>
    <row r="690" spans="1:11" hidden="1" outlineLevel="3" x14ac:dyDescent="0.25">
      <c r="D690" s="249"/>
      <c r="E690" s="250"/>
      <c r="F690" s="41" t="s">
        <v>638</v>
      </c>
      <c r="G690" s="41" t="s">
        <v>637</v>
      </c>
      <c r="H690" s="251"/>
    </row>
    <row r="691" spans="1:11" hidden="1" outlineLevel="3" x14ac:dyDescent="0.25">
      <c r="D691" s="240"/>
      <c r="E691" s="242"/>
      <c r="F691" s="41" t="s">
        <v>1003</v>
      </c>
      <c r="G691" s="41" t="s">
        <v>1003</v>
      </c>
      <c r="H691" s="169"/>
    </row>
    <row r="692" spans="1:11" hidden="1" outlineLevel="3" x14ac:dyDescent="0.25">
      <c r="D692" s="24" t="str">
        <f>D686</f>
        <v>RV1</v>
      </c>
      <c r="E692" s="24" t="str">
        <f>E686</f>
        <v>Wohnungslüftung</v>
      </c>
      <c r="F692" s="43">
        <f>0.35*E547</f>
        <v>204.76749999999998</v>
      </c>
      <c r="G692" s="43">
        <f>0.35*E547</f>
        <v>204.76749999999998</v>
      </c>
      <c r="H692" s="23" t="s">
        <v>1017</v>
      </c>
    </row>
    <row r="693" spans="1:11" s="4" customFormat="1" ht="15.75" outlineLevel="2" collapsed="1" x14ac:dyDescent="0.25">
      <c r="C693" s="20" t="s">
        <v>1040</v>
      </c>
    </row>
    <row r="694" spans="1:11" hidden="1" outlineLevel="3" x14ac:dyDescent="0.25">
      <c r="D694" s="165" t="s">
        <v>1012</v>
      </c>
      <c r="E694" s="167"/>
      <c r="F694" s="45" t="s">
        <v>1041</v>
      </c>
      <c r="G694" s="45" t="s">
        <v>1042</v>
      </c>
    </row>
    <row r="695" spans="1:11" hidden="1" outlineLevel="3" x14ac:dyDescent="0.25">
      <c r="D695" s="24" t="str">
        <f>D692</f>
        <v>RV1</v>
      </c>
      <c r="E695" s="24" t="str">
        <f>E692</f>
        <v>Wohnungslüftung</v>
      </c>
      <c r="F695" s="23" t="s">
        <v>502</v>
      </c>
      <c r="G695" s="23" t="s">
        <v>1276</v>
      </c>
    </row>
    <row r="696" spans="1:11" s="4" customFormat="1" ht="15.75" outlineLevel="2" collapsed="1" x14ac:dyDescent="0.25">
      <c r="C696" s="20" t="s">
        <v>1043</v>
      </c>
    </row>
    <row r="697" spans="1:11" hidden="1" outlineLevel="3" x14ac:dyDescent="0.25">
      <c r="D697" s="237" t="s">
        <v>1012</v>
      </c>
      <c r="E697" s="239"/>
      <c r="F697" s="165" t="s">
        <v>1044</v>
      </c>
      <c r="G697" s="166"/>
      <c r="H697" s="167"/>
      <c r="I697" s="165" t="s">
        <v>1045</v>
      </c>
      <c r="J697" s="166"/>
      <c r="K697" s="167"/>
    </row>
    <row r="698" spans="1:11" hidden="1" outlineLevel="3" x14ac:dyDescent="0.25">
      <c r="D698" s="249"/>
      <c r="E698" s="250"/>
      <c r="F698" s="41" t="s">
        <v>1046</v>
      </c>
      <c r="G698" s="41" t="s">
        <v>1047</v>
      </c>
      <c r="H698" s="41" t="s">
        <v>1048</v>
      </c>
      <c r="I698" s="41" t="s">
        <v>1046</v>
      </c>
      <c r="J698" s="41" t="s">
        <v>1047</v>
      </c>
      <c r="K698" s="41" t="s">
        <v>1048</v>
      </c>
    </row>
    <row r="699" spans="1:11" hidden="1" outlineLevel="3" x14ac:dyDescent="0.25">
      <c r="D699" s="240"/>
      <c r="E699" s="242"/>
      <c r="F699" s="41" t="s">
        <v>988</v>
      </c>
      <c r="G699" s="41" t="s">
        <v>1006</v>
      </c>
      <c r="H699" s="41" t="s">
        <v>710</v>
      </c>
      <c r="I699" s="41" t="s">
        <v>988</v>
      </c>
      <c r="J699" s="41" t="s">
        <v>1006</v>
      </c>
      <c r="K699" s="41" t="s">
        <v>710</v>
      </c>
    </row>
    <row r="700" spans="1:11" hidden="1" outlineLevel="3" x14ac:dyDescent="0.25">
      <c r="D700" s="24" t="s">
        <v>518</v>
      </c>
      <c r="E700" s="25" t="str">
        <f>E695</f>
        <v>Wohnungslüftung</v>
      </c>
      <c r="F700" s="49">
        <f>0.55*F692/1000</f>
        <v>0.112622125</v>
      </c>
      <c r="G700" s="49">
        <f>F700/(F692/3600)</f>
        <v>1.9800000000000004</v>
      </c>
      <c r="H700" s="49" t="s">
        <v>502</v>
      </c>
      <c r="I700" s="49">
        <f>0.55*G692/1000</f>
        <v>0.112622125</v>
      </c>
      <c r="J700" s="49">
        <f>I700/(G692/3600)</f>
        <v>1.9800000000000004</v>
      </c>
      <c r="K700" s="49" t="s">
        <v>502</v>
      </c>
    </row>
    <row r="701" spans="1:11" s="3" customFormat="1" ht="18" x14ac:dyDescent="0.25">
      <c r="A701" s="2" t="s">
        <v>1049</v>
      </c>
    </row>
    <row r="702" spans="1:11" s="4" customFormat="1" ht="16.5" outlineLevel="1" collapsed="1" x14ac:dyDescent="0.25">
      <c r="B702" s="5" t="s">
        <v>1050</v>
      </c>
    </row>
    <row r="703" spans="1:11" hidden="1" outlineLevel="2" x14ac:dyDescent="0.25">
      <c r="D703" s="51"/>
    </row>
    <row r="704" spans="1:11" s="4" customFormat="1" ht="16.5" outlineLevel="1" collapsed="1" x14ac:dyDescent="0.25">
      <c r="B704" s="5" t="s">
        <v>1051</v>
      </c>
    </row>
    <row r="705" spans="4:13" hidden="1" outlineLevel="2" x14ac:dyDescent="0.25">
      <c r="D705" s="60" t="s">
        <v>1052</v>
      </c>
      <c r="E705" s="165" t="s">
        <v>1053</v>
      </c>
      <c r="F705" s="166"/>
      <c r="G705" s="166"/>
      <c r="H705" s="166"/>
      <c r="I705" s="166"/>
      <c r="J705" s="167"/>
      <c r="K705" s="153" t="s">
        <v>1054</v>
      </c>
      <c r="L705" s="176" t="s">
        <v>1055</v>
      </c>
      <c r="M705" s="177"/>
    </row>
    <row r="706" spans="4:13" hidden="1" outlineLevel="2" x14ac:dyDescent="0.25">
      <c r="D706" s="61" t="s">
        <v>667</v>
      </c>
      <c r="E706" s="237" t="s">
        <v>390</v>
      </c>
      <c r="F706" s="238"/>
      <c r="G706" s="239"/>
      <c r="H706" s="237" t="s">
        <v>390</v>
      </c>
      <c r="I706" s="238"/>
      <c r="J706" s="239"/>
      <c r="K706" s="234"/>
      <c r="L706" s="235"/>
      <c r="M706" s="236"/>
    </row>
    <row r="707" spans="4:13" hidden="1" outlineLevel="2" x14ac:dyDescent="0.25">
      <c r="D707" s="78"/>
      <c r="E707" s="240"/>
      <c r="F707" s="241"/>
      <c r="G707" s="242"/>
      <c r="H707" s="240" t="s">
        <v>1056</v>
      </c>
      <c r="I707" s="241"/>
      <c r="J707" s="242"/>
      <c r="K707" s="234"/>
      <c r="L707" s="235"/>
      <c r="M707" s="236"/>
    </row>
    <row r="708" spans="4:13" hidden="1" outlineLevel="2" x14ac:dyDescent="0.25">
      <c r="D708" s="62"/>
      <c r="E708" s="243">
        <f>G74</f>
        <v>295.75</v>
      </c>
      <c r="F708" s="244"/>
      <c r="G708" s="53" t="s">
        <v>385</v>
      </c>
      <c r="H708" s="243">
        <f>L378</f>
        <v>295.75</v>
      </c>
      <c r="I708" s="244"/>
      <c r="J708" s="53" t="s">
        <v>385</v>
      </c>
      <c r="K708" s="154"/>
      <c r="L708" s="178"/>
      <c r="M708" s="179"/>
    </row>
    <row r="709" spans="4:13" hidden="1" outlineLevel="2" x14ac:dyDescent="0.25">
      <c r="D709" s="46" t="s">
        <v>1057</v>
      </c>
      <c r="E709" s="41"/>
      <c r="F709" s="228">
        <f>GEB_Erg_Norm_T8!D12/E708</f>
        <v>11</v>
      </c>
      <c r="G709" s="229"/>
      <c r="H709" s="53"/>
      <c r="I709" s="228">
        <f>F709*$E$708/$H$708</f>
        <v>11</v>
      </c>
      <c r="J709" s="229"/>
      <c r="K709" s="38"/>
      <c r="L709" s="38" t="s">
        <v>1058</v>
      </c>
      <c r="M709" s="25">
        <v>1</v>
      </c>
    </row>
    <row r="710" spans="4:13" hidden="1" outlineLevel="2" x14ac:dyDescent="0.25">
      <c r="D710" s="46" t="s">
        <v>1059</v>
      </c>
      <c r="E710" s="41" t="s">
        <v>1060</v>
      </c>
      <c r="F710" s="232">
        <f>GEB_Erg_Norm_T8!D11/E708</f>
        <v>0</v>
      </c>
      <c r="G710" s="233"/>
      <c r="H710" s="53" t="s">
        <v>1060</v>
      </c>
      <c r="I710" s="228">
        <f>F710*$E$708/$H$708</f>
        <v>0</v>
      </c>
      <c r="J710" s="229"/>
      <c r="K710" s="49">
        <f>(F710+F709)/F709</f>
        <v>1</v>
      </c>
      <c r="L710" s="38" t="s">
        <v>1061</v>
      </c>
      <c r="M710" s="25">
        <v>1</v>
      </c>
    </row>
    <row r="711" spans="4:13" hidden="1" outlineLevel="2" x14ac:dyDescent="0.25">
      <c r="D711" s="46" t="s">
        <v>1062</v>
      </c>
      <c r="E711" s="41" t="s">
        <v>1060</v>
      </c>
      <c r="F711" s="232">
        <f>GEB_Erg_Norm_T8!D10/E708</f>
        <v>11.604497041420119</v>
      </c>
      <c r="G711" s="233"/>
      <c r="H711" s="53" t="s">
        <v>1060</v>
      </c>
      <c r="I711" s="228">
        <f>F711*$E$708/$H$708</f>
        <v>11.604497041420119</v>
      </c>
      <c r="J711" s="229"/>
      <c r="K711" s="49">
        <f>(F711+F710+F709)/(F710+F709)</f>
        <v>2.054954276492738</v>
      </c>
      <c r="L711" s="38" t="s">
        <v>1063</v>
      </c>
      <c r="M711" s="25">
        <v>1</v>
      </c>
    </row>
    <row r="712" spans="4:13" hidden="1" outlineLevel="2" x14ac:dyDescent="0.25">
      <c r="D712" s="46" t="s">
        <v>1064</v>
      </c>
      <c r="E712" s="41" t="s">
        <v>1060</v>
      </c>
      <c r="F712" s="232">
        <f>GEB_Erg_Norm_T8!D9/E708</f>
        <v>1.1061369399830938</v>
      </c>
      <c r="G712" s="233"/>
      <c r="H712" s="53" t="s">
        <v>1060</v>
      </c>
      <c r="I712" s="228">
        <f t="shared" ref="I712:I715" si="55">F712*$E$708/$H$708</f>
        <v>1.1061369399830938</v>
      </c>
      <c r="J712" s="229"/>
      <c r="K712" s="49">
        <f>(F711+F710+F709+F712)/(F711+F710+F709)</f>
        <v>1.0489343752243736</v>
      </c>
      <c r="L712" s="38" t="s">
        <v>1065</v>
      </c>
      <c r="M712" s="25">
        <v>1</v>
      </c>
    </row>
    <row r="713" spans="4:13" hidden="1" outlineLevel="2" x14ac:dyDescent="0.25">
      <c r="D713" s="46" t="s">
        <v>148</v>
      </c>
      <c r="E713" s="41" t="s">
        <v>1066</v>
      </c>
      <c r="F713" s="232">
        <f>F709+F710+F711+F712</f>
        <v>23.710633981403213</v>
      </c>
      <c r="G713" s="233"/>
      <c r="H713" s="53" t="s">
        <v>1066</v>
      </c>
      <c r="I713" s="228">
        <f t="shared" si="55"/>
        <v>23.710633981403213</v>
      </c>
      <c r="J713" s="229"/>
      <c r="K713" s="148"/>
      <c r="L713" s="149"/>
      <c r="M713" s="150"/>
    </row>
    <row r="714" spans="4:13" hidden="1" outlineLevel="2" x14ac:dyDescent="0.25">
      <c r="D714" s="46" t="s">
        <v>1067</v>
      </c>
      <c r="E714" s="41" t="s">
        <v>1060</v>
      </c>
      <c r="F714" s="232">
        <f>GEB_Erg_Norm_T8!D6/E708</f>
        <v>1.8248182586644126</v>
      </c>
      <c r="G714" s="233"/>
      <c r="H714" s="53" t="s">
        <v>1060</v>
      </c>
      <c r="I714" s="228">
        <f t="shared" si="55"/>
        <v>1.8248182586644126</v>
      </c>
      <c r="J714" s="229"/>
      <c r="K714" s="49">
        <f>F717/F713</f>
        <v>0.59204240476183678</v>
      </c>
      <c r="L714" s="38" t="s">
        <v>1068</v>
      </c>
      <c r="M714" s="25">
        <v>2</v>
      </c>
    </row>
    <row r="715" spans="4:13" hidden="1" outlineLevel="2" x14ac:dyDescent="0.25">
      <c r="D715" s="61" t="s">
        <v>1069</v>
      </c>
      <c r="E715" s="168" t="s">
        <v>1066</v>
      </c>
      <c r="F715" s="212">
        <f>F713+F714</f>
        <v>25.535452240067624</v>
      </c>
      <c r="G715" s="245"/>
      <c r="H715" s="216" t="s">
        <v>1066</v>
      </c>
      <c r="I715" s="212">
        <f t="shared" si="55"/>
        <v>25.535452240067624</v>
      </c>
      <c r="J715" s="213"/>
      <c r="K715" s="222"/>
      <c r="L715" s="223"/>
      <c r="M715" s="224"/>
    </row>
    <row r="716" spans="4:13" hidden="1" outlineLevel="2" x14ac:dyDescent="0.25">
      <c r="D716" s="46" t="s">
        <v>705</v>
      </c>
      <c r="E716" s="169"/>
      <c r="F716" s="246"/>
      <c r="G716" s="247"/>
      <c r="H716" s="217"/>
      <c r="I716" s="214"/>
      <c r="J716" s="215"/>
      <c r="K716" s="225"/>
      <c r="L716" s="226"/>
      <c r="M716" s="227"/>
    </row>
    <row r="717" spans="4:13" hidden="1" outlineLevel="2" x14ac:dyDescent="0.25">
      <c r="D717" s="46" t="s">
        <v>1070</v>
      </c>
      <c r="E717" s="41" t="s">
        <v>30</v>
      </c>
      <c r="F717" s="232">
        <f>F715-F718</f>
        <v>14.037700760777684</v>
      </c>
      <c r="G717" s="248"/>
      <c r="H717" s="53" t="s">
        <v>30</v>
      </c>
      <c r="I717" s="228">
        <f>F717*$E$708/$H$708</f>
        <v>14.037700760777682</v>
      </c>
      <c r="J717" s="229"/>
      <c r="K717" s="49">
        <f>F717/F709</f>
        <v>1.2761546146161531</v>
      </c>
      <c r="L717" s="148" t="s">
        <v>1071</v>
      </c>
      <c r="M717" s="150"/>
    </row>
    <row r="718" spans="4:13" hidden="1" outlineLevel="2" x14ac:dyDescent="0.25">
      <c r="D718" s="61" t="s">
        <v>1072</v>
      </c>
      <c r="E718" s="168" t="s">
        <v>1066</v>
      </c>
      <c r="F718" s="212">
        <f>GEB_Erg_Norm_T8!D7/E708</f>
        <v>11.49775147928994</v>
      </c>
      <c r="G718" s="245"/>
      <c r="H718" s="216" t="s">
        <v>1066</v>
      </c>
      <c r="I718" s="212">
        <f>F718*$E$708/$H$708</f>
        <v>11.49775147928994</v>
      </c>
      <c r="J718" s="213"/>
      <c r="K718" s="222"/>
      <c r="L718" s="223"/>
      <c r="M718" s="224"/>
    </row>
    <row r="719" spans="4:13" hidden="1" outlineLevel="2" x14ac:dyDescent="0.25">
      <c r="D719" s="46" t="s">
        <v>1073</v>
      </c>
      <c r="E719" s="169"/>
      <c r="F719" s="246"/>
      <c r="G719" s="247"/>
      <c r="H719" s="217"/>
      <c r="I719" s="214"/>
      <c r="J719" s="215"/>
      <c r="K719" s="225"/>
      <c r="L719" s="226"/>
      <c r="M719" s="227"/>
    </row>
    <row r="720" spans="4:13" hidden="1" outlineLevel="2" x14ac:dyDescent="0.25">
      <c r="D720" s="61" t="s">
        <v>1074</v>
      </c>
      <c r="E720" s="168" t="s">
        <v>1060</v>
      </c>
      <c r="F720" s="212">
        <v>0</v>
      </c>
      <c r="G720" s="245"/>
      <c r="H720" s="216" t="s">
        <v>1060</v>
      </c>
      <c r="I720" s="212">
        <f>F720*$E$708/$H$708</f>
        <v>0</v>
      </c>
      <c r="J720" s="213"/>
      <c r="K720" s="222"/>
      <c r="L720" s="223"/>
      <c r="M720" s="224"/>
    </row>
    <row r="721" spans="2:13" hidden="1" outlineLevel="2" x14ac:dyDescent="0.25">
      <c r="D721" s="46" t="s">
        <v>1073</v>
      </c>
      <c r="E721" s="169"/>
      <c r="F721" s="246"/>
      <c r="G721" s="247"/>
      <c r="H721" s="217"/>
      <c r="I721" s="214"/>
      <c r="J721" s="215"/>
      <c r="K721" s="225"/>
      <c r="L721" s="226"/>
      <c r="M721" s="227"/>
    </row>
    <row r="722" spans="2:13" hidden="1" outlineLevel="2" x14ac:dyDescent="0.25">
      <c r="D722" s="61" t="s">
        <v>1075</v>
      </c>
      <c r="E722" s="168" t="s">
        <v>1066</v>
      </c>
      <c r="F722" s="212">
        <f>F718+F720</f>
        <v>11.49775147928994</v>
      </c>
      <c r="G722" s="245"/>
      <c r="H722" s="216" t="s">
        <v>1066</v>
      </c>
      <c r="I722" s="212">
        <f>F722*$E$708/$H$708</f>
        <v>11.49775147928994</v>
      </c>
      <c r="J722" s="213"/>
      <c r="K722" s="222"/>
      <c r="L722" s="223"/>
      <c r="M722" s="224"/>
    </row>
    <row r="723" spans="2:13" hidden="1" outlineLevel="2" x14ac:dyDescent="0.25">
      <c r="D723" s="46" t="s">
        <v>1076</v>
      </c>
      <c r="E723" s="169"/>
      <c r="F723" s="246"/>
      <c r="G723" s="247"/>
      <c r="H723" s="217"/>
      <c r="I723" s="214"/>
      <c r="J723" s="215"/>
      <c r="K723" s="225"/>
      <c r="L723" s="226"/>
      <c r="M723" s="227"/>
    </row>
    <row r="724" spans="2:13" hidden="1" outlineLevel="2" x14ac:dyDescent="0.25">
      <c r="D724" s="13" t="s">
        <v>790</v>
      </c>
    </row>
    <row r="725" spans="2:13" s="4" customFormat="1" ht="16.5" outlineLevel="1" x14ac:dyDescent="0.25">
      <c r="B725" s="5" t="s">
        <v>1077</v>
      </c>
    </row>
    <row r="726" spans="2:13" s="4" customFormat="1" ht="15.75" outlineLevel="2" collapsed="1" x14ac:dyDescent="0.25">
      <c r="C726" s="20" t="s">
        <v>1078</v>
      </c>
    </row>
    <row r="727" spans="2:13" s="17" customFormat="1" hidden="1" outlineLevel="3" x14ac:dyDescent="0.25">
      <c r="D727" s="18" t="s">
        <v>1079</v>
      </c>
    </row>
    <row r="728" spans="2:13" hidden="1" outlineLevel="3" x14ac:dyDescent="0.25">
      <c r="D728" s="157" t="s">
        <v>0</v>
      </c>
      <c r="E728" s="158"/>
      <c r="F728" s="79" t="s">
        <v>1080</v>
      </c>
    </row>
    <row r="729" spans="2:13" hidden="1" outlineLevel="3" x14ac:dyDescent="0.25">
      <c r="D729" s="24" t="s">
        <v>1081</v>
      </c>
      <c r="E729" s="25" t="s">
        <v>1082</v>
      </c>
      <c r="F729" s="25" t="s">
        <v>1277</v>
      </c>
    </row>
    <row r="730" spans="2:13" s="17" customFormat="1" hidden="1" outlineLevel="3" x14ac:dyDescent="0.25">
      <c r="D730" s="18" t="s">
        <v>1083</v>
      </c>
    </row>
    <row r="731" spans="2:13" hidden="1" outlineLevel="3" x14ac:dyDescent="0.25">
      <c r="D731" s="159" t="s">
        <v>0</v>
      </c>
      <c r="E731" s="160"/>
      <c r="F731" s="159" t="s">
        <v>1084</v>
      </c>
      <c r="G731" s="160"/>
      <c r="H731" s="159" t="s">
        <v>1085</v>
      </c>
      <c r="I731" s="160"/>
      <c r="J731" s="45" t="s">
        <v>1086</v>
      </c>
    </row>
    <row r="732" spans="2:13" hidden="1" outlineLevel="3" x14ac:dyDescent="0.25">
      <c r="D732" s="163"/>
      <c r="E732" s="164"/>
      <c r="F732" s="163"/>
      <c r="G732" s="164"/>
      <c r="H732" s="163"/>
      <c r="I732" s="164"/>
      <c r="J732" s="41" t="s">
        <v>818</v>
      </c>
    </row>
    <row r="733" spans="2:13" hidden="1" outlineLevel="3" x14ac:dyDescent="0.25">
      <c r="D733" s="24" t="str">
        <f>D729</f>
        <v>Wce1</v>
      </c>
      <c r="E733" s="25" t="str">
        <f>E729</f>
        <v>TW-Zapfstellen</v>
      </c>
      <c r="F733" s="25" t="s">
        <v>942</v>
      </c>
      <c r="G733" s="25" t="str">
        <f>E599</f>
        <v>TW-Netz</v>
      </c>
      <c r="H733" s="25" t="s">
        <v>514</v>
      </c>
      <c r="I733" s="25" t="str">
        <f>E92</f>
        <v>Wohnen</v>
      </c>
      <c r="J733" s="23">
        <v>100</v>
      </c>
    </row>
    <row r="734" spans="2:13" s="17" customFormat="1" hidden="1" outlineLevel="3" x14ac:dyDescent="0.25">
      <c r="D734" s="18" t="s">
        <v>1087</v>
      </c>
    </row>
    <row r="735" spans="2:13" hidden="1" outlineLevel="3" x14ac:dyDescent="0.25">
      <c r="D735" s="159" t="s">
        <v>0</v>
      </c>
      <c r="E735" s="160"/>
      <c r="F735" s="45" t="s">
        <v>1088</v>
      </c>
      <c r="G735" s="45" t="s">
        <v>1089</v>
      </c>
      <c r="H735" s="45" t="s">
        <v>1090</v>
      </c>
    </row>
    <row r="736" spans="2:13" hidden="1" outlineLevel="3" x14ac:dyDescent="0.25">
      <c r="D736" s="163"/>
      <c r="E736" s="164"/>
      <c r="F736" s="41" t="s">
        <v>709</v>
      </c>
      <c r="G736" s="41" t="s">
        <v>710</v>
      </c>
      <c r="H736" s="41" t="s">
        <v>709</v>
      </c>
    </row>
    <row r="737" spans="3:10" hidden="1" outlineLevel="3" x14ac:dyDescent="0.25">
      <c r="D737" s="24" t="s">
        <v>1081</v>
      </c>
      <c r="E737" s="25" t="str">
        <f>E733</f>
        <v>TW-Zapfstellen</v>
      </c>
      <c r="F737" s="49">
        <f>F710</f>
        <v>0</v>
      </c>
      <c r="G737" s="49">
        <f>K710</f>
        <v>1</v>
      </c>
      <c r="H737" s="49">
        <f>GEB_Erg_Norm_T8!D18/E708</f>
        <v>0</v>
      </c>
    </row>
    <row r="738" spans="3:10" s="4" customFormat="1" ht="15.75" outlineLevel="2" collapsed="1" x14ac:dyDescent="0.25">
      <c r="C738" s="20" t="s">
        <v>1091</v>
      </c>
    </row>
    <row r="739" spans="3:10" s="17" customFormat="1" hidden="1" outlineLevel="3" x14ac:dyDescent="0.25">
      <c r="D739" s="18" t="s">
        <v>1079</v>
      </c>
    </row>
    <row r="740" spans="3:10" hidden="1" outlineLevel="3" x14ac:dyDescent="0.25">
      <c r="D740" s="157" t="s">
        <v>0</v>
      </c>
      <c r="E740" s="158"/>
      <c r="F740" s="79" t="s">
        <v>1080</v>
      </c>
    </row>
    <row r="741" spans="3:10" hidden="1" outlineLevel="3" x14ac:dyDescent="0.25">
      <c r="D741" s="24" t="str">
        <f>F733</f>
        <v>Wd1</v>
      </c>
      <c r="E741" s="25" t="str">
        <f>E599</f>
        <v>TW-Netz</v>
      </c>
      <c r="F741" s="25" t="s">
        <v>1278</v>
      </c>
    </row>
    <row r="742" spans="3:10" s="17" customFormat="1" hidden="1" outlineLevel="3" x14ac:dyDescent="0.25">
      <c r="D742" s="18" t="s">
        <v>1083</v>
      </c>
    </row>
    <row r="743" spans="3:10" hidden="1" outlineLevel="3" x14ac:dyDescent="0.25">
      <c r="D743" s="157" t="s">
        <v>0</v>
      </c>
      <c r="E743" s="158"/>
      <c r="F743" s="157" t="s">
        <v>1084</v>
      </c>
      <c r="G743" s="158"/>
    </row>
    <row r="744" spans="3:10" hidden="1" outlineLevel="3" x14ac:dyDescent="0.25">
      <c r="D744" s="24" t="str">
        <f>D741</f>
        <v>Wd1</v>
      </c>
      <c r="E744" s="25" t="str">
        <f>E599</f>
        <v>TW-Netz</v>
      </c>
      <c r="F744" s="25" t="str">
        <f>D764</f>
        <v>Ws1</v>
      </c>
      <c r="G744" s="66" t="str">
        <f>E764</f>
        <v>Solarspeicher</v>
      </c>
    </row>
    <row r="745" spans="3:10" s="17" customFormat="1" hidden="1" outlineLevel="3" x14ac:dyDescent="0.25">
      <c r="D745" s="18" t="s">
        <v>1087</v>
      </c>
    </row>
    <row r="746" spans="3:10" hidden="1" outlineLevel="3" x14ac:dyDescent="0.25">
      <c r="D746" s="159" t="s">
        <v>0</v>
      </c>
      <c r="E746" s="160"/>
      <c r="F746" s="45" t="s">
        <v>1088</v>
      </c>
      <c r="G746" s="45" t="s">
        <v>1089</v>
      </c>
      <c r="H746" s="45" t="s">
        <v>1090</v>
      </c>
    </row>
    <row r="747" spans="3:10" hidden="1" outlineLevel="3" x14ac:dyDescent="0.25">
      <c r="D747" s="163"/>
      <c r="E747" s="164"/>
      <c r="F747" s="41" t="s">
        <v>709</v>
      </c>
      <c r="G747" s="41" t="s">
        <v>710</v>
      </c>
      <c r="H747" s="41" t="s">
        <v>709</v>
      </c>
    </row>
    <row r="748" spans="3:10" hidden="1" outlineLevel="3" x14ac:dyDescent="0.25">
      <c r="D748" s="24" t="str">
        <f>D744</f>
        <v>Wd1</v>
      </c>
      <c r="E748" s="25" t="str">
        <f>E744</f>
        <v>TW-Netz</v>
      </c>
      <c r="F748" s="49">
        <f>F711</f>
        <v>11.604497041420119</v>
      </c>
      <c r="G748" s="49">
        <f>K711</f>
        <v>2.054954276492738</v>
      </c>
      <c r="H748" s="49">
        <f>GEB_Erg_Norm_T8!D17/E708</f>
        <v>0.19661876584953508</v>
      </c>
    </row>
    <row r="749" spans="3:10" s="17" customFormat="1" hidden="1" outlineLevel="3" x14ac:dyDescent="0.25">
      <c r="D749" s="18" t="s">
        <v>1093</v>
      </c>
    </row>
    <row r="750" spans="3:10" hidden="1" outlineLevel="3" x14ac:dyDescent="0.25">
      <c r="D750" s="159" t="s">
        <v>0</v>
      </c>
      <c r="E750" s="160"/>
      <c r="F750" s="45" t="s">
        <v>750</v>
      </c>
      <c r="G750" s="45" t="s">
        <v>934</v>
      </c>
      <c r="H750" s="45" t="s">
        <v>935</v>
      </c>
      <c r="I750" s="45" t="s">
        <v>936</v>
      </c>
      <c r="J750" s="45" t="s">
        <v>937</v>
      </c>
    </row>
    <row r="751" spans="3:10" hidden="1" outlineLevel="3" x14ac:dyDescent="0.25">
      <c r="D751" s="163"/>
      <c r="E751" s="164"/>
      <c r="F751" s="41" t="s">
        <v>746</v>
      </c>
      <c r="G751" s="41" t="s">
        <v>892</v>
      </c>
      <c r="H751" s="41" t="s">
        <v>892</v>
      </c>
      <c r="I751" s="41" t="s">
        <v>892</v>
      </c>
      <c r="J751" s="41" t="s">
        <v>710</v>
      </c>
    </row>
    <row r="752" spans="3:10" hidden="1" outlineLevel="3" x14ac:dyDescent="0.25">
      <c r="D752" s="24" t="str">
        <f>D748</f>
        <v>Wd1</v>
      </c>
      <c r="E752" s="25" t="str">
        <f>E748</f>
        <v>TW-Netz</v>
      </c>
      <c r="F752" s="42">
        <f>F599</f>
        <v>295.75</v>
      </c>
      <c r="G752" s="42">
        <f>G599</f>
        <v>13.5</v>
      </c>
      <c r="H752" s="42">
        <f>H599</f>
        <v>10</v>
      </c>
      <c r="I752" s="42">
        <f>I599</f>
        <v>2.74</v>
      </c>
      <c r="J752" s="43">
        <f>J599</f>
        <v>2</v>
      </c>
    </row>
    <row r="753" spans="3:10" s="17" customFormat="1" hidden="1" outlineLevel="3" x14ac:dyDescent="0.25">
      <c r="D753" s="18" t="s">
        <v>1094</v>
      </c>
    </row>
    <row r="754" spans="3:10" hidden="1" outlineLevel="3" x14ac:dyDescent="0.25">
      <c r="D754" s="159" t="s">
        <v>0</v>
      </c>
      <c r="E754" s="160"/>
      <c r="F754" s="165" t="s">
        <v>1095</v>
      </c>
      <c r="G754" s="166"/>
      <c r="H754" s="167"/>
      <c r="I754" s="47" t="s">
        <v>1096</v>
      </c>
      <c r="J754" s="168" t="s">
        <v>1097</v>
      </c>
    </row>
    <row r="755" spans="3:10" hidden="1" outlineLevel="3" x14ac:dyDescent="0.25">
      <c r="D755" s="161"/>
      <c r="E755" s="162"/>
      <c r="F755" s="41" t="s">
        <v>111</v>
      </c>
      <c r="G755" s="41" t="s">
        <v>1098</v>
      </c>
      <c r="H755" s="41" t="s">
        <v>1099</v>
      </c>
      <c r="I755" s="41" t="s">
        <v>1100</v>
      </c>
      <c r="J755" s="169"/>
    </row>
    <row r="756" spans="3:10" hidden="1" outlineLevel="3" x14ac:dyDescent="0.25">
      <c r="D756" s="163"/>
      <c r="E756" s="164"/>
      <c r="F756" s="41" t="s">
        <v>892</v>
      </c>
      <c r="G756" s="41" t="s">
        <v>892</v>
      </c>
      <c r="H756" s="41" t="s">
        <v>892</v>
      </c>
      <c r="I756" s="41" t="s">
        <v>1101</v>
      </c>
      <c r="J756" s="41" t="s">
        <v>1102</v>
      </c>
    </row>
    <row r="757" spans="3:10" hidden="1" outlineLevel="3" x14ac:dyDescent="0.25">
      <c r="D757" s="24" t="str">
        <f>D752</f>
        <v>Wd1</v>
      </c>
      <c r="E757" s="24" t="str">
        <f>E752</f>
        <v>TW-Netz</v>
      </c>
      <c r="F757" s="23">
        <v>22</v>
      </c>
      <c r="G757" s="23">
        <v>55</v>
      </c>
      <c r="H757" s="43">
        <v>20</v>
      </c>
      <c r="I757" s="49">
        <f>SUM(F757:H757)/G74</f>
        <v>0.32797971259509723</v>
      </c>
      <c r="J757" s="23">
        <v>12</v>
      </c>
    </row>
    <row r="758" spans="3:10" s="17" customFormat="1" hidden="1" outlineLevel="3" x14ac:dyDescent="0.25">
      <c r="D758" s="18" t="s">
        <v>1103</v>
      </c>
    </row>
    <row r="759" spans="3:10" hidden="1" outlineLevel="3" x14ac:dyDescent="0.25">
      <c r="D759" s="157" t="s">
        <v>0</v>
      </c>
      <c r="E759" s="158"/>
      <c r="F759" s="45" t="s">
        <v>1104</v>
      </c>
      <c r="G759" s="79" t="s">
        <v>1105</v>
      </c>
      <c r="H759" s="79" t="s">
        <v>1106</v>
      </c>
    </row>
    <row r="760" spans="3:10" ht="15.75" hidden="1" customHeight="1" outlineLevel="3" x14ac:dyDescent="0.25">
      <c r="D760" s="24" t="str">
        <f>D757</f>
        <v>Wd1</v>
      </c>
      <c r="E760" s="25" t="str">
        <f>E757</f>
        <v>TW-Netz</v>
      </c>
      <c r="F760" s="26" t="s">
        <v>426</v>
      </c>
      <c r="G760" s="25" t="s">
        <v>1285</v>
      </c>
      <c r="H760" s="25" t="s">
        <v>1107</v>
      </c>
    </row>
    <row r="761" spans="3:10" s="4" customFormat="1" ht="15.75" outlineLevel="2" collapsed="1" x14ac:dyDescent="0.25">
      <c r="C761" s="20" t="s">
        <v>1108</v>
      </c>
    </row>
    <row r="762" spans="3:10" s="17" customFormat="1" hidden="1" outlineLevel="3" x14ac:dyDescent="0.25">
      <c r="D762" s="18" t="s">
        <v>1079</v>
      </c>
    </row>
    <row r="763" spans="3:10" hidden="1" outlineLevel="3" x14ac:dyDescent="0.25">
      <c r="D763" s="157" t="s">
        <v>0</v>
      </c>
      <c r="E763" s="158"/>
      <c r="F763" s="79" t="s">
        <v>1080</v>
      </c>
    </row>
    <row r="764" spans="3:10" hidden="1" outlineLevel="3" x14ac:dyDescent="0.25">
      <c r="D764" s="80" t="s">
        <v>1279</v>
      </c>
      <c r="E764" s="66" t="s">
        <v>1286</v>
      </c>
      <c r="F764" s="66" t="s">
        <v>1287</v>
      </c>
    </row>
    <row r="765" spans="3:10" s="17" customFormat="1" hidden="1" outlineLevel="3" x14ac:dyDescent="0.25">
      <c r="D765" s="18" t="s">
        <v>1083</v>
      </c>
    </row>
    <row r="766" spans="3:10" hidden="1" outlineLevel="3" x14ac:dyDescent="0.25">
      <c r="D766" s="157" t="s">
        <v>0</v>
      </c>
      <c r="E766" s="158"/>
      <c r="F766" s="157" t="s">
        <v>1084</v>
      </c>
      <c r="G766" s="158"/>
    </row>
    <row r="767" spans="3:10" hidden="1" outlineLevel="3" x14ac:dyDescent="0.25">
      <c r="D767" s="80" t="str">
        <f>D764</f>
        <v>Ws1</v>
      </c>
      <c r="E767" s="80" t="str">
        <f>E764</f>
        <v>Solarspeicher</v>
      </c>
      <c r="F767" s="66" t="str">
        <f>F788</f>
        <v>W1</v>
      </c>
      <c r="G767" s="66" t="str">
        <f>G788</f>
        <v>Trinkwassersystem</v>
      </c>
    </row>
    <row r="768" spans="3:10" s="17" customFormat="1" hidden="1" outlineLevel="3" x14ac:dyDescent="0.25">
      <c r="D768" s="18" t="s">
        <v>1087</v>
      </c>
    </row>
    <row r="769" spans="3:8" hidden="1" outlineLevel="3" x14ac:dyDescent="0.25">
      <c r="D769" s="159" t="s">
        <v>0</v>
      </c>
      <c r="E769" s="160"/>
      <c r="F769" s="45" t="s">
        <v>1088</v>
      </c>
      <c r="G769" s="45" t="s">
        <v>1089</v>
      </c>
      <c r="H769" s="45" t="s">
        <v>1090</v>
      </c>
    </row>
    <row r="770" spans="3:8" hidden="1" outlineLevel="3" x14ac:dyDescent="0.25">
      <c r="D770" s="163"/>
      <c r="E770" s="164"/>
      <c r="F770" s="71" t="s">
        <v>709</v>
      </c>
      <c r="G770" s="71" t="s">
        <v>710</v>
      </c>
      <c r="H770" s="71" t="s">
        <v>709</v>
      </c>
    </row>
    <row r="771" spans="3:8" hidden="1" outlineLevel="3" x14ac:dyDescent="0.25">
      <c r="D771" s="80" t="str">
        <f>D767</f>
        <v>Ws1</v>
      </c>
      <c r="E771" s="80" t="str">
        <f>E767</f>
        <v>Solarspeicher</v>
      </c>
      <c r="F771" s="42">
        <f>F712</f>
        <v>1.1061369399830938</v>
      </c>
      <c r="G771" s="49">
        <f>K712</f>
        <v>1.0489343752243736</v>
      </c>
      <c r="H771" s="49">
        <f>GEB_Erg_Norm_T8!D16/G74</f>
        <v>0</v>
      </c>
    </row>
    <row r="772" spans="3:8" s="17" customFormat="1" hidden="1" outlineLevel="3" x14ac:dyDescent="0.25">
      <c r="D772" s="18" t="s">
        <v>1280</v>
      </c>
    </row>
    <row r="773" spans="3:8" hidden="1" outlineLevel="3" x14ac:dyDescent="0.25">
      <c r="D773" s="159" t="s">
        <v>0</v>
      </c>
      <c r="E773" s="160"/>
      <c r="F773" s="45" t="s">
        <v>1281</v>
      </c>
      <c r="G773" s="45" t="s">
        <v>1282</v>
      </c>
      <c r="H773" s="45" t="s">
        <v>1159</v>
      </c>
    </row>
    <row r="774" spans="3:8" hidden="1" outlineLevel="3" x14ac:dyDescent="0.25">
      <c r="D774" s="163"/>
      <c r="E774" s="164"/>
      <c r="F774" s="71" t="s">
        <v>1283</v>
      </c>
      <c r="G774" s="71" t="s">
        <v>710</v>
      </c>
      <c r="H774" s="71" t="s">
        <v>1102</v>
      </c>
    </row>
    <row r="775" spans="3:8" hidden="1" outlineLevel="3" x14ac:dyDescent="0.25">
      <c r="D775" s="80" t="str">
        <f>D771</f>
        <v>Ws1</v>
      </c>
      <c r="E775" s="80" t="str">
        <f>E771</f>
        <v>Solarspeicher</v>
      </c>
      <c r="F775" s="23">
        <f>368+216</f>
        <v>584</v>
      </c>
      <c r="G775" s="23">
        <v>1</v>
      </c>
      <c r="H775" s="43">
        <f>44+0.005*215^1.43</f>
        <v>54.82323285243946</v>
      </c>
    </row>
    <row r="776" spans="3:8" s="17" customFormat="1" hidden="1" outlineLevel="3" x14ac:dyDescent="0.25">
      <c r="D776" s="18" t="s">
        <v>1103</v>
      </c>
    </row>
    <row r="777" spans="3:8" hidden="1" outlineLevel="3" x14ac:dyDescent="0.25">
      <c r="D777" s="157" t="s">
        <v>0</v>
      </c>
      <c r="E777" s="158"/>
      <c r="F777" s="79" t="s">
        <v>1284</v>
      </c>
      <c r="G777" s="79" t="s">
        <v>1128</v>
      </c>
    </row>
    <row r="778" spans="3:8" hidden="1" outlineLevel="3" x14ac:dyDescent="0.25">
      <c r="D778" s="80" t="str">
        <f>D775</f>
        <v>Ws1</v>
      </c>
      <c r="E778" s="80" t="str">
        <f>E775</f>
        <v>Solarspeicher</v>
      </c>
      <c r="F778" s="66" t="s">
        <v>1285</v>
      </c>
      <c r="G778" s="66">
        <v>2020</v>
      </c>
    </row>
    <row r="779" spans="3:8" s="4" customFormat="1" ht="15.75" outlineLevel="2" collapsed="1" x14ac:dyDescent="0.25">
      <c r="C779" s="20" t="s">
        <v>1109</v>
      </c>
    </row>
    <row r="780" spans="3:8" s="17" customFormat="1" hidden="1" outlineLevel="3" x14ac:dyDescent="0.25">
      <c r="D780" s="18" t="s">
        <v>1079</v>
      </c>
    </row>
    <row r="781" spans="3:8" hidden="1" outlineLevel="3" x14ac:dyDescent="0.25">
      <c r="D781" s="157" t="s">
        <v>0</v>
      </c>
      <c r="E781" s="158"/>
      <c r="F781" s="79" t="s">
        <v>1080</v>
      </c>
    </row>
    <row r="782" spans="3:8" hidden="1" outlineLevel="3" x14ac:dyDescent="0.25">
      <c r="D782" s="80" t="s">
        <v>1092</v>
      </c>
      <c r="E782" s="80" t="s">
        <v>1150</v>
      </c>
      <c r="F782" s="66" t="s">
        <v>1290</v>
      </c>
    </row>
    <row r="783" spans="3:8" hidden="1" outlineLevel="3" x14ac:dyDescent="0.25">
      <c r="D783" s="80" t="s">
        <v>1288</v>
      </c>
      <c r="E783" s="24" t="s">
        <v>598</v>
      </c>
      <c r="F783" s="25" t="s">
        <v>1289</v>
      </c>
    </row>
    <row r="784" spans="3:8" s="17" customFormat="1" hidden="1" outlineLevel="3" x14ac:dyDescent="0.25">
      <c r="D784" s="18" t="s">
        <v>1083</v>
      </c>
    </row>
    <row r="785" spans="4:10" hidden="1" outlineLevel="3" x14ac:dyDescent="0.25">
      <c r="D785" s="159" t="s">
        <v>0</v>
      </c>
      <c r="E785" s="160"/>
      <c r="F785" s="159" t="s">
        <v>1110</v>
      </c>
      <c r="G785" s="160"/>
      <c r="H785" s="45" t="s">
        <v>1086</v>
      </c>
    </row>
    <row r="786" spans="4:10" hidden="1" outlineLevel="3" x14ac:dyDescent="0.25">
      <c r="D786" s="163"/>
      <c r="E786" s="164"/>
      <c r="F786" s="163"/>
      <c r="G786" s="164"/>
      <c r="H786" s="41" t="s">
        <v>818</v>
      </c>
    </row>
    <row r="787" spans="4:10" hidden="1" outlineLevel="3" x14ac:dyDescent="0.25">
      <c r="D787" s="80" t="str">
        <f>D782</f>
        <v>Wg1</v>
      </c>
      <c r="E787" s="80" t="str">
        <f>E782</f>
        <v>Brennwertkessel</v>
      </c>
      <c r="F787" s="66" t="s">
        <v>513</v>
      </c>
      <c r="G787" s="66" t="str">
        <f>E103</f>
        <v>Trinkwassersystem</v>
      </c>
      <c r="H787" s="42">
        <f>'TGA_WE-TWW_Erz1_Det_Abs'!D3</f>
        <v>51.51</v>
      </c>
    </row>
    <row r="788" spans="4:10" hidden="1" outlineLevel="3" x14ac:dyDescent="0.25">
      <c r="D788" s="80" t="str">
        <f>D783</f>
        <v>Wg2</v>
      </c>
      <c r="E788" s="24" t="str">
        <f>E783</f>
        <v>Solarthermie</v>
      </c>
      <c r="F788" s="25" t="s">
        <v>513</v>
      </c>
      <c r="G788" s="66" t="str">
        <f>G787</f>
        <v>Trinkwassersystem</v>
      </c>
      <c r="H788" s="42">
        <f>'TGA_WE-TWW_Erz2_Det_Abs'!D3</f>
        <v>48.49</v>
      </c>
    </row>
    <row r="789" spans="4:10" s="17" customFormat="1" hidden="1" outlineLevel="3" x14ac:dyDescent="0.25">
      <c r="D789" s="18" t="s">
        <v>1111</v>
      </c>
    </row>
    <row r="790" spans="4:10" ht="24" hidden="1" customHeight="1" outlineLevel="3" x14ac:dyDescent="0.25">
      <c r="D790" s="159" t="s">
        <v>0</v>
      </c>
      <c r="E790" s="160"/>
      <c r="F790" s="168" t="s">
        <v>1112</v>
      </c>
      <c r="G790" s="168" t="s">
        <v>1113</v>
      </c>
      <c r="H790" s="47" t="s">
        <v>380</v>
      </c>
      <c r="I790" s="168" t="s">
        <v>1114</v>
      </c>
      <c r="J790" s="47" t="s">
        <v>1115</v>
      </c>
    </row>
    <row r="791" spans="4:10" hidden="1" outlineLevel="3" x14ac:dyDescent="0.25">
      <c r="D791" s="161"/>
      <c r="E791" s="162"/>
      <c r="F791" s="169"/>
      <c r="G791" s="169"/>
      <c r="H791" s="41" t="s">
        <v>1116</v>
      </c>
      <c r="I791" s="169"/>
      <c r="J791" s="41" t="s">
        <v>1117</v>
      </c>
    </row>
    <row r="792" spans="4:10" hidden="1" outlineLevel="3" x14ac:dyDescent="0.25">
      <c r="D792" s="163"/>
      <c r="E792" s="164"/>
      <c r="F792" s="41" t="s">
        <v>1118</v>
      </c>
      <c r="G792" s="41" t="s">
        <v>1118</v>
      </c>
      <c r="H792" s="41" t="s">
        <v>1118</v>
      </c>
      <c r="I792" s="41" t="s">
        <v>1118</v>
      </c>
      <c r="J792" s="41" t="s">
        <v>1118</v>
      </c>
    </row>
    <row r="793" spans="4:10" hidden="1" outlineLevel="3" x14ac:dyDescent="0.25">
      <c r="D793" s="80" t="str">
        <f>D787</f>
        <v>Wg1</v>
      </c>
      <c r="E793" s="80" t="str">
        <f>E787</f>
        <v>Brennwertkessel</v>
      </c>
      <c r="F793" s="43">
        <f>'TGA_WE-TWW_Erz1_Det_Abs'!D4</f>
        <v>3611.96</v>
      </c>
      <c r="G793" s="43">
        <f>GEB_Erg_Norm_T8!D6</f>
        <v>539.69000000000005</v>
      </c>
      <c r="H793" s="43">
        <f>G793+F793</f>
        <v>4151.6499999999996</v>
      </c>
      <c r="I793" s="23">
        <v>0</v>
      </c>
      <c r="J793" s="43">
        <f>H793-I793</f>
        <v>4151.6499999999996</v>
      </c>
    </row>
    <row r="794" spans="4:10" hidden="1" outlineLevel="3" x14ac:dyDescent="0.25">
      <c r="D794" s="24" t="str">
        <f>D788</f>
        <v>Wg2</v>
      </c>
      <c r="E794" s="24" t="str">
        <f>E788</f>
        <v>Solarthermie</v>
      </c>
      <c r="F794" s="43">
        <f>'TGA_WE-TWW_Erz2_Det_Abs'!D4</f>
        <v>3400.46</v>
      </c>
      <c r="G794" s="23">
        <v>0</v>
      </c>
      <c r="H794" s="43">
        <f>G794+F794</f>
        <v>3400.46</v>
      </c>
      <c r="I794" s="43">
        <f>H794</f>
        <v>3400.46</v>
      </c>
      <c r="J794" s="43">
        <f>H794-I794</f>
        <v>0</v>
      </c>
    </row>
    <row r="795" spans="4:10" s="17" customFormat="1" hidden="1" outlineLevel="3" x14ac:dyDescent="0.25">
      <c r="D795" s="18" t="s">
        <v>1087</v>
      </c>
    </row>
    <row r="796" spans="4:10" hidden="1" outlineLevel="3" x14ac:dyDescent="0.25">
      <c r="D796" s="159" t="s">
        <v>0</v>
      </c>
      <c r="E796" s="160"/>
      <c r="F796" s="168" t="s">
        <v>1088</v>
      </c>
      <c r="G796" s="168" t="s">
        <v>1119</v>
      </c>
      <c r="H796" s="47" t="s">
        <v>1120</v>
      </c>
      <c r="I796" s="168" t="s">
        <v>1090</v>
      </c>
    </row>
    <row r="797" spans="4:10" hidden="1" outlineLevel="3" x14ac:dyDescent="0.25">
      <c r="D797" s="161"/>
      <c r="E797" s="162"/>
      <c r="F797" s="169"/>
      <c r="G797" s="169"/>
      <c r="H797" s="41" t="s">
        <v>1121</v>
      </c>
      <c r="I797" s="169"/>
    </row>
    <row r="798" spans="4:10" hidden="1" outlineLevel="3" x14ac:dyDescent="0.25">
      <c r="D798" s="163"/>
      <c r="E798" s="164"/>
      <c r="F798" s="41" t="s">
        <v>709</v>
      </c>
      <c r="G798" s="41" t="s">
        <v>710</v>
      </c>
      <c r="H798" s="41" t="s">
        <v>710</v>
      </c>
      <c r="I798" s="41" t="s">
        <v>709</v>
      </c>
    </row>
    <row r="799" spans="4:10" hidden="1" outlineLevel="3" x14ac:dyDescent="0.25">
      <c r="D799" s="80" t="str">
        <f>D793</f>
        <v>Wg1</v>
      </c>
      <c r="E799" s="80" t="str">
        <f>E793</f>
        <v>Brennwertkessel</v>
      </c>
      <c r="F799" s="49">
        <f>G793/G74</f>
        <v>1.8248182586644126</v>
      </c>
      <c r="G799" s="49">
        <f>(J793/F793)</f>
        <v>1.1494174907806287</v>
      </c>
      <c r="H799" s="49">
        <f>1/G799</f>
        <v>0.87000590126817057</v>
      </c>
      <c r="I799" s="49">
        <f>GEB_Erg_Norm_T8!D15/G74-I800</f>
        <v>0.49524429416737109</v>
      </c>
    </row>
    <row r="800" spans="4:10" hidden="1" outlineLevel="3" x14ac:dyDescent="0.25">
      <c r="D800" s="24" t="str">
        <f>D794</f>
        <v>Wg2</v>
      </c>
      <c r="E800" s="24" t="str">
        <f>E794</f>
        <v>Solarthermie</v>
      </c>
      <c r="F800" s="49">
        <f>G794/G74</f>
        <v>0</v>
      </c>
      <c r="G800" s="49">
        <f>J794/F794</f>
        <v>0</v>
      </c>
      <c r="H800" s="49" t="s">
        <v>502</v>
      </c>
      <c r="I800" s="49">
        <f>0.025*I794/G74</f>
        <v>0.28744378698224854</v>
      </c>
    </row>
    <row r="801" spans="1:13" s="17" customFormat="1" hidden="1" outlineLevel="3" x14ac:dyDescent="0.25">
      <c r="D801" s="18" t="s">
        <v>1122</v>
      </c>
    </row>
    <row r="802" spans="1:13" hidden="1" outlineLevel="3" x14ac:dyDescent="0.25">
      <c r="D802" s="159" t="s">
        <v>0</v>
      </c>
      <c r="E802" s="160"/>
      <c r="F802" s="165" t="s">
        <v>1123</v>
      </c>
      <c r="G802" s="166"/>
      <c r="H802" s="167"/>
      <c r="I802" s="168" t="s">
        <v>1124</v>
      </c>
      <c r="J802" s="45" t="s">
        <v>1046</v>
      </c>
      <c r="K802" s="45" t="s">
        <v>1125</v>
      </c>
    </row>
    <row r="803" spans="1:13" hidden="1" outlineLevel="3" x14ac:dyDescent="0.25">
      <c r="D803" s="163"/>
      <c r="E803" s="164"/>
      <c r="F803" s="41" t="s">
        <v>68</v>
      </c>
      <c r="G803" s="41" t="s">
        <v>378</v>
      </c>
      <c r="H803" s="41" t="s">
        <v>1126</v>
      </c>
      <c r="I803" s="169"/>
      <c r="J803" s="41" t="s">
        <v>988</v>
      </c>
      <c r="K803" s="41" t="s">
        <v>746</v>
      </c>
    </row>
    <row r="804" spans="1:13" hidden="1" outlineLevel="3" x14ac:dyDescent="0.25">
      <c r="D804" s="80" t="str">
        <f>D799</f>
        <v>Wg1</v>
      </c>
      <c r="E804" s="80" t="str">
        <f>E799</f>
        <v>Brennwertkessel</v>
      </c>
      <c r="F804" s="26" t="s">
        <v>515</v>
      </c>
      <c r="G804" s="26" t="s">
        <v>516</v>
      </c>
      <c r="H804" s="26" t="s">
        <v>515</v>
      </c>
      <c r="I804" s="23" t="s">
        <v>1291</v>
      </c>
      <c r="J804" s="23">
        <v>22</v>
      </c>
      <c r="K804" s="23" t="s">
        <v>502</v>
      </c>
    </row>
    <row r="805" spans="1:13" hidden="1" outlineLevel="3" x14ac:dyDescent="0.25">
      <c r="D805" s="24" t="str">
        <f>D800</f>
        <v>Wg2</v>
      </c>
      <c r="E805" s="24" t="str">
        <f>E800</f>
        <v>Solarthermie</v>
      </c>
      <c r="F805" s="26" t="s">
        <v>516</v>
      </c>
      <c r="G805" s="26" t="s">
        <v>516</v>
      </c>
      <c r="H805" s="26" t="s">
        <v>516</v>
      </c>
      <c r="I805" s="23" t="s">
        <v>598</v>
      </c>
      <c r="J805" s="23" t="s">
        <v>502</v>
      </c>
      <c r="K805" s="23">
        <v>9</v>
      </c>
    </row>
    <row r="806" spans="1:13" s="17" customFormat="1" hidden="1" outlineLevel="3" x14ac:dyDescent="0.25">
      <c r="D806" s="18" t="s">
        <v>1103</v>
      </c>
    </row>
    <row r="807" spans="1:13" hidden="1" outlineLevel="3" x14ac:dyDescent="0.25">
      <c r="D807" s="157" t="s">
        <v>0</v>
      </c>
      <c r="E807" s="158"/>
      <c r="F807" s="79" t="s">
        <v>1127</v>
      </c>
      <c r="G807" s="79" t="s">
        <v>1128</v>
      </c>
    </row>
    <row r="808" spans="1:13" hidden="1" outlineLevel="3" x14ac:dyDescent="0.25">
      <c r="D808" s="80" t="str">
        <f>D804</f>
        <v>Wg1</v>
      </c>
      <c r="E808" s="80" t="str">
        <f>E804</f>
        <v>Brennwertkessel</v>
      </c>
      <c r="F808" s="66" t="s">
        <v>1285</v>
      </c>
      <c r="G808" s="66">
        <v>2020</v>
      </c>
    </row>
    <row r="809" spans="1:13" hidden="1" outlineLevel="3" x14ac:dyDescent="0.25">
      <c r="D809" s="24" t="str">
        <f>D805</f>
        <v>Wg2</v>
      </c>
      <c r="E809" s="24" t="str">
        <f>E805</f>
        <v>Solarthermie</v>
      </c>
      <c r="F809" s="66" t="s">
        <v>1285</v>
      </c>
      <c r="G809" s="25">
        <v>2020</v>
      </c>
    </row>
    <row r="810" spans="1:13" s="3" customFormat="1" ht="18" x14ac:dyDescent="0.25">
      <c r="A810" s="2" t="s">
        <v>1129</v>
      </c>
    </row>
    <row r="811" spans="1:13" s="4" customFormat="1" ht="16.5" outlineLevel="1" collapsed="1" x14ac:dyDescent="0.25">
      <c r="B811" s="5" t="s">
        <v>1130</v>
      </c>
    </row>
    <row r="812" spans="1:13" hidden="1" outlineLevel="2" x14ac:dyDescent="0.25">
      <c r="D812" s="51"/>
    </row>
    <row r="813" spans="1:13" s="4" customFormat="1" ht="16.5" outlineLevel="1" collapsed="1" x14ac:dyDescent="0.25">
      <c r="B813" s="5" t="s">
        <v>1131</v>
      </c>
    </row>
    <row r="814" spans="1:13" hidden="1" outlineLevel="2" x14ac:dyDescent="0.25">
      <c r="D814" s="60" t="s">
        <v>1052</v>
      </c>
      <c r="E814" s="165" t="s">
        <v>1053</v>
      </c>
      <c r="F814" s="166"/>
      <c r="G814" s="166"/>
      <c r="H814" s="166"/>
      <c r="I814" s="166"/>
      <c r="J814" s="167"/>
      <c r="K814" s="153" t="s">
        <v>1054</v>
      </c>
      <c r="L814" s="176" t="s">
        <v>1055</v>
      </c>
      <c r="M814" s="177"/>
    </row>
    <row r="815" spans="1:13" hidden="1" outlineLevel="2" x14ac:dyDescent="0.25">
      <c r="D815" s="61" t="s">
        <v>667</v>
      </c>
      <c r="E815" s="237" t="s">
        <v>390</v>
      </c>
      <c r="F815" s="238"/>
      <c r="G815" s="239"/>
      <c r="H815" s="237" t="s">
        <v>390</v>
      </c>
      <c r="I815" s="238"/>
      <c r="J815" s="239"/>
      <c r="K815" s="234"/>
      <c r="L815" s="235"/>
      <c r="M815" s="236"/>
    </row>
    <row r="816" spans="1:13" hidden="1" outlineLevel="2" x14ac:dyDescent="0.25">
      <c r="D816" s="78"/>
      <c r="E816" s="240"/>
      <c r="F816" s="241"/>
      <c r="G816" s="242"/>
      <c r="H816" s="240" t="s">
        <v>1132</v>
      </c>
      <c r="I816" s="241"/>
      <c r="J816" s="242"/>
      <c r="K816" s="234"/>
      <c r="L816" s="235"/>
      <c r="M816" s="236"/>
    </row>
    <row r="817" spans="4:13" hidden="1" outlineLevel="2" x14ac:dyDescent="0.25">
      <c r="D817" s="62"/>
      <c r="E817" s="243">
        <f>G74</f>
        <v>295.75</v>
      </c>
      <c r="F817" s="244"/>
      <c r="G817" s="53" t="s">
        <v>385</v>
      </c>
      <c r="H817" s="243">
        <f>H378</f>
        <v>295.75</v>
      </c>
      <c r="I817" s="244"/>
      <c r="J817" s="53" t="s">
        <v>385</v>
      </c>
      <c r="K817" s="154"/>
      <c r="L817" s="178"/>
      <c r="M817" s="179"/>
    </row>
    <row r="818" spans="4:13" ht="33" hidden="1" customHeight="1" outlineLevel="2" x14ac:dyDescent="0.25">
      <c r="D818" s="61" t="s">
        <v>1133</v>
      </c>
      <c r="E818" s="168"/>
      <c r="F818" s="218">
        <f>GEB_Erg_Norm_T5!D13/E817</f>
        <v>18.882265426880814</v>
      </c>
      <c r="G818" s="219"/>
      <c r="H818" s="216"/>
      <c r="I818" s="218">
        <f>F818*$E$817/$H$817</f>
        <v>18.882265426880814</v>
      </c>
      <c r="J818" s="219"/>
      <c r="K818" s="151"/>
      <c r="L818" s="151" t="s">
        <v>1134</v>
      </c>
      <c r="M818" s="230">
        <v>1</v>
      </c>
    </row>
    <row r="819" spans="4:13" hidden="1" outlineLevel="2" x14ac:dyDescent="0.25">
      <c r="D819" s="46" t="s">
        <v>1135</v>
      </c>
      <c r="E819" s="169"/>
      <c r="F819" s="220"/>
      <c r="G819" s="221"/>
      <c r="H819" s="217"/>
      <c r="I819" s="220"/>
      <c r="J819" s="221"/>
      <c r="K819" s="152"/>
      <c r="L819" s="152"/>
      <c r="M819" s="231"/>
    </row>
    <row r="820" spans="4:13" hidden="1" outlineLevel="2" x14ac:dyDescent="0.25">
      <c r="D820" s="46" t="s">
        <v>1059</v>
      </c>
      <c r="E820" s="41" t="s">
        <v>1060</v>
      </c>
      <c r="F820" s="228">
        <f>GEB_Erg_Norm_T5!D12/E817</f>
        <v>3.2545393068469992</v>
      </c>
      <c r="G820" s="229"/>
      <c r="H820" s="53" t="s">
        <v>1060</v>
      </c>
      <c r="I820" s="228">
        <f t="shared" ref="I820:I825" si="56">F820*$E$817/$H$817</f>
        <v>3.2545393068469992</v>
      </c>
      <c r="J820" s="229"/>
      <c r="K820" s="49">
        <f>(F820+F818)/(F818)</f>
        <v>1.1723595783276002</v>
      </c>
      <c r="L820" s="38" t="s">
        <v>1061</v>
      </c>
      <c r="M820" s="25">
        <v>2</v>
      </c>
    </row>
    <row r="821" spans="4:13" hidden="1" outlineLevel="2" x14ac:dyDescent="0.25">
      <c r="D821" s="46" t="s">
        <v>1062</v>
      </c>
      <c r="E821" s="41" t="s">
        <v>1060</v>
      </c>
      <c r="F821" s="228">
        <f>GEB_Erg_Norm_T5!D11/E817</f>
        <v>8.4858495350803054</v>
      </c>
      <c r="G821" s="229"/>
      <c r="H821" s="53" t="s">
        <v>1060</v>
      </c>
      <c r="I821" s="228">
        <f t="shared" si="56"/>
        <v>8.4858495350803054</v>
      </c>
      <c r="J821" s="229"/>
      <c r="K821" s="49">
        <f>(F821+F820+F818)/(F820+F818)</f>
        <v>1.3833366936715665</v>
      </c>
      <c r="L821" s="38" t="s">
        <v>1063</v>
      </c>
      <c r="M821" s="25">
        <v>1</v>
      </c>
    </row>
    <row r="822" spans="4:13" hidden="1" outlineLevel="2" x14ac:dyDescent="0.25">
      <c r="D822" s="46" t="s">
        <v>1064</v>
      </c>
      <c r="E822" s="41" t="s">
        <v>1060</v>
      </c>
      <c r="F822" s="232">
        <f>GEB_Erg_Norm_T5!D10/E817</f>
        <v>0</v>
      </c>
      <c r="G822" s="233"/>
      <c r="H822" s="53" t="s">
        <v>1060</v>
      </c>
      <c r="I822" s="228">
        <f t="shared" si="56"/>
        <v>0</v>
      </c>
      <c r="J822" s="229"/>
      <c r="K822" s="49" t="s">
        <v>30</v>
      </c>
      <c r="L822" s="38" t="s">
        <v>1065</v>
      </c>
      <c r="M822" s="25">
        <v>0</v>
      </c>
    </row>
    <row r="823" spans="4:13" hidden="1" outlineLevel="2" x14ac:dyDescent="0.25">
      <c r="D823" s="46" t="s">
        <v>148</v>
      </c>
      <c r="E823" s="41" t="s">
        <v>1066</v>
      </c>
      <c r="F823" s="228">
        <f>F818+F820+F821+F822</f>
        <v>30.62265426880812</v>
      </c>
      <c r="G823" s="229"/>
      <c r="H823" s="53" t="s">
        <v>1066</v>
      </c>
      <c r="I823" s="228">
        <f t="shared" si="56"/>
        <v>30.62265426880812</v>
      </c>
      <c r="J823" s="229"/>
      <c r="K823" s="148"/>
      <c r="L823" s="149"/>
      <c r="M823" s="150"/>
    </row>
    <row r="824" spans="4:13" hidden="1" outlineLevel="2" x14ac:dyDescent="0.25">
      <c r="D824" s="46" t="s">
        <v>1067</v>
      </c>
      <c r="E824" s="41" t="s">
        <v>1060</v>
      </c>
      <c r="F824" s="228">
        <f>GEB_Erg_Norm_T5!D7/E817</f>
        <v>0.76669484361792051</v>
      </c>
      <c r="G824" s="229"/>
      <c r="H824" s="53" t="s">
        <v>1060</v>
      </c>
      <c r="I824" s="228">
        <f t="shared" si="56"/>
        <v>0.76669484361792051</v>
      </c>
      <c r="J824" s="229"/>
      <c r="K824" s="49">
        <f>F827/F823</f>
        <v>1.0250368513744044</v>
      </c>
      <c r="L824" s="38" t="s">
        <v>1068</v>
      </c>
      <c r="M824" s="25">
        <v>1</v>
      </c>
    </row>
    <row r="825" spans="4:13" hidden="1" outlineLevel="2" x14ac:dyDescent="0.25">
      <c r="D825" s="61" t="s">
        <v>1069</v>
      </c>
      <c r="E825" s="168" t="s">
        <v>1066</v>
      </c>
      <c r="F825" s="218">
        <f>F823+F824</f>
        <v>31.389349112426039</v>
      </c>
      <c r="G825" s="219"/>
      <c r="H825" s="216" t="s">
        <v>1066</v>
      </c>
      <c r="I825" s="218">
        <f t="shared" si="56"/>
        <v>31.389349112426039</v>
      </c>
      <c r="J825" s="219"/>
      <c r="K825" s="222"/>
      <c r="L825" s="223"/>
      <c r="M825" s="224"/>
    </row>
    <row r="826" spans="4:13" hidden="1" outlineLevel="2" x14ac:dyDescent="0.25">
      <c r="D826" s="46" t="s">
        <v>705</v>
      </c>
      <c r="E826" s="169"/>
      <c r="F826" s="220"/>
      <c r="G826" s="221"/>
      <c r="H826" s="217"/>
      <c r="I826" s="220"/>
      <c r="J826" s="221"/>
      <c r="K826" s="225"/>
      <c r="L826" s="226"/>
      <c r="M826" s="227"/>
    </row>
    <row r="827" spans="4:13" hidden="1" outlineLevel="2" x14ac:dyDescent="0.25">
      <c r="D827" s="46" t="s">
        <v>1070</v>
      </c>
      <c r="E827" s="41" t="s">
        <v>30</v>
      </c>
      <c r="F827" s="228">
        <f>F825</f>
        <v>31.389349112426039</v>
      </c>
      <c r="G827" s="229"/>
      <c r="H827" s="53" t="s">
        <v>30</v>
      </c>
      <c r="I827" s="228">
        <f>F827*$E$817/$H$817</f>
        <v>31.389349112426039</v>
      </c>
      <c r="J827" s="229"/>
      <c r="K827" s="49">
        <f>F827/F818</f>
        <v>1.6623719878304499</v>
      </c>
      <c r="L827" s="148" t="s">
        <v>1071</v>
      </c>
      <c r="M827" s="150"/>
    </row>
    <row r="828" spans="4:13" hidden="1" outlineLevel="2" x14ac:dyDescent="0.25">
      <c r="D828" s="61" t="s">
        <v>1072</v>
      </c>
      <c r="E828" s="168" t="s">
        <v>1066</v>
      </c>
      <c r="F828" s="212">
        <v>0</v>
      </c>
      <c r="G828" s="213"/>
      <c r="H828" s="216" t="s">
        <v>1066</v>
      </c>
      <c r="I828" s="218">
        <f>F828*$E$817/$H$817</f>
        <v>0</v>
      </c>
      <c r="J828" s="219"/>
      <c r="K828" s="222"/>
      <c r="L828" s="223"/>
      <c r="M828" s="224"/>
    </row>
    <row r="829" spans="4:13" hidden="1" outlineLevel="2" x14ac:dyDescent="0.25">
      <c r="D829" s="46" t="s">
        <v>1073</v>
      </c>
      <c r="E829" s="169"/>
      <c r="F829" s="214"/>
      <c r="G829" s="215"/>
      <c r="H829" s="217"/>
      <c r="I829" s="220"/>
      <c r="J829" s="221"/>
      <c r="K829" s="225"/>
      <c r="L829" s="226"/>
      <c r="M829" s="227"/>
    </row>
    <row r="830" spans="4:13" hidden="1" outlineLevel="2" x14ac:dyDescent="0.25">
      <c r="D830" s="61" t="s">
        <v>1074</v>
      </c>
      <c r="E830" s="168" t="s">
        <v>1060</v>
      </c>
      <c r="F830" s="212">
        <v>0</v>
      </c>
      <c r="G830" s="213"/>
      <c r="H830" s="216" t="s">
        <v>1060</v>
      </c>
      <c r="I830" s="218">
        <f>F830*$E$817/$H$817</f>
        <v>0</v>
      </c>
      <c r="J830" s="219"/>
      <c r="K830" s="222"/>
      <c r="L830" s="223"/>
      <c r="M830" s="224"/>
    </row>
    <row r="831" spans="4:13" hidden="1" outlineLevel="2" x14ac:dyDescent="0.25">
      <c r="D831" s="46" t="s">
        <v>1073</v>
      </c>
      <c r="E831" s="169"/>
      <c r="F831" s="214"/>
      <c r="G831" s="215"/>
      <c r="H831" s="217"/>
      <c r="I831" s="220"/>
      <c r="J831" s="221"/>
      <c r="K831" s="225"/>
      <c r="L831" s="226"/>
      <c r="M831" s="227"/>
    </row>
    <row r="832" spans="4:13" hidden="1" outlineLevel="2" x14ac:dyDescent="0.25">
      <c r="D832" s="61" t="s">
        <v>1075</v>
      </c>
      <c r="E832" s="168" t="s">
        <v>1066</v>
      </c>
      <c r="F832" s="212">
        <v>0</v>
      </c>
      <c r="G832" s="213"/>
      <c r="H832" s="216" t="s">
        <v>1066</v>
      </c>
      <c r="I832" s="218">
        <f>F832*$E$817/$H$817</f>
        <v>0</v>
      </c>
      <c r="J832" s="219"/>
      <c r="K832" s="222"/>
      <c r="L832" s="223"/>
      <c r="M832" s="224"/>
    </row>
    <row r="833" spans="2:13" hidden="1" outlineLevel="2" x14ac:dyDescent="0.25">
      <c r="D833" s="46" t="s">
        <v>1076</v>
      </c>
      <c r="E833" s="169"/>
      <c r="F833" s="214"/>
      <c r="G833" s="215"/>
      <c r="H833" s="217"/>
      <c r="I833" s="220"/>
      <c r="J833" s="221"/>
      <c r="K833" s="225"/>
      <c r="L833" s="226"/>
      <c r="M833" s="227"/>
    </row>
    <row r="834" spans="2:13" s="4" customFormat="1" ht="16.5" outlineLevel="1" x14ac:dyDescent="0.25">
      <c r="B834" s="5" t="s">
        <v>1136</v>
      </c>
    </row>
    <row r="835" spans="2:13" s="4" customFormat="1" ht="15.75" outlineLevel="2" collapsed="1" x14ac:dyDescent="0.25">
      <c r="C835" s="20" t="s">
        <v>1137</v>
      </c>
    </row>
    <row r="836" spans="2:13" s="17" customFormat="1" hidden="1" outlineLevel="3" x14ac:dyDescent="0.25">
      <c r="D836" s="18" t="s">
        <v>1079</v>
      </c>
    </row>
    <row r="837" spans="2:13" hidden="1" outlineLevel="3" x14ac:dyDescent="0.25">
      <c r="D837" s="157" t="s">
        <v>0</v>
      </c>
      <c r="E837" s="158"/>
      <c r="F837" s="79" t="s">
        <v>1080</v>
      </c>
    </row>
    <row r="838" spans="2:13" hidden="1" outlineLevel="3" x14ac:dyDescent="0.25">
      <c r="D838" s="24" t="s">
        <v>1138</v>
      </c>
      <c r="E838" s="25" t="s">
        <v>1312</v>
      </c>
      <c r="F838" s="25" t="s">
        <v>1139</v>
      </c>
    </row>
    <row r="839" spans="2:13" hidden="1" outlineLevel="3" x14ac:dyDescent="0.25">
      <c r="D839" s="24" t="s">
        <v>1140</v>
      </c>
      <c r="E839" s="25" t="s">
        <v>1313</v>
      </c>
      <c r="F839" s="25" t="s">
        <v>1314</v>
      </c>
    </row>
    <row r="840" spans="2:13" s="17" customFormat="1" hidden="1" outlineLevel="3" x14ac:dyDescent="0.25">
      <c r="D840" s="18" t="s">
        <v>1083</v>
      </c>
    </row>
    <row r="841" spans="2:13" hidden="1" outlineLevel="3" x14ac:dyDescent="0.25">
      <c r="D841" s="159" t="s">
        <v>0</v>
      </c>
      <c r="E841" s="160"/>
      <c r="F841" s="159" t="s">
        <v>1084</v>
      </c>
      <c r="G841" s="160"/>
      <c r="H841" s="159" t="s">
        <v>1085</v>
      </c>
      <c r="I841" s="160"/>
      <c r="J841" s="45" t="s">
        <v>1086</v>
      </c>
    </row>
    <row r="842" spans="2:13" hidden="1" outlineLevel="3" x14ac:dyDescent="0.25">
      <c r="D842" s="163"/>
      <c r="E842" s="164"/>
      <c r="F842" s="163"/>
      <c r="G842" s="164"/>
      <c r="H842" s="163"/>
      <c r="I842" s="164"/>
      <c r="J842" s="41" t="s">
        <v>818</v>
      </c>
    </row>
    <row r="843" spans="2:13" hidden="1" outlineLevel="3" x14ac:dyDescent="0.25">
      <c r="D843" s="24" t="str">
        <f>D838</f>
        <v>Hce1</v>
      </c>
      <c r="E843" s="80" t="str">
        <f>E838</f>
        <v>Heizkörper</v>
      </c>
      <c r="F843" s="25" t="str">
        <f>D853</f>
        <v>Hd1</v>
      </c>
      <c r="G843" s="66" t="str">
        <f>E853</f>
        <v>HK-Netz</v>
      </c>
      <c r="H843" s="25" t="str">
        <f>D92</f>
        <v>Z1</v>
      </c>
      <c r="I843" s="25" t="str">
        <f>E92</f>
        <v>Wohnen</v>
      </c>
      <c r="J843" s="23">
        <v>40</v>
      </c>
    </row>
    <row r="844" spans="2:13" hidden="1" outlineLevel="3" x14ac:dyDescent="0.25">
      <c r="D844" s="80" t="str">
        <f>D839</f>
        <v>Hce2</v>
      </c>
      <c r="E844" s="80" t="str">
        <f>E839</f>
        <v>FBH</v>
      </c>
      <c r="F844" s="66" t="str">
        <f>D854</f>
        <v>Hd2</v>
      </c>
      <c r="G844" s="66" t="str">
        <f>E854</f>
        <v>FBH-Netz</v>
      </c>
      <c r="H844" s="66" t="str">
        <f>D92</f>
        <v>Z1</v>
      </c>
      <c r="I844" s="66" t="str">
        <f>E92</f>
        <v>Wohnen</v>
      </c>
      <c r="J844" s="23">
        <v>60</v>
      </c>
    </row>
    <row r="845" spans="2:13" s="17" customFormat="1" hidden="1" outlineLevel="3" x14ac:dyDescent="0.25">
      <c r="D845" s="18" t="s">
        <v>1087</v>
      </c>
    </row>
    <row r="846" spans="2:13" hidden="1" outlineLevel="3" x14ac:dyDescent="0.25">
      <c r="D846" s="159" t="s">
        <v>0</v>
      </c>
      <c r="E846" s="160"/>
      <c r="F846" s="45" t="s">
        <v>1141</v>
      </c>
      <c r="G846" s="45" t="s">
        <v>1088</v>
      </c>
      <c r="H846" s="45" t="s">
        <v>1089</v>
      </c>
      <c r="I846" s="45" t="s">
        <v>1090</v>
      </c>
    </row>
    <row r="847" spans="2:13" hidden="1" outlineLevel="3" x14ac:dyDescent="0.25">
      <c r="D847" s="163"/>
      <c r="E847" s="164"/>
      <c r="F847" s="41" t="s">
        <v>1142</v>
      </c>
      <c r="G847" s="41" t="s">
        <v>709</v>
      </c>
      <c r="H847" s="41" t="s">
        <v>710</v>
      </c>
      <c r="I847" s="41" t="s">
        <v>709</v>
      </c>
    </row>
    <row r="848" spans="2:13" hidden="1" outlineLevel="3" x14ac:dyDescent="0.25">
      <c r="D848" s="24" t="str">
        <f>D838</f>
        <v>Hce1</v>
      </c>
      <c r="E848" s="24" t="str">
        <f>E838</f>
        <v>Heizkörper</v>
      </c>
      <c r="F848" s="42">
        <f>(GEB_Erg_Norm_T2_HZG!D155-GEB_Erg_Norm_T2_HZG!D156)/('TGA_VK-HZG_HK_Det_Abs'!D13/'TGA_VK-HZG_HK_Det_Abs'!D12)</f>
        <v>2.3903405631206089</v>
      </c>
      <c r="G848" s="81">
        <f>'TGA_VK-HZG_HK_Det_Abs'!D12/G74</f>
        <v>1.2537954353338969</v>
      </c>
      <c r="H848" s="49">
        <f>('TGA_VK-HZG_HK_Det_Abs'!D13+'TGA_VK-HZG_HK_Det_Abs'!D12)/'TGA_VK-HZG_HK_Det_Abs'!D13</f>
        <v>1.1660018712759146</v>
      </c>
      <c r="I848" s="49">
        <f>'TGA_VK-HZG_HK_Det_Abs'!D51/G74</f>
        <v>0</v>
      </c>
    </row>
    <row r="849" spans="3:9" hidden="1" outlineLevel="3" x14ac:dyDescent="0.25">
      <c r="D849" s="24" t="str">
        <f>D839</f>
        <v>Hce2</v>
      </c>
      <c r="E849" s="24" t="str">
        <f>E839</f>
        <v>FBH</v>
      </c>
      <c r="F849" s="42">
        <f>(GEB_Erg_Norm_T2_HZG!D155-GEB_Erg_Norm_T2_HZG!D156)/('TGA_VK-HZG_FBH_Det_Abs'!D13/'TGA_VK-HZG_FBH_Det_Abs'!D12)</f>
        <v>2.5429629023531475</v>
      </c>
      <c r="G849" s="81">
        <f>'TGA_VK-HZG_FBH_Det_Abs'!D12/G74</f>
        <v>2.000777683854607</v>
      </c>
      <c r="H849" s="49">
        <f>('TGA_VK-HZG_FBH_Det_Abs'!D13+'TGA_VK-HZG_FBH_Det_Abs'!D12)/'TGA_VK-HZG_FBH_Det_Abs'!D13</f>
        <v>1.1766010278571983</v>
      </c>
      <c r="I849" s="49">
        <f>'TGA_VK-HZG_FBH_Det_Abs'!D51/G74</f>
        <v>0</v>
      </c>
    </row>
    <row r="850" spans="3:9" s="4" customFormat="1" ht="15.75" outlineLevel="2" collapsed="1" x14ac:dyDescent="0.25">
      <c r="C850" s="20" t="s">
        <v>1143</v>
      </c>
    </row>
    <row r="851" spans="3:9" s="17" customFormat="1" hidden="1" outlineLevel="3" x14ac:dyDescent="0.25">
      <c r="D851" s="18" t="s">
        <v>1079</v>
      </c>
    </row>
    <row r="852" spans="3:9" hidden="1" outlineLevel="3" x14ac:dyDescent="0.25">
      <c r="D852" s="157" t="s">
        <v>0</v>
      </c>
      <c r="E852" s="158"/>
      <c r="F852" s="79" t="s">
        <v>1080</v>
      </c>
    </row>
    <row r="853" spans="3:9" hidden="1" outlineLevel="3" x14ac:dyDescent="0.25">
      <c r="D853" s="80" t="str">
        <f>D601</f>
        <v>Hd1</v>
      </c>
      <c r="E853" s="80" t="str">
        <f>E601</f>
        <v>HK-Netz</v>
      </c>
      <c r="F853" s="66" t="s">
        <v>1318</v>
      </c>
    </row>
    <row r="854" spans="3:9" hidden="1" outlineLevel="3" x14ac:dyDescent="0.25">
      <c r="D854" s="80" t="str">
        <f>D602</f>
        <v>Hd2</v>
      </c>
      <c r="E854" s="80" t="str">
        <f>E602</f>
        <v>FBH-Netz</v>
      </c>
      <c r="F854" s="25" t="s">
        <v>1319</v>
      </c>
    </row>
    <row r="855" spans="3:9" s="17" customFormat="1" hidden="1" outlineLevel="3" x14ac:dyDescent="0.25">
      <c r="D855" s="18" t="s">
        <v>1083</v>
      </c>
    </row>
    <row r="856" spans="3:9" hidden="1" outlineLevel="3" x14ac:dyDescent="0.25">
      <c r="D856" s="157" t="s">
        <v>0</v>
      </c>
      <c r="E856" s="158"/>
      <c r="F856" s="157" t="s">
        <v>1084</v>
      </c>
      <c r="G856" s="158"/>
    </row>
    <row r="857" spans="3:9" hidden="1" outlineLevel="3" x14ac:dyDescent="0.25">
      <c r="D857" s="80" t="str">
        <f>D853</f>
        <v>Hd1</v>
      </c>
      <c r="E857" s="80" t="str">
        <f>E853</f>
        <v>HK-Netz</v>
      </c>
      <c r="F857" s="66" t="str">
        <f>F888</f>
        <v>H1</v>
      </c>
      <c r="G857" s="66" t="str">
        <f>G888</f>
        <v>Heizsystem</v>
      </c>
    </row>
    <row r="858" spans="3:9" hidden="1" outlineLevel="3" x14ac:dyDescent="0.25">
      <c r="D858" s="24" t="str">
        <f>D854</f>
        <v>Hd2</v>
      </c>
      <c r="E858" s="24" t="str">
        <f>E854</f>
        <v>FBH-Netz</v>
      </c>
      <c r="F858" s="25" t="str">
        <f>F857</f>
        <v>H1</v>
      </c>
      <c r="G858" s="66" t="str">
        <f>G888</f>
        <v>Heizsystem</v>
      </c>
    </row>
    <row r="859" spans="3:9" s="17" customFormat="1" hidden="1" outlineLevel="3" x14ac:dyDescent="0.25">
      <c r="D859" s="18" t="s">
        <v>1087</v>
      </c>
    </row>
    <row r="860" spans="3:9" hidden="1" outlineLevel="3" x14ac:dyDescent="0.25">
      <c r="D860" s="159" t="s">
        <v>0</v>
      </c>
      <c r="E860" s="160"/>
      <c r="F860" s="45" t="s">
        <v>1088</v>
      </c>
      <c r="G860" s="45" t="s">
        <v>1089</v>
      </c>
      <c r="H860" s="45" t="s">
        <v>1090</v>
      </c>
    </row>
    <row r="861" spans="3:9" hidden="1" outlineLevel="3" x14ac:dyDescent="0.25">
      <c r="D861" s="163"/>
      <c r="E861" s="164"/>
      <c r="F861" s="41" t="s">
        <v>709</v>
      </c>
      <c r="G861" s="41" t="s">
        <v>710</v>
      </c>
      <c r="H861" s="41" t="s">
        <v>709</v>
      </c>
    </row>
    <row r="862" spans="3:9" hidden="1" outlineLevel="3" x14ac:dyDescent="0.25">
      <c r="D862" s="80" t="str">
        <f>D857</f>
        <v>Hd1</v>
      </c>
      <c r="E862" s="80" t="str">
        <f>E857</f>
        <v>HK-Netz</v>
      </c>
      <c r="F862" s="81">
        <f>'TGA_VK-HZG_HK_Det_Abs'!D11/G74</f>
        <v>6.0927134404057481</v>
      </c>
      <c r="G862" s="49">
        <f>('TGA_VK-HZG_HK_Det_Abs'!D13+'TGA_VK-HZG_HK_Det_Abs'!D12+'TGA_VK-HZG_HK_Det_Abs'!D11)/('TGA_VK-HZG_HK_Det_Abs'!D13+'TGA_VK-HZG_HK_Det_Abs'!D12)</f>
        <v>1.6918274731434628</v>
      </c>
      <c r="H862" s="49">
        <f>'TGA_VK-HZG_HK_Det_Abs'!D50/G74</f>
        <v>0.12943364327979712</v>
      </c>
    </row>
    <row r="863" spans="3:9" hidden="1" outlineLevel="3" x14ac:dyDescent="0.25">
      <c r="D863" s="24" t="str">
        <f>D858</f>
        <v>Hd2</v>
      </c>
      <c r="E863" s="24" t="str">
        <f>E858</f>
        <v>FBH-Netz</v>
      </c>
      <c r="F863" s="81">
        <f>'TGA_VK-HZG_FBH_Det_Abs'!D11/G74</f>
        <v>2.3931360946745563</v>
      </c>
      <c r="G863" s="49">
        <f>('TGA_VK-HZG_FBH_Det_Abs'!D13+'TGA_VK-HZG_FBH_Det_Abs'!D12+'TGA_VK-HZG_FBH_Det_Abs'!D11)/('TGA_VK-HZG_FBH_Det_Abs'!D13+'TGA_VK-HZG_FBH_Det_Abs'!D12)</f>
        <v>1.1795281542414626</v>
      </c>
      <c r="H863" s="49">
        <f>'TGA_VK-HZG_FBH_Det_Abs'!D50/G74</f>
        <v>0.19908706677937449</v>
      </c>
    </row>
    <row r="864" spans="3:9" s="17" customFormat="1" hidden="1" outlineLevel="3" x14ac:dyDescent="0.25">
      <c r="D864" s="18" t="s">
        <v>1093</v>
      </c>
    </row>
    <row r="865" spans="3:10" hidden="1" outlineLevel="3" x14ac:dyDescent="0.25">
      <c r="D865" s="159" t="s">
        <v>0</v>
      </c>
      <c r="E865" s="160"/>
      <c r="F865" s="45" t="s">
        <v>750</v>
      </c>
      <c r="G865" s="45" t="s">
        <v>934</v>
      </c>
      <c r="H865" s="45" t="s">
        <v>935</v>
      </c>
      <c r="I865" s="45" t="s">
        <v>936</v>
      </c>
      <c r="J865" s="45" t="s">
        <v>937</v>
      </c>
    </row>
    <row r="866" spans="3:10" hidden="1" outlineLevel="3" x14ac:dyDescent="0.25">
      <c r="D866" s="163"/>
      <c r="E866" s="164"/>
      <c r="F866" s="41" t="s">
        <v>746</v>
      </c>
      <c r="G866" s="41" t="s">
        <v>892</v>
      </c>
      <c r="H866" s="41" t="s">
        <v>892</v>
      </c>
      <c r="I866" s="41" t="s">
        <v>892</v>
      </c>
      <c r="J866" s="41" t="s">
        <v>710</v>
      </c>
    </row>
    <row r="867" spans="3:10" hidden="1" outlineLevel="3" x14ac:dyDescent="0.25">
      <c r="D867" s="80" t="str">
        <f>D862</f>
        <v>Hd1</v>
      </c>
      <c r="E867" s="80" t="str">
        <f>E862</f>
        <v>HK-Netz</v>
      </c>
      <c r="F867" s="42">
        <f>F601</f>
        <v>295.75</v>
      </c>
      <c r="G867" s="42">
        <f t="shared" ref="G867:J868" si="57">G601</f>
        <v>13.5</v>
      </c>
      <c r="H867" s="42">
        <f t="shared" si="57"/>
        <v>10</v>
      </c>
      <c r="I867" s="42">
        <f t="shared" si="57"/>
        <v>2.74</v>
      </c>
      <c r="J867" s="43">
        <f t="shared" si="57"/>
        <v>2</v>
      </c>
    </row>
    <row r="868" spans="3:10" hidden="1" outlineLevel="3" x14ac:dyDescent="0.25">
      <c r="D868" s="24" t="str">
        <f>D863</f>
        <v>Hd2</v>
      </c>
      <c r="E868" s="24" t="str">
        <f>E863</f>
        <v>FBH-Netz</v>
      </c>
      <c r="F868" s="42">
        <f>F602</f>
        <v>295.75</v>
      </c>
      <c r="G868" s="42">
        <f t="shared" si="57"/>
        <v>13.5</v>
      </c>
      <c r="H868" s="42">
        <f t="shared" si="57"/>
        <v>10</v>
      </c>
      <c r="I868" s="42">
        <f t="shared" si="57"/>
        <v>2.74</v>
      </c>
      <c r="J868" s="43">
        <f t="shared" si="57"/>
        <v>2</v>
      </c>
    </row>
    <row r="869" spans="3:10" s="17" customFormat="1" hidden="1" outlineLevel="3" x14ac:dyDescent="0.25">
      <c r="D869" s="18" t="s">
        <v>1094</v>
      </c>
    </row>
    <row r="870" spans="3:10" hidden="1" outlineLevel="3" x14ac:dyDescent="0.25">
      <c r="D870" s="159" t="s">
        <v>0</v>
      </c>
      <c r="E870" s="160"/>
      <c r="F870" s="165" t="s">
        <v>1095</v>
      </c>
      <c r="G870" s="166"/>
      <c r="H870" s="167"/>
      <c r="I870" s="47" t="s">
        <v>1096</v>
      </c>
      <c r="J870" s="168" t="s">
        <v>1097</v>
      </c>
    </row>
    <row r="871" spans="3:10" hidden="1" outlineLevel="3" x14ac:dyDescent="0.25">
      <c r="D871" s="161"/>
      <c r="E871" s="162"/>
      <c r="F871" s="41" t="s">
        <v>111</v>
      </c>
      <c r="G871" s="41" t="s">
        <v>1098</v>
      </c>
      <c r="H871" s="41" t="s">
        <v>1099</v>
      </c>
      <c r="I871" s="41" t="s">
        <v>1100</v>
      </c>
      <c r="J871" s="169"/>
    </row>
    <row r="872" spans="3:10" hidden="1" outlineLevel="3" x14ac:dyDescent="0.25">
      <c r="D872" s="163"/>
      <c r="E872" s="164"/>
      <c r="F872" s="41" t="s">
        <v>892</v>
      </c>
      <c r="G872" s="41" t="s">
        <v>892</v>
      </c>
      <c r="H872" s="41" t="s">
        <v>892</v>
      </c>
      <c r="I872" s="41" t="s">
        <v>1101</v>
      </c>
      <c r="J872" s="41" t="s">
        <v>1102</v>
      </c>
    </row>
    <row r="873" spans="3:10" hidden="1" outlineLevel="3" x14ac:dyDescent="0.25">
      <c r="D873" s="80" t="str">
        <f>D867</f>
        <v>Hd1</v>
      </c>
      <c r="E873" s="80" t="str">
        <f>E867</f>
        <v>HK-Netz</v>
      </c>
      <c r="F873" s="23">
        <v>236</v>
      </c>
      <c r="G873" s="23">
        <v>5</v>
      </c>
      <c r="H873" s="23">
        <v>37</v>
      </c>
      <c r="I873" s="49">
        <f>(F873+G873+H873)/G74</f>
        <v>0.93998309382924772</v>
      </c>
      <c r="J873" s="23">
        <v>20</v>
      </c>
    </row>
    <row r="874" spans="3:10" hidden="1" outlineLevel="3" x14ac:dyDescent="0.25">
      <c r="D874" s="24" t="str">
        <f>D868</f>
        <v>Hd2</v>
      </c>
      <c r="E874" s="24" t="str">
        <f>E868</f>
        <v>FBH-Netz</v>
      </c>
      <c r="F874" s="23">
        <v>62</v>
      </c>
      <c r="G874" s="23">
        <v>5</v>
      </c>
      <c r="H874" s="23">
        <v>0</v>
      </c>
      <c r="I874" s="49">
        <f>(F874+G874+H874)/G74</f>
        <v>0.22654268808114961</v>
      </c>
      <c r="J874" s="23">
        <v>31</v>
      </c>
    </row>
    <row r="875" spans="3:10" s="17" customFormat="1" hidden="1" outlineLevel="3" x14ac:dyDescent="0.25">
      <c r="D875" s="18" t="s">
        <v>1144</v>
      </c>
    </row>
    <row r="876" spans="3:10" hidden="1" outlineLevel="3" x14ac:dyDescent="0.25">
      <c r="D876" s="159" t="s">
        <v>0</v>
      </c>
      <c r="E876" s="160"/>
      <c r="F876" s="165" t="s">
        <v>1145</v>
      </c>
      <c r="G876" s="167"/>
      <c r="H876" s="79" t="s">
        <v>1146</v>
      </c>
      <c r="I876" s="79" t="s">
        <v>1106</v>
      </c>
    </row>
    <row r="877" spans="3:10" hidden="1" outlineLevel="3" x14ac:dyDescent="0.25">
      <c r="D877" s="163"/>
      <c r="E877" s="164"/>
      <c r="F877" s="41" t="s">
        <v>775</v>
      </c>
      <c r="G877" s="41" t="s">
        <v>775</v>
      </c>
      <c r="H877" s="53"/>
      <c r="I877" s="53"/>
    </row>
    <row r="878" spans="3:10" hidden="1" outlineLevel="3" x14ac:dyDescent="0.25">
      <c r="D878" s="80" t="str">
        <f>D873</f>
        <v>Hd1</v>
      </c>
      <c r="E878" s="80" t="str">
        <f>E873</f>
        <v>HK-Netz</v>
      </c>
      <c r="F878" s="23">
        <v>55</v>
      </c>
      <c r="G878" s="23">
        <v>45</v>
      </c>
      <c r="H878" s="66" t="s">
        <v>1285</v>
      </c>
      <c r="I878" s="66" t="s">
        <v>1107</v>
      </c>
    </row>
    <row r="879" spans="3:10" hidden="1" outlineLevel="3" x14ac:dyDescent="0.25">
      <c r="D879" s="24" t="str">
        <f>D874</f>
        <v>Hd2</v>
      </c>
      <c r="E879" s="24" t="str">
        <f>E874</f>
        <v>FBH-Netz</v>
      </c>
      <c r="F879" s="23">
        <v>35</v>
      </c>
      <c r="G879" s="23">
        <v>28</v>
      </c>
      <c r="H879" s="66" t="s">
        <v>1285</v>
      </c>
      <c r="I879" s="25" t="s">
        <v>1107</v>
      </c>
    </row>
    <row r="880" spans="3:10" s="4" customFormat="1" ht="15.75" outlineLevel="2" x14ac:dyDescent="0.25">
      <c r="C880" s="20" t="s">
        <v>1147</v>
      </c>
    </row>
    <row r="881" spans="3:10" s="4" customFormat="1" ht="15.75" outlineLevel="2" collapsed="1" x14ac:dyDescent="0.25">
      <c r="C881" s="20" t="s">
        <v>1148</v>
      </c>
    </row>
    <row r="882" spans="3:10" s="17" customFormat="1" hidden="1" outlineLevel="3" x14ac:dyDescent="0.25">
      <c r="D882" s="18" t="s">
        <v>1079</v>
      </c>
    </row>
    <row r="883" spans="3:10" hidden="1" outlineLevel="3" x14ac:dyDescent="0.25">
      <c r="D883" s="157" t="s">
        <v>0</v>
      </c>
      <c r="E883" s="158"/>
      <c r="F883" s="79" t="s">
        <v>1080</v>
      </c>
    </row>
    <row r="884" spans="3:10" hidden="1" outlineLevel="3" x14ac:dyDescent="0.25">
      <c r="D884" s="24" t="s">
        <v>1149</v>
      </c>
      <c r="E884" s="25" t="str">
        <f>E782</f>
        <v>Brennwertkessel</v>
      </c>
      <c r="F884" s="66" t="str">
        <f>F782</f>
        <v>Brennwertkessel verbessert, Heizöl</v>
      </c>
    </row>
    <row r="885" spans="3:10" s="17" customFormat="1" hidden="1" outlineLevel="3" x14ac:dyDescent="0.25">
      <c r="D885" s="18" t="s">
        <v>1083</v>
      </c>
    </row>
    <row r="886" spans="3:10" hidden="1" outlineLevel="3" x14ac:dyDescent="0.25">
      <c r="D886" s="159" t="s">
        <v>0</v>
      </c>
      <c r="E886" s="160"/>
      <c r="F886" s="159" t="s">
        <v>1110</v>
      </c>
      <c r="G886" s="160"/>
      <c r="H886" s="45" t="s">
        <v>1086</v>
      </c>
    </row>
    <row r="887" spans="3:10" hidden="1" outlineLevel="3" x14ac:dyDescent="0.25">
      <c r="D887" s="163"/>
      <c r="E887" s="164"/>
      <c r="F887" s="163"/>
      <c r="G887" s="164"/>
      <c r="H887" s="41" t="s">
        <v>818</v>
      </c>
    </row>
    <row r="888" spans="3:10" hidden="1" outlineLevel="3" x14ac:dyDescent="0.25">
      <c r="D888" s="24" t="str">
        <f>D884</f>
        <v>Hg1</v>
      </c>
      <c r="E888" s="24" t="str">
        <f>E884</f>
        <v>Brennwertkessel</v>
      </c>
      <c r="F888" s="25" t="str">
        <f>D101</f>
        <v>H1</v>
      </c>
      <c r="G888" s="25" t="str">
        <f>E101</f>
        <v>Heizsystem</v>
      </c>
      <c r="H888" s="23">
        <v>100</v>
      </c>
    </row>
    <row r="889" spans="3:10" s="17" customFormat="1" hidden="1" outlineLevel="3" x14ac:dyDescent="0.25">
      <c r="D889" s="18" t="s">
        <v>1111</v>
      </c>
    </row>
    <row r="890" spans="3:10" ht="24" hidden="1" customHeight="1" outlineLevel="3" x14ac:dyDescent="0.25">
      <c r="D890" s="159" t="s">
        <v>0</v>
      </c>
      <c r="E890" s="160"/>
      <c r="F890" s="168" t="s">
        <v>1151</v>
      </c>
      <c r="G890" s="168" t="s">
        <v>1113</v>
      </c>
      <c r="H890" s="47" t="s">
        <v>380</v>
      </c>
      <c r="I890" s="168" t="s">
        <v>1114</v>
      </c>
      <c r="J890" s="47" t="s">
        <v>1115</v>
      </c>
    </row>
    <row r="891" spans="3:10" hidden="1" outlineLevel="3" x14ac:dyDescent="0.25">
      <c r="D891" s="161"/>
      <c r="E891" s="162"/>
      <c r="F891" s="169"/>
      <c r="G891" s="169"/>
      <c r="H891" s="41" t="s">
        <v>1116</v>
      </c>
      <c r="I891" s="169"/>
      <c r="J891" s="41" t="s">
        <v>1117</v>
      </c>
    </row>
    <row r="892" spans="3:10" hidden="1" outlineLevel="3" x14ac:dyDescent="0.25">
      <c r="D892" s="163"/>
      <c r="E892" s="164"/>
      <c r="F892" s="41" t="s">
        <v>1118</v>
      </c>
      <c r="G892" s="41" t="s">
        <v>1118</v>
      </c>
      <c r="H892" s="41" t="s">
        <v>1118</v>
      </c>
      <c r="I892" s="41" t="s">
        <v>1118</v>
      </c>
      <c r="J892" s="41" t="s">
        <v>1118</v>
      </c>
    </row>
    <row r="893" spans="3:10" hidden="1" outlineLevel="3" x14ac:dyDescent="0.25">
      <c r="D893" s="24" t="str">
        <f>D888</f>
        <v>Hg1</v>
      </c>
      <c r="E893" s="24" t="str">
        <f>E888</f>
        <v>Brennwertkessel</v>
      </c>
      <c r="F893" s="74">
        <f>GEB_Erg_Norm_T5!D9</f>
        <v>9056.65</v>
      </c>
      <c r="G893" s="74">
        <f>GEB_Erg_Norm_T5!D7</f>
        <v>226.75</v>
      </c>
      <c r="H893" s="74">
        <f>G893+F893</f>
        <v>9283.4</v>
      </c>
      <c r="I893" s="23">
        <v>0</v>
      </c>
      <c r="J893" s="74">
        <f>H893-I893</f>
        <v>9283.4</v>
      </c>
    </row>
    <row r="894" spans="3:10" s="17" customFormat="1" hidden="1" outlineLevel="3" x14ac:dyDescent="0.25">
      <c r="D894" s="18" t="s">
        <v>1087</v>
      </c>
    </row>
    <row r="895" spans="3:10" hidden="1" outlineLevel="3" x14ac:dyDescent="0.25">
      <c r="D895" s="159" t="s">
        <v>0</v>
      </c>
      <c r="E895" s="160"/>
      <c r="F895" s="168" t="s">
        <v>1088</v>
      </c>
      <c r="G895" s="168" t="s">
        <v>1119</v>
      </c>
      <c r="H895" s="47" t="s">
        <v>1120</v>
      </c>
      <c r="I895" s="168" t="s">
        <v>1090</v>
      </c>
    </row>
    <row r="896" spans="3:10" hidden="1" outlineLevel="3" x14ac:dyDescent="0.25">
      <c r="D896" s="161"/>
      <c r="E896" s="162"/>
      <c r="F896" s="169"/>
      <c r="G896" s="169"/>
      <c r="H896" s="41" t="s">
        <v>1121</v>
      </c>
      <c r="I896" s="169"/>
    </row>
    <row r="897" spans="1:11" hidden="1" outlineLevel="3" x14ac:dyDescent="0.25">
      <c r="D897" s="163"/>
      <c r="E897" s="164"/>
      <c r="F897" s="41" t="s">
        <v>709</v>
      </c>
      <c r="G897" s="41" t="s">
        <v>710</v>
      </c>
      <c r="H897" s="41" t="s">
        <v>710</v>
      </c>
      <c r="I897" s="41" t="s">
        <v>709</v>
      </c>
    </row>
    <row r="898" spans="1:11" hidden="1" outlineLevel="3" x14ac:dyDescent="0.25">
      <c r="D898" s="24" t="str">
        <f>D893</f>
        <v>Hg1</v>
      </c>
      <c r="E898" s="24" t="str">
        <f>E893</f>
        <v>Brennwertkessel</v>
      </c>
      <c r="F898" s="81">
        <f>G893/G74</f>
        <v>0.76669484361792051</v>
      </c>
      <c r="G898" s="49">
        <f>(G893+F893)/F893</f>
        <v>1.0250368513744044</v>
      </c>
      <c r="H898" s="49">
        <f>1/G898</f>
        <v>0.97557468168989814</v>
      </c>
      <c r="I898" s="49">
        <f>GEB_Erg_Norm_T5!D48/G74</f>
        <v>0.20118343195266272</v>
      </c>
    </row>
    <row r="899" spans="1:11" s="17" customFormat="1" hidden="1" outlineLevel="3" x14ac:dyDescent="0.25">
      <c r="D899" s="18" t="s">
        <v>1122</v>
      </c>
    </row>
    <row r="900" spans="1:11" hidden="1" outlineLevel="3" x14ac:dyDescent="0.25">
      <c r="D900" s="159" t="s">
        <v>0</v>
      </c>
      <c r="E900" s="160"/>
      <c r="F900" s="165" t="s">
        <v>1123</v>
      </c>
      <c r="G900" s="166"/>
      <c r="H900" s="167"/>
      <c r="I900" s="168" t="s">
        <v>1124</v>
      </c>
      <c r="J900" s="45" t="s">
        <v>1046</v>
      </c>
      <c r="K900" s="45" t="s">
        <v>1125</v>
      </c>
    </row>
    <row r="901" spans="1:11" hidden="1" outlineLevel="3" x14ac:dyDescent="0.25">
      <c r="D901" s="163"/>
      <c r="E901" s="164"/>
      <c r="F901" s="41" t="s">
        <v>1152</v>
      </c>
      <c r="G901" s="41" t="s">
        <v>378</v>
      </c>
      <c r="H901" s="41" t="s">
        <v>1126</v>
      </c>
      <c r="I901" s="169"/>
      <c r="J901" s="41" t="s">
        <v>988</v>
      </c>
      <c r="K901" s="41" t="s">
        <v>746</v>
      </c>
    </row>
    <row r="902" spans="1:11" hidden="1" outlineLevel="3" x14ac:dyDescent="0.25">
      <c r="D902" s="24" t="str">
        <f>D898</f>
        <v>Hg1</v>
      </c>
      <c r="E902" s="24" t="str">
        <f>E898</f>
        <v>Brennwertkessel</v>
      </c>
      <c r="F902" s="26" t="s">
        <v>515</v>
      </c>
      <c r="G902" s="26" t="s">
        <v>516</v>
      </c>
      <c r="H902" s="26" t="s">
        <v>515</v>
      </c>
      <c r="I902" s="23" t="s">
        <v>1291</v>
      </c>
      <c r="J902" s="23">
        <f>J804</f>
        <v>22</v>
      </c>
      <c r="K902" s="23" t="str">
        <f>K804</f>
        <v>k. A.</v>
      </c>
    </row>
    <row r="903" spans="1:11" s="17" customFormat="1" hidden="1" outlineLevel="3" x14ac:dyDescent="0.25">
      <c r="D903" s="18" t="s">
        <v>1103</v>
      </c>
    </row>
    <row r="904" spans="1:11" hidden="1" outlineLevel="3" x14ac:dyDescent="0.25">
      <c r="D904" s="157" t="s">
        <v>0</v>
      </c>
      <c r="E904" s="158"/>
      <c r="F904" s="79" t="s">
        <v>1127</v>
      </c>
      <c r="G904" s="79" t="s">
        <v>1128</v>
      </c>
    </row>
    <row r="905" spans="1:11" hidden="1" outlineLevel="3" x14ac:dyDescent="0.25">
      <c r="D905" s="24" t="str">
        <f>D902</f>
        <v>Hg1</v>
      </c>
      <c r="E905" s="24" t="str">
        <f>E902</f>
        <v>Brennwertkessel</v>
      </c>
      <c r="F905" s="25" t="s">
        <v>1285</v>
      </c>
      <c r="G905" s="25">
        <v>2020</v>
      </c>
    </row>
    <row r="906" spans="1:11" s="3" customFormat="1" ht="18" x14ac:dyDescent="0.25">
      <c r="A906" s="2" t="s">
        <v>1153</v>
      </c>
    </row>
    <row r="907" spans="1:11" s="4" customFormat="1" ht="16.5" outlineLevel="1" collapsed="1" x14ac:dyDescent="0.25">
      <c r="B907" s="5" t="s">
        <v>1154</v>
      </c>
    </row>
    <row r="908" spans="1:11" hidden="1" outlineLevel="2" x14ac:dyDescent="0.25">
      <c r="D908" s="51"/>
    </row>
    <row r="909" spans="1:11" s="4" customFormat="1" ht="16.5" outlineLevel="1" x14ac:dyDescent="0.25">
      <c r="B909" s="5" t="s">
        <v>1155</v>
      </c>
    </row>
    <row r="910" spans="1:11" s="4" customFormat="1" ht="15.75" outlineLevel="2" collapsed="1" x14ac:dyDescent="0.25">
      <c r="C910" s="20" t="s">
        <v>1376</v>
      </c>
    </row>
    <row r="911" spans="1:11" s="4" customFormat="1" ht="15.75" outlineLevel="2" collapsed="1" x14ac:dyDescent="0.25">
      <c r="C911" s="20" t="s">
        <v>1377</v>
      </c>
    </row>
    <row r="912" spans="1:11" s="4" customFormat="1" ht="15.75" outlineLevel="2" collapsed="1" x14ac:dyDescent="0.25">
      <c r="C912" s="20" t="s">
        <v>1378</v>
      </c>
    </row>
    <row r="913" spans="3:13" s="125" customFormat="1" hidden="1" outlineLevel="3" x14ac:dyDescent="0.25">
      <c r="D913" s="105" t="s">
        <v>1052</v>
      </c>
      <c r="E913" s="165" t="s">
        <v>1053</v>
      </c>
      <c r="F913" s="166"/>
      <c r="G913" s="166"/>
      <c r="H913" s="166"/>
      <c r="I913" s="166"/>
      <c r="J913" s="167"/>
      <c r="K913" s="153" t="s">
        <v>1054</v>
      </c>
      <c r="L913" s="176" t="s">
        <v>1055</v>
      </c>
      <c r="M913" s="177"/>
    </row>
    <row r="914" spans="3:13" s="125" customFormat="1" hidden="1" outlineLevel="3" x14ac:dyDescent="0.25">
      <c r="D914" s="61" t="s">
        <v>667</v>
      </c>
      <c r="E914" s="237" t="s">
        <v>390</v>
      </c>
      <c r="F914" s="238"/>
      <c r="G914" s="239"/>
      <c r="H914" s="237" t="s">
        <v>390</v>
      </c>
      <c r="I914" s="238"/>
      <c r="J914" s="239"/>
      <c r="K914" s="234"/>
      <c r="L914" s="235"/>
      <c r="M914" s="236"/>
    </row>
    <row r="915" spans="3:13" s="125" customFormat="1" hidden="1" outlineLevel="3" x14ac:dyDescent="0.25">
      <c r="D915" s="78"/>
      <c r="E915" s="240"/>
      <c r="F915" s="241"/>
      <c r="G915" s="242"/>
      <c r="H915" s="240" t="s">
        <v>1156</v>
      </c>
      <c r="I915" s="241"/>
      <c r="J915" s="242"/>
      <c r="K915" s="234"/>
      <c r="L915" s="235"/>
      <c r="M915" s="236"/>
    </row>
    <row r="916" spans="3:13" s="125" customFormat="1" hidden="1" outlineLevel="3" x14ac:dyDescent="0.25">
      <c r="D916" s="62"/>
      <c r="E916" s="243">
        <f>G74</f>
        <v>295.75</v>
      </c>
      <c r="F916" s="244"/>
      <c r="G916" s="107" t="s">
        <v>385</v>
      </c>
      <c r="H916" s="243">
        <f>K378</f>
        <v>295.75</v>
      </c>
      <c r="I916" s="244"/>
      <c r="J916" s="107" t="s">
        <v>385</v>
      </c>
      <c r="K916" s="154"/>
      <c r="L916" s="178"/>
      <c r="M916" s="179"/>
    </row>
    <row r="917" spans="3:13" s="125" customFormat="1" hidden="1" outlineLevel="3" x14ac:dyDescent="0.25">
      <c r="D917" s="61" t="s">
        <v>1133</v>
      </c>
      <c r="E917" s="168"/>
      <c r="F917" s="218">
        <f>'TGA_WE-HZG_Det_Abs'!J85/E916</f>
        <v>4.7205748098055782</v>
      </c>
      <c r="G917" s="219"/>
      <c r="H917" s="216"/>
      <c r="I917" s="218">
        <f>F917*$E$916/$H$916</f>
        <v>4.7205748098055782</v>
      </c>
      <c r="J917" s="219"/>
      <c r="K917" s="151"/>
      <c r="L917" s="108" t="s">
        <v>1386</v>
      </c>
      <c r="M917" s="230">
        <v>1</v>
      </c>
    </row>
    <row r="918" spans="3:13" s="125" customFormat="1" hidden="1" outlineLevel="3" x14ac:dyDescent="0.25">
      <c r="D918" s="106" t="s">
        <v>1247</v>
      </c>
      <c r="E918" s="169"/>
      <c r="F918" s="220"/>
      <c r="G918" s="221"/>
      <c r="H918" s="217"/>
      <c r="I918" s="220"/>
      <c r="J918" s="221"/>
      <c r="K918" s="152"/>
      <c r="L918" s="109" t="s">
        <v>1387</v>
      </c>
      <c r="M918" s="231"/>
    </row>
    <row r="919" spans="3:13" s="125" customFormat="1" hidden="1" outlineLevel="3" x14ac:dyDescent="0.25">
      <c r="D919" s="106" t="s">
        <v>1059</v>
      </c>
      <c r="E919" s="104" t="s">
        <v>1060</v>
      </c>
      <c r="F919" s="228">
        <f>'TGA_WE-HZG_Det_Abs'!J86/E916</f>
        <v>0.39339545034669543</v>
      </c>
      <c r="G919" s="229"/>
      <c r="H919" s="107" t="s">
        <v>1060</v>
      </c>
      <c r="I919" s="304">
        <v>0</v>
      </c>
      <c r="J919" s="248"/>
      <c r="K919" s="49">
        <f>(F919+F917)/F917</f>
        <v>1.0833363448725639</v>
      </c>
      <c r="L919" s="109" t="s">
        <v>1061</v>
      </c>
      <c r="M919" s="110">
        <v>1</v>
      </c>
    </row>
    <row r="920" spans="3:13" s="125" customFormat="1" hidden="1" outlineLevel="3" x14ac:dyDescent="0.25">
      <c r="D920" s="106" t="s">
        <v>1062</v>
      </c>
      <c r="E920" s="104" t="s">
        <v>1060</v>
      </c>
      <c r="F920" s="228">
        <f>'TGA_WE-HZG_Det_Abs'!J87/E916</f>
        <v>0</v>
      </c>
      <c r="G920" s="229"/>
      <c r="H920" s="107" t="s">
        <v>1060</v>
      </c>
      <c r="I920" s="304">
        <v>0</v>
      </c>
      <c r="J920" s="248"/>
      <c r="K920" s="49">
        <f>(F920+F919+F917)/(F919+F917)</f>
        <v>1</v>
      </c>
      <c r="L920" s="109" t="s">
        <v>1063</v>
      </c>
      <c r="M920" s="110">
        <v>1</v>
      </c>
    </row>
    <row r="921" spans="3:13" s="125" customFormat="1" hidden="1" outlineLevel="3" x14ac:dyDescent="0.25">
      <c r="D921" s="106" t="s">
        <v>148</v>
      </c>
      <c r="E921" s="104" t="s">
        <v>1066</v>
      </c>
      <c r="F921" s="228">
        <f>F917+F919+F920</f>
        <v>5.1139702601522732</v>
      </c>
      <c r="G921" s="229"/>
      <c r="H921" s="107" t="s">
        <v>1066</v>
      </c>
      <c r="I921" s="304">
        <v>0</v>
      </c>
      <c r="J921" s="248"/>
      <c r="K921" s="148"/>
      <c r="L921" s="149"/>
      <c r="M921" s="150"/>
    </row>
    <row r="922" spans="3:13" s="4" customFormat="1" ht="15.75" outlineLevel="2" collapsed="1" x14ac:dyDescent="0.25">
      <c r="C922" s="20" t="s">
        <v>1379</v>
      </c>
    </row>
    <row r="923" spans="3:13" s="125" customFormat="1" hidden="1" outlineLevel="3" x14ac:dyDescent="0.25">
      <c r="D923" s="126" t="s">
        <v>1052</v>
      </c>
      <c r="E923" s="186" t="s">
        <v>1053</v>
      </c>
      <c r="F923" s="187"/>
      <c r="G923" s="187"/>
      <c r="H923" s="187"/>
      <c r="I923" s="187"/>
      <c r="J923" s="188"/>
      <c r="K923" s="180" t="s">
        <v>1054</v>
      </c>
      <c r="L923" s="293" t="s">
        <v>1055</v>
      </c>
      <c r="M923" s="295"/>
    </row>
    <row r="924" spans="3:13" s="125" customFormat="1" hidden="1" outlineLevel="3" x14ac:dyDescent="0.25">
      <c r="D924" s="127" t="s">
        <v>667</v>
      </c>
      <c r="E924" s="293" t="s">
        <v>390</v>
      </c>
      <c r="F924" s="294"/>
      <c r="G924" s="295"/>
      <c r="H924" s="293" t="s">
        <v>390</v>
      </c>
      <c r="I924" s="294"/>
      <c r="J924" s="295"/>
      <c r="K924" s="296"/>
      <c r="L924" s="297"/>
      <c r="M924" s="298"/>
    </row>
    <row r="925" spans="3:13" s="125" customFormat="1" hidden="1" outlineLevel="3" x14ac:dyDescent="0.25">
      <c r="D925" s="128"/>
      <c r="E925" s="299"/>
      <c r="F925" s="301"/>
      <c r="G925" s="300"/>
      <c r="H925" s="299" t="s">
        <v>1156</v>
      </c>
      <c r="I925" s="301"/>
      <c r="J925" s="300"/>
      <c r="K925" s="296"/>
      <c r="L925" s="297"/>
      <c r="M925" s="298"/>
    </row>
    <row r="926" spans="3:13" s="125" customFormat="1" hidden="1" outlineLevel="3" x14ac:dyDescent="0.25">
      <c r="D926" s="129"/>
      <c r="E926" s="302">
        <f>E916</f>
        <v>295.75</v>
      </c>
      <c r="F926" s="303"/>
      <c r="G926" s="130" t="s">
        <v>385</v>
      </c>
      <c r="H926" s="302">
        <f>H916</f>
        <v>295.75</v>
      </c>
      <c r="I926" s="303"/>
      <c r="J926" s="130" t="s">
        <v>385</v>
      </c>
      <c r="K926" s="181"/>
      <c r="L926" s="299"/>
      <c r="M926" s="300"/>
    </row>
    <row r="927" spans="3:13" s="125" customFormat="1" hidden="1" outlineLevel="3" x14ac:dyDescent="0.25">
      <c r="D927" s="127" t="s">
        <v>1133</v>
      </c>
      <c r="E927" s="180"/>
      <c r="F927" s="203">
        <f>F921</f>
        <v>5.1139702601522732</v>
      </c>
      <c r="G927" s="204"/>
      <c r="H927" s="207"/>
      <c r="I927" s="203">
        <f>F927*$E$926/$H$926</f>
        <v>5.1139702601522732</v>
      </c>
      <c r="J927" s="204"/>
      <c r="K927" s="207"/>
      <c r="L927" s="207" t="s">
        <v>1320</v>
      </c>
      <c r="M927" s="291">
        <v>1</v>
      </c>
    </row>
    <row r="928" spans="3:13" s="125" customFormat="1" hidden="1" outlineLevel="3" x14ac:dyDescent="0.25">
      <c r="D928" s="131" t="s">
        <v>1247</v>
      </c>
      <c r="E928" s="181"/>
      <c r="F928" s="205"/>
      <c r="G928" s="206"/>
      <c r="H928" s="208"/>
      <c r="I928" s="205"/>
      <c r="J928" s="206"/>
      <c r="K928" s="208"/>
      <c r="L928" s="208"/>
      <c r="M928" s="292"/>
    </row>
    <row r="929" spans="2:13" s="125" customFormat="1" hidden="1" outlineLevel="3" x14ac:dyDescent="0.25">
      <c r="D929" s="131" t="s">
        <v>1059</v>
      </c>
      <c r="E929" s="132" t="s">
        <v>1060</v>
      </c>
      <c r="F929" s="201">
        <f>'TGA_WE-HZG_Det_Abs'!J90/E926</f>
        <v>0</v>
      </c>
      <c r="G929" s="202"/>
      <c r="H929" s="130" t="s">
        <v>1060</v>
      </c>
      <c r="I929" s="201">
        <f>F929*$E$926/$H$926</f>
        <v>0</v>
      </c>
      <c r="J929" s="202"/>
      <c r="K929" s="138">
        <f>(F929+F927)/(F927)</f>
        <v>1</v>
      </c>
      <c r="L929" s="130" t="s">
        <v>1061</v>
      </c>
      <c r="M929" s="137">
        <v>1</v>
      </c>
    </row>
    <row r="930" spans="2:13" s="125" customFormat="1" hidden="1" outlineLevel="3" x14ac:dyDescent="0.25">
      <c r="D930" s="131" t="s">
        <v>1062</v>
      </c>
      <c r="E930" s="132" t="s">
        <v>1060</v>
      </c>
      <c r="F930" s="201">
        <f>'TGA_WE-HZG_Det_Abs'!J91/E926</f>
        <v>0.26952931719345807</v>
      </c>
      <c r="G930" s="202"/>
      <c r="H930" s="130" t="s">
        <v>1060</v>
      </c>
      <c r="I930" s="201">
        <f>F930*$E$926/$H$926</f>
        <v>0.26952931719345807</v>
      </c>
      <c r="J930" s="202"/>
      <c r="K930" s="138">
        <f>(F930+F929+F927)/(F929+F927)</f>
        <v>1.052704514004239</v>
      </c>
      <c r="L930" s="130" t="s">
        <v>1063</v>
      </c>
      <c r="M930" s="137">
        <v>1</v>
      </c>
    </row>
    <row r="931" spans="2:13" s="125" customFormat="1" hidden="1" outlineLevel="3" x14ac:dyDescent="0.25">
      <c r="D931" s="131" t="s">
        <v>148</v>
      </c>
      <c r="E931" s="132" t="s">
        <v>1066</v>
      </c>
      <c r="F931" s="201">
        <f>F927+F929+F930</f>
        <v>5.3834995773457308</v>
      </c>
      <c r="G931" s="202"/>
      <c r="H931" s="130" t="s">
        <v>1066</v>
      </c>
      <c r="I931" s="201">
        <f>F931*$E$926/$H$926</f>
        <v>5.3834995773457308</v>
      </c>
      <c r="J931" s="202"/>
      <c r="K931" s="194"/>
      <c r="L931" s="211"/>
      <c r="M931" s="195"/>
    </row>
    <row r="932" spans="2:13" s="125" customFormat="1" hidden="1" outlineLevel="3" x14ac:dyDescent="0.25">
      <c r="D932" s="131" t="s">
        <v>1067</v>
      </c>
      <c r="E932" s="132" t="s">
        <v>1060</v>
      </c>
      <c r="F932" s="201">
        <f>'TGA_WE-HZG_Det_Abs'!J93/E926</f>
        <v>0.13555367709213864</v>
      </c>
      <c r="G932" s="202"/>
      <c r="H932" s="130" t="s">
        <v>1060</v>
      </c>
      <c r="I932" s="201">
        <f>F932*$E$926/$H$926</f>
        <v>0.13555367709213864</v>
      </c>
      <c r="J932" s="202"/>
      <c r="K932" s="138">
        <f>F935/F931</f>
        <v>1.0251794720413021</v>
      </c>
      <c r="L932" s="130" t="s">
        <v>1068</v>
      </c>
      <c r="M932" s="137">
        <v>1</v>
      </c>
    </row>
    <row r="933" spans="2:13" s="125" customFormat="1" hidden="1" outlineLevel="3" x14ac:dyDescent="0.25">
      <c r="D933" s="127" t="s">
        <v>1069</v>
      </c>
      <c r="E933" s="180" t="s">
        <v>1066</v>
      </c>
      <c r="F933" s="203">
        <f>F931+F932</f>
        <v>5.5190532544378694</v>
      </c>
      <c r="G933" s="204"/>
      <c r="H933" s="207" t="s">
        <v>1066</v>
      </c>
      <c r="I933" s="203">
        <f>F933*$E$926/$H$926</f>
        <v>5.5190532544378694</v>
      </c>
      <c r="J933" s="204"/>
      <c r="K933" s="182"/>
      <c r="L933" s="209"/>
      <c r="M933" s="183"/>
    </row>
    <row r="934" spans="2:13" s="125" customFormat="1" hidden="1" outlineLevel="3" x14ac:dyDescent="0.25">
      <c r="D934" s="131" t="s">
        <v>705</v>
      </c>
      <c r="E934" s="181"/>
      <c r="F934" s="205"/>
      <c r="G934" s="206"/>
      <c r="H934" s="208"/>
      <c r="I934" s="205"/>
      <c r="J934" s="206"/>
      <c r="K934" s="184"/>
      <c r="L934" s="210"/>
      <c r="M934" s="185"/>
    </row>
    <row r="935" spans="2:13" s="125" customFormat="1" hidden="1" outlineLevel="3" x14ac:dyDescent="0.25">
      <c r="D935" s="131" t="s">
        <v>1070</v>
      </c>
      <c r="E935" s="132" t="s">
        <v>30</v>
      </c>
      <c r="F935" s="201">
        <f>F933</f>
        <v>5.5190532544378694</v>
      </c>
      <c r="G935" s="202"/>
      <c r="H935" s="130" t="s">
        <v>30</v>
      </c>
      <c r="I935" s="201">
        <f>F935*$E$926/$H$926</f>
        <v>5.5190532544378694</v>
      </c>
      <c r="J935" s="202"/>
      <c r="K935" s="138">
        <f>F935/F927</f>
        <v>1.0792110578823613</v>
      </c>
      <c r="L935" s="194" t="s">
        <v>1071</v>
      </c>
      <c r="M935" s="195"/>
    </row>
    <row r="936" spans="2:13" s="125" customFormat="1" hidden="1" outlineLevel="3" x14ac:dyDescent="0.25">
      <c r="D936" s="127" t="s">
        <v>1072</v>
      </c>
      <c r="E936" s="180" t="s">
        <v>1066</v>
      </c>
      <c r="F936" s="203">
        <f>F933-F935</f>
        <v>0</v>
      </c>
      <c r="G936" s="204"/>
      <c r="H936" s="207" t="s">
        <v>1066</v>
      </c>
      <c r="I936" s="203">
        <f>F936*$E$926/$H$926</f>
        <v>0</v>
      </c>
      <c r="J936" s="204"/>
      <c r="K936" s="182"/>
      <c r="L936" s="209"/>
      <c r="M936" s="183"/>
    </row>
    <row r="937" spans="2:13" s="125" customFormat="1" hidden="1" outlineLevel="3" x14ac:dyDescent="0.25">
      <c r="D937" s="131" t="s">
        <v>1073</v>
      </c>
      <c r="E937" s="181"/>
      <c r="F937" s="205"/>
      <c r="G937" s="206"/>
      <c r="H937" s="208"/>
      <c r="I937" s="205"/>
      <c r="J937" s="206"/>
      <c r="K937" s="184"/>
      <c r="L937" s="210"/>
      <c r="M937" s="185"/>
    </row>
    <row r="938" spans="2:13" s="125" customFormat="1" hidden="1" outlineLevel="3" x14ac:dyDescent="0.25">
      <c r="D938" s="127" t="s">
        <v>1074</v>
      </c>
      <c r="E938" s="180" t="s">
        <v>1060</v>
      </c>
      <c r="F938" s="203">
        <v>0</v>
      </c>
      <c r="G938" s="204"/>
      <c r="H938" s="207" t="s">
        <v>1060</v>
      </c>
      <c r="I938" s="203">
        <f>F938*$E$926/$H$926</f>
        <v>0</v>
      </c>
      <c r="J938" s="204"/>
      <c r="K938" s="182"/>
      <c r="L938" s="209"/>
      <c r="M938" s="183"/>
    </row>
    <row r="939" spans="2:13" s="125" customFormat="1" hidden="1" outlineLevel="3" x14ac:dyDescent="0.25">
      <c r="D939" s="131" t="s">
        <v>1073</v>
      </c>
      <c r="E939" s="181"/>
      <c r="F939" s="205"/>
      <c r="G939" s="206"/>
      <c r="H939" s="208"/>
      <c r="I939" s="205"/>
      <c r="J939" s="206"/>
      <c r="K939" s="184"/>
      <c r="L939" s="210"/>
      <c r="M939" s="185"/>
    </row>
    <row r="940" spans="2:13" s="125" customFormat="1" hidden="1" outlineLevel="3" x14ac:dyDescent="0.25">
      <c r="D940" s="127" t="s">
        <v>1075</v>
      </c>
      <c r="E940" s="180" t="s">
        <v>1066</v>
      </c>
      <c r="F940" s="203">
        <v>0</v>
      </c>
      <c r="G940" s="204"/>
      <c r="H940" s="207" t="s">
        <v>1066</v>
      </c>
      <c r="I940" s="203">
        <f>F940*$E$926/$H$926</f>
        <v>0</v>
      </c>
      <c r="J940" s="204"/>
      <c r="K940" s="182"/>
      <c r="L940" s="209"/>
      <c r="M940" s="183"/>
    </row>
    <row r="941" spans="2:13" s="125" customFormat="1" hidden="1" outlineLevel="3" x14ac:dyDescent="0.25">
      <c r="D941" s="131" t="s">
        <v>1076</v>
      </c>
      <c r="E941" s="181"/>
      <c r="F941" s="205"/>
      <c r="G941" s="206"/>
      <c r="H941" s="208"/>
      <c r="I941" s="205"/>
      <c r="J941" s="206"/>
      <c r="K941" s="184"/>
      <c r="L941" s="210"/>
      <c r="M941" s="185"/>
    </row>
    <row r="942" spans="2:13" s="4" customFormat="1" ht="16.5" outlineLevel="1" x14ac:dyDescent="0.25">
      <c r="B942" s="5" t="s">
        <v>1380</v>
      </c>
    </row>
    <row r="943" spans="2:13" s="4" customFormat="1" ht="16.5" outlineLevel="1" x14ac:dyDescent="0.25">
      <c r="B943" s="5" t="s">
        <v>1381</v>
      </c>
    </row>
    <row r="944" spans="2:13" s="4" customFormat="1" ht="15.75" outlineLevel="2" collapsed="1" x14ac:dyDescent="0.25">
      <c r="C944" s="20" t="s">
        <v>1384</v>
      </c>
    </row>
    <row r="945" spans="3:10" s="17" customFormat="1" hidden="1" outlineLevel="3" x14ac:dyDescent="0.25">
      <c r="D945" s="18" t="s">
        <v>1079</v>
      </c>
    </row>
    <row r="946" spans="3:10" s="125" customFormat="1" hidden="1" outlineLevel="3" x14ac:dyDescent="0.25">
      <c r="D946" s="194" t="s">
        <v>0</v>
      </c>
      <c r="E946" s="195"/>
      <c r="F946" s="139" t="s">
        <v>1080</v>
      </c>
    </row>
    <row r="947" spans="3:10" s="125" customFormat="1" hidden="1" outlineLevel="3" x14ac:dyDescent="0.25">
      <c r="D947" s="140" t="s">
        <v>1321</v>
      </c>
      <c r="E947" s="137" t="s">
        <v>1343</v>
      </c>
      <c r="F947" s="137" t="s">
        <v>1344</v>
      </c>
    </row>
    <row r="948" spans="3:10" s="17" customFormat="1" hidden="1" outlineLevel="3" x14ac:dyDescent="0.25">
      <c r="D948" s="18" t="s">
        <v>1083</v>
      </c>
    </row>
    <row r="949" spans="3:10" s="125" customFormat="1" hidden="1" outlineLevel="3" x14ac:dyDescent="0.25">
      <c r="D949" s="182" t="s">
        <v>0</v>
      </c>
      <c r="E949" s="183"/>
      <c r="F949" s="182" t="s">
        <v>1084</v>
      </c>
      <c r="G949" s="183"/>
      <c r="H949" s="182" t="s">
        <v>1085</v>
      </c>
      <c r="I949" s="183"/>
      <c r="J949" s="134" t="s">
        <v>1086</v>
      </c>
    </row>
    <row r="950" spans="3:10" s="125" customFormat="1" hidden="1" outlineLevel="3" x14ac:dyDescent="0.25">
      <c r="D950" s="184"/>
      <c r="E950" s="185"/>
      <c r="F950" s="184"/>
      <c r="G950" s="185"/>
      <c r="H950" s="184"/>
      <c r="I950" s="185"/>
      <c r="J950" s="132" t="s">
        <v>818</v>
      </c>
    </row>
    <row r="951" spans="3:10" s="125" customFormat="1" hidden="1" outlineLevel="3" x14ac:dyDescent="0.25">
      <c r="D951" s="140" t="str">
        <f>D947</f>
        <v>RVce1</v>
      </c>
      <c r="E951" s="140" t="str">
        <f>E947</f>
        <v>Luftauslässe</v>
      </c>
      <c r="F951" s="137" t="str">
        <f>D959</f>
        <v>RVd1</v>
      </c>
      <c r="G951" s="137" t="str">
        <f>E959</f>
        <v>Lüftungsnetz</v>
      </c>
      <c r="H951" s="137" t="str">
        <f>D92</f>
        <v>Z1</v>
      </c>
      <c r="I951" s="137" t="str">
        <f>E92</f>
        <v>Wohnen</v>
      </c>
      <c r="J951" s="141">
        <v>100</v>
      </c>
    </row>
    <row r="952" spans="3:10" s="17" customFormat="1" hidden="1" outlineLevel="3" x14ac:dyDescent="0.25">
      <c r="D952" s="18" t="s">
        <v>1087</v>
      </c>
    </row>
    <row r="953" spans="3:10" s="125" customFormat="1" hidden="1" outlineLevel="3" x14ac:dyDescent="0.25">
      <c r="D953" s="182" t="s">
        <v>0</v>
      </c>
      <c r="E953" s="183"/>
      <c r="F953" s="134" t="s">
        <v>1141</v>
      </c>
      <c r="G953" s="134" t="s">
        <v>1088</v>
      </c>
      <c r="H953" s="134" t="s">
        <v>1089</v>
      </c>
      <c r="I953" s="134" t="s">
        <v>1090</v>
      </c>
    </row>
    <row r="954" spans="3:10" s="125" customFormat="1" hidden="1" outlineLevel="3" x14ac:dyDescent="0.25">
      <c r="D954" s="184"/>
      <c r="E954" s="185"/>
      <c r="F954" s="132" t="s">
        <v>1142</v>
      </c>
      <c r="G954" s="132" t="s">
        <v>709</v>
      </c>
      <c r="H954" s="132" t="s">
        <v>710</v>
      </c>
      <c r="I954" s="132" t="s">
        <v>709</v>
      </c>
    </row>
    <row r="955" spans="3:10" s="125" customFormat="1" hidden="1" outlineLevel="3" x14ac:dyDescent="0.25">
      <c r="D955" s="140" t="str">
        <f>D951</f>
        <v>RVce1</v>
      </c>
      <c r="E955" s="140" t="str">
        <f>E951</f>
        <v>Luftauslässe</v>
      </c>
      <c r="F955" s="141">
        <v>1.2</v>
      </c>
      <c r="G955" s="138">
        <f>'TGA_WE-HZG_Det_Abs'!J86/G74</f>
        <v>0.39339545034669543</v>
      </c>
      <c r="H955" s="138">
        <f>K919</f>
        <v>1.0833363448725639</v>
      </c>
      <c r="I955" s="138">
        <v>0</v>
      </c>
    </row>
    <row r="956" spans="3:10" s="4" customFormat="1" ht="15.75" outlineLevel="2" collapsed="1" x14ac:dyDescent="0.25">
      <c r="C956" s="20" t="s">
        <v>1385</v>
      </c>
    </row>
    <row r="957" spans="3:10" s="17" customFormat="1" hidden="1" outlineLevel="3" x14ac:dyDescent="0.25">
      <c r="D957" s="18" t="s">
        <v>1079</v>
      </c>
    </row>
    <row r="958" spans="3:10" s="125" customFormat="1" hidden="1" outlineLevel="3" x14ac:dyDescent="0.25">
      <c r="D958" s="194" t="s">
        <v>0</v>
      </c>
      <c r="E958" s="195"/>
      <c r="F958" s="133" t="s">
        <v>1080</v>
      </c>
    </row>
    <row r="959" spans="3:10" s="125" customFormat="1" hidden="1" outlineLevel="3" x14ac:dyDescent="0.25">
      <c r="D959" s="137" t="s">
        <v>1322</v>
      </c>
      <c r="E959" s="137" t="s">
        <v>1345</v>
      </c>
      <c r="F959" s="137" t="s">
        <v>1398</v>
      </c>
    </row>
    <row r="960" spans="3:10" s="17" customFormat="1" hidden="1" outlineLevel="3" x14ac:dyDescent="0.25">
      <c r="D960" s="18" t="s">
        <v>1083</v>
      </c>
    </row>
    <row r="961" spans="2:8" s="125" customFormat="1" hidden="1" outlineLevel="3" x14ac:dyDescent="0.25">
      <c r="D961" s="194" t="s">
        <v>0</v>
      </c>
      <c r="E961" s="195"/>
      <c r="F961" s="194" t="s">
        <v>1084</v>
      </c>
      <c r="G961" s="195"/>
    </row>
    <row r="962" spans="2:8" s="125" customFormat="1" hidden="1" outlineLevel="3" x14ac:dyDescent="0.25">
      <c r="D962" s="140" t="str">
        <f>D959</f>
        <v>RVd1</v>
      </c>
      <c r="E962" s="140" t="str">
        <f>E959</f>
        <v>Lüftungsnetz</v>
      </c>
      <c r="F962" s="137" t="str">
        <f>D102</f>
        <v>RV1</v>
      </c>
      <c r="G962" s="137" t="str">
        <f>E102</f>
        <v>Wohnungslüftung</v>
      </c>
    </row>
    <row r="963" spans="2:8" s="17" customFormat="1" hidden="1" outlineLevel="3" x14ac:dyDescent="0.25">
      <c r="D963" s="18" t="s">
        <v>1087</v>
      </c>
    </row>
    <row r="964" spans="2:8" s="125" customFormat="1" hidden="1" outlineLevel="3" x14ac:dyDescent="0.25">
      <c r="D964" s="182" t="s">
        <v>0</v>
      </c>
      <c r="E964" s="183"/>
      <c r="F964" s="134" t="s">
        <v>1088</v>
      </c>
      <c r="G964" s="134" t="s">
        <v>1089</v>
      </c>
      <c r="H964" s="134" t="s">
        <v>1090</v>
      </c>
    </row>
    <row r="965" spans="2:8" s="125" customFormat="1" hidden="1" outlineLevel="3" x14ac:dyDescent="0.25">
      <c r="D965" s="184"/>
      <c r="E965" s="185"/>
      <c r="F965" s="132" t="s">
        <v>709</v>
      </c>
      <c r="G965" s="132" t="s">
        <v>710</v>
      </c>
      <c r="H965" s="132" t="s">
        <v>709</v>
      </c>
    </row>
    <row r="966" spans="2:8" s="125" customFormat="1" hidden="1" outlineLevel="3" x14ac:dyDescent="0.25">
      <c r="D966" s="140" t="str">
        <f>D962</f>
        <v>RVd1</v>
      </c>
      <c r="E966" s="140" t="str">
        <f>E962</f>
        <v>Lüftungsnetz</v>
      </c>
      <c r="F966" s="138">
        <f>'TGA_WE-HZG_Det_Abs'!J87/G74</f>
        <v>0</v>
      </c>
      <c r="G966" s="138">
        <v>1</v>
      </c>
      <c r="H966" s="138">
        <f>'TGA_WE-HZG_Det_Abs'!J98/G74</f>
        <v>3.0859171597633135</v>
      </c>
    </row>
    <row r="967" spans="2:8" s="17" customFormat="1" hidden="1" outlineLevel="3" x14ac:dyDescent="0.25">
      <c r="D967" s="18" t="s">
        <v>1157</v>
      </c>
    </row>
    <row r="968" spans="2:8" s="125" customFormat="1" hidden="1" outlineLevel="3" x14ac:dyDescent="0.25">
      <c r="D968" s="182" t="s">
        <v>0</v>
      </c>
      <c r="E968" s="183"/>
      <c r="F968" s="134" t="s">
        <v>1099</v>
      </c>
      <c r="G968" s="134" t="s">
        <v>1323</v>
      </c>
      <c r="H968" s="134" t="s">
        <v>1324</v>
      </c>
    </row>
    <row r="969" spans="2:8" s="125" customFormat="1" hidden="1" outlineLevel="3" x14ac:dyDescent="0.25">
      <c r="D969" s="184"/>
      <c r="E969" s="185"/>
      <c r="F969" s="132" t="s">
        <v>892</v>
      </c>
      <c r="G969" s="132" t="s">
        <v>892</v>
      </c>
      <c r="H969" s="132" t="s">
        <v>892</v>
      </c>
    </row>
    <row r="970" spans="2:8" s="125" customFormat="1" hidden="1" outlineLevel="3" x14ac:dyDescent="0.25">
      <c r="D970" s="140" t="str">
        <f>D966</f>
        <v>RVd1</v>
      </c>
      <c r="E970" s="140" t="str">
        <f>E966</f>
        <v>Lüftungsnetz</v>
      </c>
      <c r="F970" s="141">
        <v>23</v>
      </c>
      <c r="G970" s="141">
        <v>5</v>
      </c>
      <c r="H970" s="141">
        <v>29</v>
      </c>
    </row>
    <row r="971" spans="2:8" s="4" customFormat="1" ht="16.5" outlineLevel="1" x14ac:dyDescent="0.25">
      <c r="B971" s="5" t="s">
        <v>1382</v>
      </c>
    </row>
    <row r="972" spans="2:8" s="4" customFormat="1" ht="15.75" outlineLevel="2" collapsed="1" x14ac:dyDescent="0.25">
      <c r="C972" s="20" t="s">
        <v>1383</v>
      </c>
    </row>
    <row r="973" spans="2:8" s="17" customFormat="1" hidden="1" outlineLevel="3" x14ac:dyDescent="0.25">
      <c r="D973" s="18" t="s">
        <v>1079</v>
      </c>
    </row>
    <row r="974" spans="2:8" s="125" customFormat="1" hidden="1" outlineLevel="3" x14ac:dyDescent="0.25">
      <c r="D974" s="194" t="s">
        <v>0</v>
      </c>
      <c r="E974" s="195"/>
      <c r="F974" s="133" t="s">
        <v>1080</v>
      </c>
    </row>
    <row r="975" spans="2:8" s="125" customFormat="1" hidden="1" outlineLevel="3" x14ac:dyDescent="0.25">
      <c r="D975" s="140" t="s">
        <v>1388</v>
      </c>
      <c r="E975" s="137" t="s">
        <v>1399</v>
      </c>
      <c r="F975" s="137" t="s">
        <v>1389</v>
      </c>
    </row>
    <row r="976" spans="2:8" s="17" customFormat="1" hidden="1" outlineLevel="3" x14ac:dyDescent="0.25">
      <c r="D976" s="18" t="s">
        <v>1083</v>
      </c>
    </row>
    <row r="977" spans="3:10" s="125" customFormat="1" hidden="1" outlineLevel="3" x14ac:dyDescent="0.25">
      <c r="D977" s="182" t="s">
        <v>0</v>
      </c>
      <c r="E977" s="183"/>
      <c r="F977" s="182" t="s">
        <v>1084</v>
      </c>
      <c r="G977" s="183"/>
      <c r="H977" s="182" t="s">
        <v>1390</v>
      </c>
      <c r="I977" s="183"/>
      <c r="J977" s="134" t="s">
        <v>1086</v>
      </c>
    </row>
    <row r="978" spans="3:10" s="125" customFormat="1" hidden="1" outlineLevel="3" x14ac:dyDescent="0.25">
      <c r="D978" s="184"/>
      <c r="E978" s="185"/>
      <c r="F978" s="184"/>
      <c r="G978" s="185"/>
      <c r="H978" s="184"/>
      <c r="I978" s="185"/>
      <c r="J978" s="132" t="s">
        <v>818</v>
      </c>
    </row>
    <row r="979" spans="3:10" s="125" customFormat="1" hidden="1" outlineLevel="3" x14ac:dyDescent="0.25">
      <c r="D979" s="140" t="str">
        <f>D975</f>
        <v>H*ce1</v>
      </c>
      <c r="E979" s="140" t="str">
        <f>E975</f>
        <v>Heizregister WLA</v>
      </c>
      <c r="F979" s="137" t="s">
        <v>1391</v>
      </c>
      <c r="G979" s="137" t="str">
        <f>E987</f>
        <v>Heizregisterkreis</v>
      </c>
      <c r="H979" s="137" t="str">
        <f>F962</f>
        <v>RV1</v>
      </c>
      <c r="I979" s="137" t="str">
        <f>G962</f>
        <v>Wohnungslüftung</v>
      </c>
      <c r="J979" s="141">
        <v>100</v>
      </c>
    </row>
    <row r="980" spans="3:10" s="17" customFormat="1" hidden="1" outlineLevel="3" x14ac:dyDescent="0.25">
      <c r="D980" s="18" t="s">
        <v>1087</v>
      </c>
    </row>
    <row r="981" spans="3:10" s="125" customFormat="1" hidden="1" outlineLevel="3" x14ac:dyDescent="0.25">
      <c r="D981" s="182" t="s">
        <v>0</v>
      </c>
      <c r="E981" s="183"/>
      <c r="F981" s="134" t="s">
        <v>1088</v>
      </c>
      <c r="G981" s="134" t="s">
        <v>1089</v>
      </c>
      <c r="H981" s="134" t="s">
        <v>1090</v>
      </c>
    </row>
    <row r="982" spans="3:10" s="125" customFormat="1" hidden="1" outlineLevel="3" x14ac:dyDescent="0.25">
      <c r="D982" s="184"/>
      <c r="E982" s="185"/>
      <c r="F982" s="132" t="s">
        <v>709</v>
      </c>
      <c r="G982" s="132" t="s">
        <v>710</v>
      </c>
      <c r="H982" s="132" t="s">
        <v>709</v>
      </c>
    </row>
    <row r="983" spans="3:10" s="125" customFormat="1" hidden="1" outlineLevel="3" x14ac:dyDescent="0.25">
      <c r="D983" s="140" t="str">
        <f>D979</f>
        <v>H*ce1</v>
      </c>
      <c r="E983" s="140" t="str">
        <f>E979</f>
        <v>Heizregister WLA</v>
      </c>
      <c r="F983" s="138">
        <f>'TGA_WE-HZG_Det_Abs'!J90</f>
        <v>0</v>
      </c>
      <c r="G983" s="138">
        <v>1</v>
      </c>
      <c r="H983" s="138">
        <v>0</v>
      </c>
    </row>
    <row r="984" spans="3:10" s="4" customFormat="1" ht="15.75" outlineLevel="2" collapsed="1" x14ac:dyDescent="0.25">
      <c r="C984" s="20" t="s">
        <v>1392</v>
      </c>
    </row>
    <row r="985" spans="3:10" s="17" customFormat="1" hidden="1" outlineLevel="3" x14ac:dyDescent="0.25">
      <c r="D985" s="18" t="s">
        <v>1079</v>
      </c>
    </row>
    <row r="986" spans="3:10" s="125" customFormat="1" hidden="1" outlineLevel="3" x14ac:dyDescent="0.25">
      <c r="D986" s="194" t="s">
        <v>0</v>
      </c>
      <c r="E986" s="195"/>
      <c r="F986" s="133" t="s">
        <v>1080</v>
      </c>
    </row>
    <row r="987" spans="3:10" s="125" customFormat="1" hidden="1" outlineLevel="3" x14ac:dyDescent="0.25">
      <c r="D987" s="140" t="str">
        <f>F979</f>
        <v>H*d1</v>
      </c>
      <c r="E987" s="140" t="s">
        <v>1401</v>
      </c>
      <c r="F987" s="137" t="s">
        <v>1400</v>
      </c>
    </row>
    <row r="988" spans="3:10" s="17" customFormat="1" hidden="1" outlineLevel="3" x14ac:dyDescent="0.25">
      <c r="D988" s="18" t="s">
        <v>1083</v>
      </c>
    </row>
    <row r="989" spans="3:10" s="125" customFormat="1" hidden="1" outlineLevel="3" x14ac:dyDescent="0.25">
      <c r="D989" s="182" t="s">
        <v>0</v>
      </c>
      <c r="E989" s="183"/>
      <c r="F989" s="182" t="s">
        <v>1084</v>
      </c>
      <c r="G989" s="183"/>
      <c r="H989" s="136"/>
    </row>
    <row r="990" spans="3:10" s="125" customFormat="1" hidden="1" outlineLevel="3" x14ac:dyDescent="0.25">
      <c r="D990" s="184"/>
      <c r="E990" s="185"/>
      <c r="F990" s="184"/>
      <c r="G990" s="185"/>
      <c r="H990" s="136"/>
    </row>
    <row r="991" spans="3:10" s="125" customFormat="1" hidden="1" outlineLevel="3" x14ac:dyDescent="0.25">
      <c r="D991" s="140" t="str">
        <f>D987</f>
        <v>H*d1</v>
      </c>
      <c r="E991" s="140" t="str">
        <f>E987</f>
        <v>Heizregisterkreis</v>
      </c>
      <c r="F991" s="137" t="str">
        <f>F1017</f>
        <v>H1</v>
      </c>
      <c r="G991" s="137" t="str">
        <f>G1017</f>
        <v>Heizsystem</v>
      </c>
      <c r="H991" s="136"/>
    </row>
    <row r="992" spans="3:10" s="17" customFormat="1" hidden="1" outlineLevel="3" x14ac:dyDescent="0.25">
      <c r="D992" s="18" t="s">
        <v>1087</v>
      </c>
    </row>
    <row r="993" spans="4:10" s="125" customFormat="1" hidden="1" outlineLevel="3" x14ac:dyDescent="0.25">
      <c r="D993" s="182" t="s">
        <v>0</v>
      </c>
      <c r="E993" s="183"/>
      <c r="F993" s="134" t="s">
        <v>1088</v>
      </c>
      <c r="G993" s="134" t="s">
        <v>1089</v>
      </c>
      <c r="H993" s="134" t="s">
        <v>1090</v>
      </c>
    </row>
    <row r="994" spans="4:10" s="125" customFormat="1" hidden="1" outlineLevel="3" x14ac:dyDescent="0.25">
      <c r="D994" s="184"/>
      <c r="E994" s="185"/>
      <c r="F994" s="132" t="s">
        <v>709</v>
      </c>
      <c r="G994" s="132" t="s">
        <v>710</v>
      </c>
      <c r="H994" s="132" t="s">
        <v>709</v>
      </c>
    </row>
    <row r="995" spans="4:10" s="125" customFormat="1" hidden="1" outlineLevel="3" x14ac:dyDescent="0.25">
      <c r="D995" s="140" t="str">
        <f>D991</f>
        <v>H*d1</v>
      </c>
      <c r="E995" s="140" t="str">
        <f>E991</f>
        <v>Heizregisterkreis</v>
      </c>
      <c r="F995" s="138">
        <f>'TGA_WE-HZG_Det_Abs'!J91/G74</f>
        <v>0.26952931719345807</v>
      </c>
      <c r="G995" s="138">
        <f>('TGA_WE-HZG_Det_Abs'!J91+'TGA_WE-HZG_Det_Abs'!J90+'TGA_WE-HZG_Det_Abs'!J89)/('TGA_WE-HZG_Det_Abs'!J90+'TGA_WE-HZG_Det_Abs'!J89)</f>
        <v>1.0527045140042393</v>
      </c>
      <c r="H995" s="138">
        <f>'TGA_WE-HZG_Det_Abs'!J97/G74</f>
        <v>0.11354184277261199</v>
      </c>
    </row>
    <row r="996" spans="4:10" s="17" customFormat="1" hidden="1" outlineLevel="3" x14ac:dyDescent="0.25">
      <c r="D996" s="18" t="s">
        <v>1093</v>
      </c>
    </row>
    <row r="997" spans="4:10" s="125" customFormat="1" hidden="1" outlineLevel="3" x14ac:dyDescent="0.25">
      <c r="D997" s="182" t="s">
        <v>0</v>
      </c>
      <c r="E997" s="183"/>
      <c r="F997" s="134" t="s">
        <v>750</v>
      </c>
      <c r="G997" s="134" t="s">
        <v>934</v>
      </c>
      <c r="H997" s="134" t="s">
        <v>935</v>
      </c>
      <c r="I997" s="134" t="s">
        <v>936</v>
      </c>
      <c r="J997" s="134" t="s">
        <v>937</v>
      </c>
    </row>
    <row r="998" spans="4:10" s="125" customFormat="1" hidden="1" outlineLevel="3" x14ac:dyDescent="0.25">
      <c r="D998" s="184"/>
      <c r="E998" s="185"/>
      <c r="F998" s="132" t="s">
        <v>746</v>
      </c>
      <c r="G998" s="132" t="s">
        <v>892</v>
      </c>
      <c r="H998" s="132" t="s">
        <v>892</v>
      </c>
      <c r="I998" s="132" t="s">
        <v>892</v>
      </c>
      <c r="J998" s="132" t="s">
        <v>710</v>
      </c>
    </row>
    <row r="999" spans="4:10" s="125" customFormat="1" hidden="1" outlineLevel="3" x14ac:dyDescent="0.25">
      <c r="D999" s="140" t="str">
        <f>D995</f>
        <v>H*d1</v>
      </c>
      <c r="E999" s="140" t="str">
        <f>E995</f>
        <v>Heizregisterkreis</v>
      </c>
      <c r="F999" s="142">
        <f>F604</f>
        <v>295.75</v>
      </c>
      <c r="G999" s="142">
        <f t="shared" ref="G999:J999" si="58">G604</f>
        <v>13.5</v>
      </c>
      <c r="H999" s="142">
        <f t="shared" si="58"/>
        <v>10</v>
      </c>
      <c r="I999" s="142">
        <f t="shared" si="58"/>
        <v>2.74</v>
      </c>
      <c r="J999" s="143">
        <f t="shared" si="58"/>
        <v>2</v>
      </c>
    </row>
    <row r="1000" spans="4:10" s="17" customFormat="1" hidden="1" outlineLevel="3" x14ac:dyDescent="0.25">
      <c r="D1000" s="18" t="s">
        <v>1094</v>
      </c>
    </row>
    <row r="1001" spans="4:10" s="125" customFormat="1" hidden="1" outlineLevel="3" x14ac:dyDescent="0.25">
      <c r="D1001" s="182" t="s">
        <v>0</v>
      </c>
      <c r="E1001" s="183"/>
      <c r="F1001" s="186" t="s">
        <v>1095</v>
      </c>
      <c r="G1001" s="187"/>
      <c r="H1001" s="188"/>
      <c r="I1001" s="135" t="s">
        <v>1096</v>
      </c>
      <c r="J1001" s="180" t="s">
        <v>1097</v>
      </c>
    </row>
    <row r="1002" spans="4:10" s="125" customFormat="1" hidden="1" outlineLevel="3" x14ac:dyDescent="0.25">
      <c r="D1002" s="199"/>
      <c r="E1002" s="200"/>
      <c r="F1002" s="132" t="s">
        <v>111</v>
      </c>
      <c r="G1002" s="132" t="s">
        <v>1098</v>
      </c>
      <c r="H1002" s="132" t="s">
        <v>1099</v>
      </c>
      <c r="I1002" s="132" t="s">
        <v>1100</v>
      </c>
      <c r="J1002" s="181"/>
    </row>
    <row r="1003" spans="4:10" s="125" customFormat="1" hidden="1" outlineLevel="3" x14ac:dyDescent="0.25">
      <c r="D1003" s="184"/>
      <c r="E1003" s="185"/>
      <c r="F1003" s="132" t="s">
        <v>892</v>
      </c>
      <c r="G1003" s="132" t="s">
        <v>892</v>
      </c>
      <c r="H1003" s="132" t="s">
        <v>892</v>
      </c>
      <c r="I1003" s="132" t="s">
        <v>1101</v>
      </c>
      <c r="J1003" s="132" t="s">
        <v>1102</v>
      </c>
    </row>
    <row r="1004" spans="4:10" s="125" customFormat="1" hidden="1" outlineLevel="3" x14ac:dyDescent="0.25">
      <c r="D1004" s="140" t="str">
        <f>D999</f>
        <v>H*d1</v>
      </c>
      <c r="E1004" s="140" t="str">
        <f>E999</f>
        <v>Heizregisterkreis</v>
      </c>
      <c r="F1004" s="141">
        <v>30</v>
      </c>
      <c r="G1004" s="141">
        <v>0</v>
      </c>
      <c r="H1004" s="141">
        <v>0</v>
      </c>
      <c r="I1004" s="138">
        <f>SUM(F1004:H1004)/G74</f>
        <v>0.10143702451394759</v>
      </c>
      <c r="J1004" s="141">
        <v>34</v>
      </c>
    </row>
    <row r="1005" spans="4:10" s="17" customFormat="1" hidden="1" outlineLevel="3" x14ac:dyDescent="0.25">
      <c r="D1005" s="18" t="s">
        <v>1144</v>
      </c>
    </row>
    <row r="1006" spans="4:10" s="125" customFormat="1" hidden="1" outlineLevel="3" x14ac:dyDescent="0.25">
      <c r="D1006" s="182" t="s">
        <v>0</v>
      </c>
      <c r="E1006" s="183"/>
      <c r="F1006" s="186" t="s">
        <v>1145</v>
      </c>
      <c r="G1006" s="188"/>
      <c r="H1006" s="133" t="s">
        <v>1146</v>
      </c>
      <c r="I1006" s="133" t="s">
        <v>1106</v>
      </c>
    </row>
    <row r="1007" spans="4:10" s="125" customFormat="1" hidden="1" outlineLevel="3" x14ac:dyDescent="0.25">
      <c r="D1007" s="184"/>
      <c r="E1007" s="185"/>
      <c r="F1007" s="132" t="s">
        <v>775</v>
      </c>
      <c r="G1007" s="132" t="s">
        <v>775</v>
      </c>
      <c r="H1007" s="130"/>
      <c r="I1007" s="130"/>
    </row>
    <row r="1008" spans="4:10" s="125" customFormat="1" hidden="1" outlineLevel="3" x14ac:dyDescent="0.25">
      <c r="D1008" s="140" t="str">
        <f>D1004</f>
        <v>H*d1</v>
      </c>
      <c r="E1008" s="140" t="str">
        <f>E1004</f>
        <v>Heizregisterkreis</v>
      </c>
      <c r="F1008" s="141">
        <v>55</v>
      </c>
      <c r="G1008" s="141">
        <v>45</v>
      </c>
      <c r="H1008" s="137" t="s">
        <v>1285</v>
      </c>
      <c r="I1008" s="137" t="s">
        <v>1107</v>
      </c>
    </row>
    <row r="1009" spans="3:10" s="4" customFormat="1" ht="15.75" outlineLevel="2" x14ac:dyDescent="0.25">
      <c r="C1009" s="20" t="s">
        <v>1393</v>
      </c>
    </row>
    <row r="1010" spans="3:10" s="4" customFormat="1" ht="15.75" outlineLevel="2" collapsed="1" x14ac:dyDescent="0.25">
      <c r="C1010" s="20" t="s">
        <v>1394</v>
      </c>
    </row>
    <row r="1011" spans="3:10" s="17" customFormat="1" hidden="1" outlineLevel="3" x14ac:dyDescent="0.25">
      <c r="D1011" s="18" t="s">
        <v>1079</v>
      </c>
    </row>
    <row r="1012" spans="3:10" s="125" customFormat="1" hidden="1" outlineLevel="3" x14ac:dyDescent="0.25">
      <c r="D1012" s="194" t="s">
        <v>0</v>
      </c>
      <c r="E1012" s="195"/>
      <c r="F1012" s="133" t="s">
        <v>1080</v>
      </c>
    </row>
    <row r="1013" spans="3:10" s="125" customFormat="1" hidden="1" outlineLevel="3" x14ac:dyDescent="0.25">
      <c r="D1013" s="140" t="s">
        <v>1395</v>
      </c>
      <c r="E1013" s="137" t="s">
        <v>1150</v>
      </c>
      <c r="F1013" s="137" t="s">
        <v>1290</v>
      </c>
    </row>
    <row r="1014" spans="3:10" s="17" customFormat="1" hidden="1" outlineLevel="3" x14ac:dyDescent="0.25">
      <c r="D1014" s="18" t="s">
        <v>1083</v>
      </c>
    </row>
    <row r="1015" spans="3:10" s="125" customFormat="1" hidden="1" outlineLevel="3" x14ac:dyDescent="0.25">
      <c r="D1015" s="182" t="s">
        <v>0</v>
      </c>
      <c r="E1015" s="183"/>
      <c r="F1015" s="182" t="s">
        <v>1110</v>
      </c>
      <c r="G1015" s="183"/>
      <c r="H1015" s="134" t="s">
        <v>1086</v>
      </c>
    </row>
    <row r="1016" spans="3:10" s="125" customFormat="1" hidden="1" outlineLevel="3" x14ac:dyDescent="0.25">
      <c r="D1016" s="184"/>
      <c r="E1016" s="185"/>
      <c r="F1016" s="184"/>
      <c r="G1016" s="185"/>
      <c r="H1016" s="132" t="s">
        <v>818</v>
      </c>
    </row>
    <row r="1017" spans="3:10" s="125" customFormat="1" hidden="1" outlineLevel="3" x14ac:dyDescent="0.25">
      <c r="D1017" s="140" t="str">
        <f>D1013</f>
        <v>H*g1</v>
      </c>
      <c r="E1017" s="140" t="str">
        <f>E1013</f>
        <v>Brennwertkessel</v>
      </c>
      <c r="F1017" s="137" t="str">
        <f>F888</f>
        <v>H1</v>
      </c>
      <c r="G1017" s="137" t="str">
        <f>G888</f>
        <v>Heizsystem</v>
      </c>
      <c r="H1017" s="141">
        <v>100</v>
      </c>
    </row>
    <row r="1018" spans="3:10" s="17" customFormat="1" hidden="1" outlineLevel="3" x14ac:dyDescent="0.25">
      <c r="D1018" s="18" t="s">
        <v>1111</v>
      </c>
    </row>
    <row r="1019" spans="3:10" s="125" customFormat="1" ht="24" hidden="1" customHeight="1" outlineLevel="3" x14ac:dyDescent="0.25">
      <c r="D1019" s="182" t="s">
        <v>0</v>
      </c>
      <c r="E1019" s="183"/>
      <c r="F1019" s="180" t="s">
        <v>1396</v>
      </c>
      <c r="G1019" s="180" t="s">
        <v>1113</v>
      </c>
      <c r="H1019" s="135" t="s">
        <v>380</v>
      </c>
      <c r="I1019" s="180" t="s">
        <v>1114</v>
      </c>
      <c r="J1019" s="135" t="s">
        <v>1115</v>
      </c>
    </row>
    <row r="1020" spans="3:10" s="125" customFormat="1" hidden="1" outlineLevel="3" x14ac:dyDescent="0.25">
      <c r="D1020" s="199"/>
      <c r="E1020" s="200"/>
      <c r="F1020" s="181"/>
      <c r="G1020" s="181"/>
      <c r="H1020" s="132" t="s">
        <v>1116</v>
      </c>
      <c r="I1020" s="181"/>
      <c r="J1020" s="132" t="s">
        <v>1117</v>
      </c>
    </row>
    <row r="1021" spans="3:10" s="125" customFormat="1" hidden="1" outlineLevel="3" x14ac:dyDescent="0.25">
      <c r="D1021" s="184"/>
      <c r="E1021" s="185"/>
      <c r="F1021" s="132" t="s">
        <v>1118</v>
      </c>
      <c r="G1021" s="132" t="s">
        <v>1118</v>
      </c>
      <c r="H1021" s="132" t="s">
        <v>1118</v>
      </c>
      <c r="I1021" s="132" t="s">
        <v>1118</v>
      </c>
      <c r="J1021" s="132" t="s">
        <v>1118</v>
      </c>
    </row>
    <row r="1022" spans="3:10" s="125" customFormat="1" hidden="1" outlineLevel="3" x14ac:dyDescent="0.25">
      <c r="D1022" s="140" t="str">
        <f>D1017</f>
        <v>H*g1</v>
      </c>
      <c r="E1022" s="140" t="str">
        <f>E1017</f>
        <v>Brennwertkessel</v>
      </c>
      <c r="F1022" s="143">
        <f>'TGA_WE-HZG_Det_Abs'!J92</f>
        <v>1592.17</v>
      </c>
      <c r="G1022" s="143">
        <f>'TGA_WE-HZG_Det_Abs'!J93</f>
        <v>40.090000000000003</v>
      </c>
      <c r="H1022" s="143">
        <f>F1022+G1022</f>
        <v>1632.26</v>
      </c>
      <c r="I1022" s="141">
        <v>0</v>
      </c>
      <c r="J1022" s="143">
        <f>H1022-I1022</f>
        <v>1632.26</v>
      </c>
    </row>
    <row r="1023" spans="3:10" s="17" customFormat="1" hidden="1" outlineLevel="3" x14ac:dyDescent="0.25">
      <c r="D1023" s="18" t="s">
        <v>1087</v>
      </c>
    </row>
    <row r="1024" spans="3:10" s="125" customFormat="1" hidden="1" outlineLevel="3" x14ac:dyDescent="0.25">
      <c r="D1024" s="182" t="s">
        <v>0</v>
      </c>
      <c r="E1024" s="183"/>
      <c r="F1024" s="180" t="s">
        <v>1088</v>
      </c>
      <c r="G1024" s="180" t="s">
        <v>1119</v>
      </c>
      <c r="H1024" s="135" t="s">
        <v>1120</v>
      </c>
      <c r="I1024" s="180" t="s">
        <v>1090</v>
      </c>
    </row>
    <row r="1025" spans="1:11" s="125" customFormat="1" hidden="1" outlineLevel="3" x14ac:dyDescent="0.25">
      <c r="D1025" s="199"/>
      <c r="E1025" s="200"/>
      <c r="F1025" s="181"/>
      <c r="G1025" s="181"/>
      <c r="H1025" s="132" t="s">
        <v>1121</v>
      </c>
      <c r="I1025" s="181"/>
    </row>
    <row r="1026" spans="1:11" s="125" customFormat="1" hidden="1" outlineLevel="3" x14ac:dyDescent="0.25">
      <c r="D1026" s="184"/>
      <c r="E1026" s="185"/>
      <c r="F1026" s="132" t="s">
        <v>709</v>
      </c>
      <c r="G1026" s="132" t="s">
        <v>710</v>
      </c>
      <c r="H1026" s="132" t="s">
        <v>710</v>
      </c>
      <c r="I1026" s="132" t="s">
        <v>709</v>
      </c>
    </row>
    <row r="1027" spans="1:11" s="125" customFormat="1" hidden="1" outlineLevel="3" x14ac:dyDescent="0.25">
      <c r="D1027" s="140" t="str">
        <f>D1022</f>
        <v>H*g1</v>
      </c>
      <c r="E1027" s="140" t="str">
        <f>E1022</f>
        <v>Brennwertkessel</v>
      </c>
      <c r="F1027" s="138">
        <f>G1022/G74</f>
        <v>0.13555367709213864</v>
      </c>
      <c r="G1027" s="138">
        <f>J1022/F1022</f>
        <v>1.0251794720413021</v>
      </c>
      <c r="H1027" s="138">
        <f>1/G1027</f>
        <v>0.97543896193008472</v>
      </c>
      <c r="I1027" s="138">
        <f>'TGA_WE-HZG_Det_Abs'!J96/G74</f>
        <v>0.28605240912933216</v>
      </c>
    </row>
    <row r="1028" spans="1:11" s="17" customFormat="1" hidden="1" outlineLevel="3" x14ac:dyDescent="0.25">
      <c r="D1028" s="18" t="s">
        <v>1122</v>
      </c>
    </row>
    <row r="1029" spans="1:11" s="125" customFormat="1" hidden="1" outlineLevel="3" x14ac:dyDescent="0.25">
      <c r="D1029" s="182" t="s">
        <v>0</v>
      </c>
      <c r="E1029" s="183"/>
      <c r="F1029" s="186" t="s">
        <v>1123</v>
      </c>
      <c r="G1029" s="187"/>
      <c r="H1029" s="188"/>
      <c r="I1029" s="180" t="s">
        <v>1124</v>
      </c>
      <c r="J1029" s="134" t="s">
        <v>1046</v>
      </c>
      <c r="K1029" s="134" t="s">
        <v>1125</v>
      </c>
    </row>
    <row r="1030" spans="1:11" s="125" customFormat="1" hidden="1" outlineLevel="3" x14ac:dyDescent="0.25">
      <c r="D1030" s="184"/>
      <c r="E1030" s="185"/>
      <c r="F1030" s="132" t="s">
        <v>68</v>
      </c>
      <c r="G1030" s="132" t="s">
        <v>1152</v>
      </c>
      <c r="H1030" s="132" t="s">
        <v>378</v>
      </c>
      <c r="I1030" s="181"/>
      <c r="J1030" s="132" t="s">
        <v>988</v>
      </c>
      <c r="K1030" s="132" t="s">
        <v>746</v>
      </c>
    </row>
    <row r="1031" spans="1:11" s="125" customFormat="1" hidden="1" outlineLevel="3" x14ac:dyDescent="0.25">
      <c r="D1031" s="140" t="str">
        <f>D1027</f>
        <v>H*g1</v>
      </c>
      <c r="E1031" s="140" t="str">
        <f>E1027</f>
        <v>Brennwertkessel</v>
      </c>
      <c r="F1031" s="144" t="s">
        <v>515</v>
      </c>
      <c r="G1031" s="144" t="s">
        <v>515</v>
      </c>
      <c r="H1031" s="144" t="s">
        <v>516</v>
      </c>
      <c r="I1031" s="141" t="str">
        <f>I902</f>
        <v>Heizöl</v>
      </c>
      <c r="J1031" s="141">
        <f t="shared" ref="J1031:K1031" si="59">J902</f>
        <v>22</v>
      </c>
      <c r="K1031" s="141" t="str">
        <f t="shared" si="59"/>
        <v>k. A.</v>
      </c>
    </row>
    <row r="1032" spans="1:11" s="3" customFormat="1" ht="18" x14ac:dyDescent="0.25">
      <c r="A1032" s="2" t="s">
        <v>1158</v>
      </c>
    </row>
    <row r="1033" spans="1:11" s="3" customFormat="1" ht="18" x14ac:dyDescent="0.25">
      <c r="A1033" s="2" t="s">
        <v>1161</v>
      </c>
    </row>
    <row r="1034" spans="1:11" s="3" customFormat="1" ht="18" x14ac:dyDescent="0.25">
      <c r="A1034" s="2" t="s">
        <v>1162</v>
      </c>
    </row>
    <row r="1035" spans="1:11" s="3" customFormat="1" ht="18" x14ac:dyDescent="0.25">
      <c r="A1035" s="2" t="s">
        <v>1163</v>
      </c>
    </row>
    <row r="1036" spans="1:11" s="3" customFormat="1" ht="18" x14ac:dyDescent="0.25">
      <c r="A1036" s="2" t="s">
        <v>1164</v>
      </c>
    </row>
    <row r="1037" spans="1:11" s="4" customFormat="1" ht="16.5" outlineLevel="1" collapsed="1" x14ac:dyDescent="0.25">
      <c r="B1037" s="5" t="s">
        <v>1165</v>
      </c>
    </row>
    <row r="1038" spans="1:11" hidden="1" outlineLevel="2" x14ac:dyDescent="0.25">
      <c r="D1038" s="51"/>
    </row>
    <row r="1039" spans="1:11" s="4" customFormat="1" ht="16.5" outlineLevel="1" x14ac:dyDescent="0.25">
      <c r="B1039" s="5" t="s">
        <v>1166</v>
      </c>
    </row>
    <row r="1040" spans="1:11" s="4" customFormat="1" ht="15.75" outlineLevel="2" collapsed="1" x14ac:dyDescent="0.25">
      <c r="C1040" s="20" t="s">
        <v>1292</v>
      </c>
    </row>
    <row r="1041" spans="3:7" hidden="1" outlineLevel="3" x14ac:dyDescent="0.25">
      <c r="D1041" s="83" t="s">
        <v>1293</v>
      </c>
      <c r="E1041" s="196" t="s">
        <v>1325</v>
      </c>
      <c r="F1041" s="197"/>
      <c r="G1041" s="198"/>
    </row>
    <row r="1042" spans="3:7" hidden="1" outlineLevel="3" x14ac:dyDescent="0.25">
      <c r="D1042" s="189" t="s">
        <v>1294</v>
      </c>
      <c r="E1042" s="189"/>
      <c r="F1042" s="39">
        <v>2.02</v>
      </c>
      <c r="G1042" s="69" t="s">
        <v>224</v>
      </c>
    </row>
    <row r="1043" spans="3:7" hidden="1" outlineLevel="3" x14ac:dyDescent="0.25">
      <c r="D1043" s="189" t="s">
        <v>1295</v>
      </c>
      <c r="E1043" s="189"/>
      <c r="F1043" s="39" t="s">
        <v>1296</v>
      </c>
      <c r="G1043" s="69"/>
    </row>
    <row r="1044" spans="3:7" hidden="1" outlineLevel="3" x14ac:dyDescent="0.25">
      <c r="D1044" s="189" t="s">
        <v>1297</v>
      </c>
      <c r="E1044" s="189"/>
      <c r="F1044" s="39" t="s">
        <v>1255</v>
      </c>
      <c r="G1044" s="69"/>
    </row>
    <row r="1045" spans="3:7" hidden="1" outlineLevel="3" x14ac:dyDescent="0.25">
      <c r="D1045" s="189" t="s">
        <v>1298</v>
      </c>
      <c r="E1045" s="189"/>
      <c r="F1045" s="82">
        <f>'TGA_EE-PV_Det_Abs'!D3</f>
        <v>1719.05</v>
      </c>
      <c r="G1045" s="69" t="s">
        <v>56</v>
      </c>
    </row>
    <row r="1046" spans="3:7" s="4" customFormat="1" ht="15.75" outlineLevel="2" x14ac:dyDescent="0.25">
      <c r="C1046" s="20" t="s">
        <v>1299</v>
      </c>
    </row>
    <row r="1047" spans="3:7" s="4" customFormat="1" ht="15.75" outlineLevel="2" collapsed="1" x14ac:dyDescent="0.25">
      <c r="C1047" s="20" t="s">
        <v>1300</v>
      </c>
    </row>
    <row r="1048" spans="3:7" s="17" customFormat="1" hidden="1" outlineLevel="3" x14ac:dyDescent="0.25">
      <c r="D1048" s="18" t="s">
        <v>1301</v>
      </c>
    </row>
    <row r="1049" spans="3:7" hidden="1" outlineLevel="3" x14ac:dyDescent="0.25">
      <c r="D1049" s="83"/>
      <c r="E1049" s="45" t="s">
        <v>1302</v>
      </c>
      <c r="F1049" s="45" t="s">
        <v>1303</v>
      </c>
    </row>
    <row r="1050" spans="3:7" hidden="1" outlineLevel="3" x14ac:dyDescent="0.25">
      <c r="D1050" s="55"/>
      <c r="E1050" s="71" t="s">
        <v>1118</v>
      </c>
      <c r="F1050" s="71" t="s">
        <v>818</v>
      </c>
    </row>
    <row r="1051" spans="3:7" hidden="1" outlineLevel="3" x14ac:dyDescent="0.25">
      <c r="D1051" s="55" t="s">
        <v>1304</v>
      </c>
      <c r="E1051" s="74">
        <f>F1045</f>
        <v>1719.05</v>
      </c>
      <c r="F1051" s="43">
        <f>E1051/$E$1053*100</f>
        <v>82.938914540182466</v>
      </c>
    </row>
    <row r="1052" spans="3:7" hidden="1" outlineLevel="3" x14ac:dyDescent="0.25">
      <c r="D1052" s="55" t="s">
        <v>1305</v>
      </c>
      <c r="E1052" s="74">
        <f>'GEB_Erg_Det_E-Träger_Abs'!D3</f>
        <v>353.62</v>
      </c>
      <c r="F1052" s="43">
        <f>E1052/$E$1053*100</f>
        <v>17.06108545981753</v>
      </c>
    </row>
    <row r="1053" spans="3:7" hidden="1" outlineLevel="3" x14ac:dyDescent="0.25">
      <c r="D1053" s="55" t="s">
        <v>380</v>
      </c>
      <c r="E1053" s="74">
        <f>E1051+E1052</f>
        <v>2072.67</v>
      </c>
      <c r="F1053" s="71">
        <v>100</v>
      </c>
    </row>
    <row r="1054" spans="3:7" s="17" customFormat="1" hidden="1" outlineLevel="3" x14ac:dyDescent="0.25">
      <c r="D1054" s="18" t="s">
        <v>1306</v>
      </c>
    </row>
    <row r="1055" spans="3:7" hidden="1" outlineLevel="3" x14ac:dyDescent="0.25">
      <c r="D1055" s="83"/>
      <c r="E1055" s="45" t="s">
        <v>1302</v>
      </c>
      <c r="F1055" s="45" t="s">
        <v>1303</v>
      </c>
    </row>
    <row r="1056" spans="3:7" hidden="1" outlineLevel="3" x14ac:dyDescent="0.25">
      <c r="D1056" s="55"/>
      <c r="E1056" s="71" t="s">
        <v>1118</v>
      </c>
      <c r="F1056" s="71" t="s">
        <v>818</v>
      </c>
    </row>
    <row r="1057" spans="1:11" hidden="1" outlineLevel="3" x14ac:dyDescent="0.25">
      <c r="D1057" s="55" t="s">
        <v>1307</v>
      </c>
      <c r="E1057" s="74">
        <f>GEB_Erg_Det_End_Bon_Abs!D2</f>
        <v>1123.5</v>
      </c>
      <c r="F1057" s="43">
        <f>E1057/$E$1060*100</f>
        <v>65.3558651580815</v>
      </c>
    </row>
    <row r="1058" spans="1:11" hidden="1" outlineLevel="3" x14ac:dyDescent="0.25">
      <c r="D1058" s="55" t="s">
        <v>1308</v>
      </c>
      <c r="E1058" s="23">
        <v>0</v>
      </c>
      <c r="F1058" s="43">
        <f>E1058/$E$1060*100</f>
        <v>0</v>
      </c>
    </row>
    <row r="1059" spans="1:11" hidden="1" outlineLevel="3" x14ac:dyDescent="0.25">
      <c r="D1059" s="55" t="s">
        <v>1309</v>
      </c>
      <c r="E1059" s="74">
        <f>E1051-E1057-E1058</f>
        <v>595.54999999999995</v>
      </c>
      <c r="F1059" s="43">
        <f>E1059/$E$1060*100</f>
        <v>34.6441348419185</v>
      </c>
    </row>
    <row r="1060" spans="1:11" hidden="1" outlineLevel="3" x14ac:dyDescent="0.25">
      <c r="D1060" s="55" t="s">
        <v>380</v>
      </c>
      <c r="E1060" s="74">
        <f>E1057+E1058+E1059</f>
        <v>1719.05</v>
      </c>
      <c r="F1060" s="71">
        <v>100</v>
      </c>
    </row>
    <row r="1061" spans="1:11" s="17" customFormat="1" hidden="1" outlineLevel="3" x14ac:dyDescent="0.25">
      <c r="D1061" s="18" t="s">
        <v>1310</v>
      </c>
    </row>
    <row r="1062" spans="1:11" hidden="1" outlineLevel="3" x14ac:dyDescent="0.25">
      <c r="D1062" s="58" t="s">
        <v>1298</v>
      </c>
      <c r="E1062" s="97">
        <f>E1051</f>
        <v>1719.05</v>
      </c>
      <c r="F1062" s="58" t="s">
        <v>56</v>
      </c>
    </row>
    <row r="1063" spans="1:11" hidden="1" outlineLevel="3" x14ac:dyDescent="0.25">
      <c r="D1063" s="69" t="s">
        <v>1311</v>
      </c>
      <c r="E1063" s="82">
        <f>E1057</f>
        <v>1123.5</v>
      </c>
      <c r="F1063" s="69" t="s">
        <v>56</v>
      </c>
    </row>
    <row r="1064" spans="1:11" s="4" customFormat="1" ht="16.5" outlineLevel="1" x14ac:dyDescent="0.25">
      <c r="B1064" s="5" t="s">
        <v>1167</v>
      </c>
    </row>
    <row r="1065" spans="1:11" s="4" customFormat="1" ht="16.5" outlineLevel="1" x14ac:dyDescent="0.25">
      <c r="B1065" s="5" t="s">
        <v>1168</v>
      </c>
    </row>
    <row r="1066" spans="1:11" s="4" customFormat="1" ht="16.5" outlineLevel="1" x14ac:dyDescent="0.25">
      <c r="B1066" s="5" t="s">
        <v>1169</v>
      </c>
    </row>
    <row r="1067" spans="1:11" s="3" customFormat="1" ht="18" x14ac:dyDescent="0.25">
      <c r="A1067" s="2" t="s">
        <v>1170</v>
      </c>
    </row>
    <row r="1068" spans="1:11" s="4" customFormat="1" ht="16.5" outlineLevel="1" collapsed="1" x14ac:dyDescent="0.25">
      <c r="B1068" s="5" t="s">
        <v>1171</v>
      </c>
    </row>
    <row r="1069" spans="1:11" hidden="1" outlineLevel="2" x14ac:dyDescent="0.25">
      <c r="D1069" s="83"/>
      <c r="E1069" s="45" t="s">
        <v>1172</v>
      </c>
      <c r="F1069" s="45" t="s">
        <v>1173</v>
      </c>
      <c r="G1069" s="45" t="s">
        <v>1174</v>
      </c>
      <c r="H1069" s="45" t="s">
        <v>1126</v>
      </c>
      <c r="I1069" s="45" t="s">
        <v>669</v>
      </c>
      <c r="J1069" s="45" t="s">
        <v>668</v>
      </c>
      <c r="K1069" s="45" t="s">
        <v>1175</v>
      </c>
    </row>
    <row r="1070" spans="1:11" hidden="1" outlineLevel="2" x14ac:dyDescent="0.25">
      <c r="D1070" s="46" t="s">
        <v>1176</v>
      </c>
      <c r="E1070" s="27" t="s">
        <v>1177</v>
      </c>
      <c r="F1070" s="84" t="s">
        <v>1326</v>
      </c>
      <c r="G1070" s="27" t="s">
        <v>1181</v>
      </c>
      <c r="H1070" s="27" t="s">
        <v>30</v>
      </c>
      <c r="I1070" s="27" t="s">
        <v>30</v>
      </c>
      <c r="J1070" s="27" t="s">
        <v>30</v>
      </c>
      <c r="K1070" s="190" t="s">
        <v>1178</v>
      </c>
    </row>
    <row r="1071" spans="1:11" hidden="1" outlineLevel="2" x14ac:dyDescent="0.25">
      <c r="D1071" s="61" t="s">
        <v>1179</v>
      </c>
      <c r="E1071" s="190" t="s">
        <v>1180</v>
      </c>
      <c r="F1071" s="193" t="s">
        <v>1327</v>
      </c>
      <c r="G1071" s="190" t="s">
        <v>1178</v>
      </c>
      <c r="H1071" s="190" t="s">
        <v>30</v>
      </c>
      <c r="I1071" s="190" t="s">
        <v>30</v>
      </c>
      <c r="J1071" s="190" t="s">
        <v>30</v>
      </c>
      <c r="K1071" s="191"/>
    </row>
    <row r="1072" spans="1:11" hidden="1" outlineLevel="2" x14ac:dyDescent="0.25">
      <c r="D1072" s="46" t="s">
        <v>1182</v>
      </c>
      <c r="E1072" s="192"/>
      <c r="F1072" s="192"/>
      <c r="G1072" s="192"/>
      <c r="H1072" s="192"/>
      <c r="I1072" s="192"/>
      <c r="J1072" s="192"/>
      <c r="K1072" s="191"/>
    </row>
    <row r="1073" spans="1:11" hidden="1" outlineLevel="2" x14ac:dyDescent="0.25">
      <c r="D1073" s="46" t="s">
        <v>1183</v>
      </c>
      <c r="E1073" s="27" t="s">
        <v>1178</v>
      </c>
      <c r="F1073" s="27" t="s">
        <v>30</v>
      </c>
      <c r="G1073" s="27" t="s">
        <v>1177</v>
      </c>
      <c r="H1073" s="84" t="s">
        <v>1328</v>
      </c>
      <c r="I1073" s="27" t="s">
        <v>30</v>
      </c>
      <c r="J1073" s="27" t="s">
        <v>30</v>
      </c>
      <c r="K1073" s="192"/>
    </row>
    <row r="1074" spans="1:11" s="3" customFormat="1" ht="18" x14ac:dyDescent="0.25">
      <c r="A1074" s="2" t="s">
        <v>1184</v>
      </c>
    </row>
    <row r="1075" spans="1:11" s="4" customFormat="1" ht="16.5" outlineLevel="1" collapsed="1" x14ac:dyDescent="0.25">
      <c r="B1075" s="5" t="s">
        <v>1185</v>
      </c>
    </row>
    <row r="1076" spans="1:11" hidden="1" outlineLevel="2" x14ac:dyDescent="0.25">
      <c r="D1076" s="58" t="s">
        <v>1186</v>
      </c>
      <c r="E1076" s="8" t="s">
        <v>1187</v>
      </c>
    </row>
    <row r="1077" spans="1:11" hidden="1" outlineLevel="2" x14ac:dyDescent="0.25">
      <c r="D1077" s="69" t="s">
        <v>1188</v>
      </c>
      <c r="E1077" s="10">
        <v>2020</v>
      </c>
    </row>
    <row r="1078" spans="1:11" s="4" customFormat="1" ht="16.5" outlineLevel="1" collapsed="1" x14ac:dyDescent="0.25">
      <c r="B1078" s="5" t="s">
        <v>1189</v>
      </c>
    </row>
    <row r="1079" spans="1:11" hidden="1" outlineLevel="2" x14ac:dyDescent="0.25">
      <c r="D1079" s="7" t="s">
        <v>1190</v>
      </c>
      <c r="E1079" s="32" t="s">
        <v>428</v>
      </c>
      <c r="F1079" s="149"/>
      <c r="G1079" s="149"/>
    </row>
    <row r="1080" spans="1:11" hidden="1" outlineLevel="2" x14ac:dyDescent="0.25">
      <c r="D1080" s="9" t="s">
        <v>1191</v>
      </c>
      <c r="E1080" s="30" t="s">
        <v>426</v>
      </c>
      <c r="F1080" s="149"/>
      <c r="G1080" s="149"/>
    </row>
    <row r="1081" spans="1:11" hidden="1" outlineLevel="2" x14ac:dyDescent="0.25">
      <c r="D1081" s="9" t="s">
        <v>1192</v>
      </c>
      <c r="E1081" s="30" t="s">
        <v>428</v>
      </c>
      <c r="F1081" s="149"/>
      <c r="G1081" s="149"/>
    </row>
    <row r="1082" spans="1:11" hidden="1" outlineLevel="2" x14ac:dyDescent="0.25">
      <c r="D1082" s="9" t="s">
        <v>1193</v>
      </c>
      <c r="E1082" s="30" t="s">
        <v>428</v>
      </c>
      <c r="F1082" s="149"/>
      <c r="G1082" s="149"/>
    </row>
    <row r="1083" spans="1:11" hidden="1" outlineLevel="2" x14ac:dyDescent="0.25">
      <c r="D1083" s="9" t="s">
        <v>1194</v>
      </c>
      <c r="E1083" s="30" t="s">
        <v>428</v>
      </c>
      <c r="F1083" s="149"/>
      <c r="G1083" s="149"/>
    </row>
    <row r="1084" spans="1:11" hidden="1" outlineLevel="2" x14ac:dyDescent="0.25">
      <c r="D1084" s="9" t="s">
        <v>1195</v>
      </c>
      <c r="E1084" s="30" t="s">
        <v>428</v>
      </c>
      <c r="F1084" s="9"/>
      <c r="G1084" s="10"/>
    </row>
    <row r="1085" spans="1:11" s="4" customFormat="1" ht="16.5" outlineLevel="1" collapsed="1" x14ac:dyDescent="0.25">
      <c r="B1085" s="5" t="s">
        <v>1196</v>
      </c>
    </row>
    <row r="1086" spans="1:11" hidden="1" outlineLevel="2" x14ac:dyDescent="0.25">
      <c r="D1086" s="58" t="s">
        <v>1197</v>
      </c>
      <c r="E1086" s="8">
        <v>1234567890</v>
      </c>
    </row>
    <row r="1087" spans="1:11" s="4" customFormat="1" ht="16.5" outlineLevel="1" x14ac:dyDescent="0.25">
      <c r="B1087" s="5" t="s">
        <v>1198</v>
      </c>
    </row>
    <row r="1088" spans="1:11" s="4" customFormat="1" ht="15.75" outlineLevel="2" collapsed="1" x14ac:dyDescent="0.25">
      <c r="C1088" s="20" t="s">
        <v>1199</v>
      </c>
    </row>
    <row r="1089" spans="3:9" hidden="1" outlineLevel="3" x14ac:dyDescent="0.25">
      <c r="D1089" s="148" t="s">
        <v>1200</v>
      </c>
      <c r="E1089" s="149"/>
      <c r="F1089" s="32" t="s">
        <v>426</v>
      </c>
      <c r="G1089" s="149"/>
      <c r="H1089" s="149"/>
      <c r="I1089" s="150"/>
    </row>
    <row r="1090" spans="3:9" ht="24" hidden="1" customHeight="1" outlineLevel="3" x14ac:dyDescent="0.25">
      <c r="D1090" s="174"/>
      <c r="E1090" s="176"/>
      <c r="F1090" s="177"/>
      <c r="G1090" s="153" t="s">
        <v>1201</v>
      </c>
      <c r="H1090" s="85" t="s">
        <v>1202</v>
      </c>
      <c r="I1090" s="153" t="s">
        <v>1203</v>
      </c>
    </row>
    <row r="1091" spans="3:9" hidden="1" outlineLevel="3" x14ac:dyDescent="0.25">
      <c r="D1091" s="175"/>
      <c r="E1091" s="178"/>
      <c r="F1091" s="179"/>
      <c r="G1091" s="154"/>
      <c r="H1091" s="22" t="s">
        <v>1204</v>
      </c>
      <c r="I1091" s="154"/>
    </row>
    <row r="1092" spans="3:9" ht="33" hidden="1" customHeight="1" outlineLevel="3" x14ac:dyDescent="0.25">
      <c r="D1092" s="151" t="s">
        <v>1205</v>
      </c>
      <c r="E1092" s="155" t="s">
        <v>709</v>
      </c>
      <c r="F1092" s="156"/>
      <c r="G1092" s="42">
        <f>(19958/1.11*1.1+859*1.8)/G74</f>
        <v>72.102783425860338</v>
      </c>
      <c r="H1092" s="42">
        <f>0.75*G1092</f>
        <v>54.077087569395253</v>
      </c>
      <c r="I1092" s="42">
        <f>H293</f>
        <v>52.639332708871166</v>
      </c>
    </row>
    <row r="1093" spans="3:9" hidden="1" outlineLevel="3" x14ac:dyDescent="0.25">
      <c r="D1093" s="152"/>
      <c r="E1093" s="155" t="s">
        <v>818</v>
      </c>
      <c r="F1093" s="156"/>
      <c r="G1093" s="22"/>
      <c r="H1093" s="42">
        <f>(H1092/G1092-1)*100</f>
        <v>-25</v>
      </c>
      <c r="I1093" s="42">
        <f>(I1092/H1092-1)*100</f>
        <v>-2.6587135608571177</v>
      </c>
    </row>
    <row r="1094" spans="3:9" s="4" customFormat="1" ht="15.75" outlineLevel="2" collapsed="1" x14ac:dyDescent="0.25">
      <c r="C1094" s="20" t="s">
        <v>1206</v>
      </c>
    </row>
    <row r="1095" spans="3:9" hidden="1" outlineLevel="3" x14ac:dyDescent="0.25">
      <c r="D1095" s="148" t="s">
        <v>1200</v>
      </c>
      <c r="E1095" s="149"/>
      <c r="F1095" s="32" t="s">
        <v>428</v>
      </c>
      <c r="G1095" s="149"/>
      <c r="H1095" s="150"/>
    </row>
    <row r="1096" spans="3:9" hidden="1" outlineLevel="3" x14ac:dyDescent="0.25">
      <c r="D1096" s="174"/>
      <c r="E1096" s="176"/>
      <c r="F1096" s="177"/>
      <c r="G1096" s="85" t="s">
        <v>1207</v>
      </c>
      <c r="H1096" s="85" t="s">
        <v>1208</v>
      </c>
    </row>
    <row r="1097" spans="3:9" hidden="1" outlineLevel="3" x14ac:dyDescent="0.25">
      <c r="D1097" s="175"/>
      <c r="E1097" s="178"/>
      <c r="F1097" s="179"/>
      <c r="G1097" s="22" t="s">
        <v>1209</v>
      </c>
      <c r="H1097" s="22" t="s">
        <v>1210</v>
      </c>
    </row>
    <row r="1098" spans="3:9" ht="33" hidden="1" customHeight="1" outlineLevel="3" x14ac:dyDescent="0.25">
      <c r="D1098" s="151" t="s">
        <v>1211</v>
      </c>
      <c r="E1098" s="155" t="s">
        <v>709</v>
      </c>
      <c r="F1098" s="156"/>
      <c r="G1098" s="42">
        <f>(19958+859)/G74</f>
        <v>70.387151310228234</v>
      </c>
      <c r="H1098" s="42">
        <f>(GEB_Erg_Det_End_All_Abs!G14+GEB_Erg_Det_End_All_Abs!G17)/G74</f>
        <v>55.940557903634819</v>
      </c>
    </row>
    <row r="1099" spans="3:9" hidden="1" outlineLevel="3" x14ac:dyDescent="0.25">
      <c r="D1099" s="152"/>
      <c r="E1099" s="155" t="s">
        <v>818</v>
      </c>
      <c r="F1099" s="156"/>
      <c r="G1099" s="22"/>
      <c r="H1099" s="42">
        <f>(H1098/G1098-1)*100</f>
        <v>-20.524475188547832</v>
      </c>
    </row>
    <row r="1100" spans="3:9" s="4" customFormat="1" ht="17.25" outlineLevel="2" collapsed="1" x14ac:dyDescent="0.25">
      <c r="C1100" s="20" t="s">
        <v>1212</v>
      </c>
    </row>
    <row r="1101" spans="3:9" hidden="1" outlineLevel="3" x14ac:dyDescent="0.25">
      <c r="D1101" s="148" t="s">
        <v>1200</v>
      </c>
      <c r="E1101" s="149"/>
      <c r="F1101" s="32" t="s">
        <v>428</v>
      </c>
      <c r="G1101" s="149"/>
      <c r="H1101" s="150"/>
    </row>
    <row r="1102" spans="3:9" hidden="1" outlineLevel="3" x14ac:dyDescent="0.25">
      <c r="D1102" s="174"/>
      <c r="E1102" s="176"/>
      <c r="F1102" s="177"/>
      <c r="G1102" s="85" t="s">
        <v>1207</v>
      </c>
      <c r="H1102" s="85" t="s">
        <v>1208</v>
      </c>
    </row>
    <row r="1103" spans="3:9" hidden="1" outlineLevel="3" x14ac:dyDescent="0.25">
      <c r="D1103" s="175"/>
      <c r="E1103" s="178"/>
      <c r="F1103" s="179"/>
      <c r="G1103" s="22" t="s">
        <v>1209</v>
      </c>
      <c r="H1103" s="22" t="s">
        <v>1210</v>
      </c>
    </row>
    <row r="1104" spans="3:9" hidden="1" outlineLevel="3" x14ac:dyDescent="0.25">
      <c r="D1104" s="151" t="s">
        <v>1213</v>
      </c>
      <c r="E1104" s="155" t="s">
        <v>723</v>
      </c>
      <c r="F1104" s="156"/>
      <c r="G1104" s="42">
        <f>(19958/1.11*0.31+859*0.55)/G74</f>
        <v>20.443975843975842</v>
      </c>
      <c r="H1104" s="42">
        <f>L356</f>
        <v>20.775455864994324</v>
      </c>
    </row>
    <row r="1105" spans="3:9" hidden="1" outlineLevel="3" x14ac:dyDescent="0.25">
      <c r="D1105" s="152"/>
      <c r="E1105" s="155" t="s">
        <v>818</v>
      </c>
      <c r="F1105" s="156"/>
      <c r="G1105" s="22"/>
      <c r="H1105" s="42">
        <f>(H1104/G1104-1)*100</f>
        <v>1.6214068317643715</v>
      </c>
    </row>
    <row r="1106" spans="3:9" s="4" customFormat="1" ht="15.75" outlineLevel="2" collapsed="1" x14ac:dyDescent="0.25">
      <c r="C1106" s="20" t="s">
        <v>1214</v>
      </c>
    </row>
    <row r="1107" spans="3:9" s="17" customFormat="1" hidden="1" outlineLevel="3" x14ac:dyDescent="0.25">
      <c r="D1107" s="18" t="s">
        <v>1215</v>
      </c>
    </row>
    <row r="1108" spans="3:9" hidden="1" outlineLevel="3" x14ac:dyDescent="0.25">
      <c r="D1108" s="148" t="s">
        <v>1200</v>
      </c>
      <c r="E1108" s="149"/>
      <c r="F1108" s="32" t="s">
        <v>426</v>
      </c>
      <c r="G1108" s="149"/>
      <c r="H1108" s="149"/>
      <c r="I1108" s="150"/>
    </row>
    <row r="1109" spans="3:9" ht="24" hidden="1" customHeight="1" outlineLevel="3" x14ac:dyDescent="0.25">
      <c r="D1109" s="174"/>
      <c r="E1109" s="176" t="s">
        <v>1216</v>
      </c>
      <c r="F1109" s="177"/>
      <c r="G1109" s="153" t="s">
        <v>1201</v>
      </c>
      <c r="H1109" s="85" t="s">
        <v>1202</v>
      </c>
      <c r="I1109" s="153" t="s">
        <v>1203</v>
      </c>
    </row>
    <row r="1110" spans="3:9" hidden="1" outlineLevel="3" x14ac:dyDescent="0.25">
      <c r="D1110" s="175"/>
      <c r="E1110" s="178"/>
      <c r="F1110" s="179"/>
      <c r="G1110" s="154"/>
      <c r="H1110" s="22" t="s">
        <v>1204</v>
      </c>
      <c r="I1110" s="154"/>
    </row>
    <row r="1111" spans="3:9" ht="33" hidden="1" customHeight="1" outlineLevel="3" x14ac:dyDescent="0.25">
      <c r="D1111" s="151" t="s">
        <v>1217</v>
      </c>
      <c r="E1111" s="155" t="s">
        <v>820</v>
      </c>
      <c r="F1111" s="156"/>
      <c r="G1111" s="50">
        <v>0.35499999999999998</v>
      </c>
      <c r="H1111" s="50">
        <f>1*G1111</f>
        <v>0.35499999999999998</v>
      </c>
      <c r="I1111" s="50">
        <f>E430</f>
        <v>0.35663158092942682</v>
      </c>
    </row>
    <row r="1112" spans="3:9" hidden="1" outlineLevel="3" x14ac:dyDescent="0.25">
      <c r="D1112" s="152"/>
      <c r="E1112" s="155" t="s">
        <v>818</v>
      </c>
      <c r="F1112" s="156"/>
      <c r="G1112" s="22"/>
      <c r="H1112" s="42">
        <f>(H1111/G1111-1)*100</f>
        <v>0</v>
      </c>
      <c r="I1112" s="42">
        <f>(I1111/H1111-1)*100</f>
        <v>0.45960026181037783</v>
      </c>
    </row>
    <row r="1113" spans="3:9" hidden="1" outlineLevel="3" x14ac:dyDescent="0.25">
      <c r="D1113" s="52"/>
      <c r="E1113" s="52"/>
      <c r="F1113" s="52"/>
      <c r="G1113" s="52"/>
      <c r="H1113" s="52"/>
      <c r="I1113" s="52"/>
    </row>
    <row r="1114" spans="3:9" s="17" customFormat="1" hidden="1" outlineLevel="3" x14ac:dyDescent="0.25">
      <c r="D1114" s="18" t="s">
        <v>1218</v>
      </c>
    </row>
    <row r="1115" spans="3:9" hidden="1" outlineLevel="3" x14ac:dyDescent="0.25">
      <c r="D1115" s="148" t="s">
        <v>1200</v>
      </c>
      <c r="E1115" s="149"/>
      <c r="F1115" s="32" t="s">
        <v>426</v>
      </c>
      <c r="G1115" s="149"/>
      <c r="H1115" s="149"/>
      <c r="I1115" s="150"/>
    </row>
    <row r="1116" spans="3:9" ht="24" hidden="1" customHeight="1" outlineLevel="3" x14ac:dyDescent="0.25">
      <c r="D1116" s="174"/>
      <c r="E1116" s="176"/>
      <c r="F1116" s="177"/>
      <c r="G1116" s="153" t="s">
        <v>1219</v>
      </c>
      <c r="H1116" s="85" t="s">
        <v>1202</v>
      </c>
      <c r="I1116" s="153" t="s">
        <v>1203</v>
      </c>
    </row>
    <row r="1117" spans="3:9" hidden="1" outlineLevel="3" x14ac:dyDescent="0.25">
      <c r="D1117" s="175"/>
      <c r="E1117" s="178"/>
      <c r="F1117" s="179"/>
      <c r="G1117" s="154"/>
      <c r="H1117" s="22" t="s">
        <v>1220</v>
      </c>
      <c r="I1117" s="154"/>
    </row>
    <row r="1118" spans="3:9" ht="33" hidden="1" customHeight="1" outlineLevel="3" x14ac:dyDescent="0.25">
      <c r="D1118" s="151" t="s">
        <v>1217</v>
      </c>
      <c r="E1118" s="155" t="s">
        <v>820</v>
      </c>
      <c r="F1118" s="156"/>
      <c r="G1118" s="50">
        <v>0.4</v>
      </c>
      <c r="H1118" s="50">
        <f>1*G1118</f>
        <v>0.4</v>
      </c>
      <c r="I1118" s="50">
        <f>I1111</f>
        <v>0.35663158092942682</v>
      </c>
    </row>
    <row r="1119" spans="3:9" hidden="1" outlineLevel="3" x14ac:dyDescent="0.25">
      <c r="D1119" s="152"/>
      <c r="E1119" s="155" t="s">
        <v>818</v>
      </c>
      <c r="F1119" s="156"/>
      <c r="G1119" s="22"/>
      <c r="H1119" s="42">
        <f>(H1118/G1118-1)*100</f>
        <v>0</v>
      </c>
      <c r="I1119" s="42">
        <f>(I1118/H1118-1)*100</f>
        <v>-10.842104767643301</v>
      </c>
    </row>
    <row r="1120" spans="3:9" s="4" customFormat="1" ht="15.75" outlineLevel="2" collapsed="1" x14ac:dyDescent="0.25">
      <c r="C1120" s="20" t="s">
        <v>1221</v>
      </c>
    </row>
    <row r="1121" spans="4:9" s="17" customFormat="1" hidden="1" outlineLevel="3" x14ac:dyDescent="0.25">
      <c r="D1121" s="18" t="s">
        <v>806</v>
      </c>
    </row>
    <row r="1122" spans="4:9" hidden="1" outlineLevel="3" x14ac:dyDescent="0.25">
      <c r="D1122" s="148" t="s">
        <v>1200</v>
      </c>
      <c r="E1122" s="149"/>
      <c r="F1122" s="32" t="s">
        <v>428</v>
      </c>
      <c r="G1122" s="149"/>
      <c r="H1122" s="149"/>
      <c r="I1122" s="150"/>
    </row>
    <row r="1123" spans="4:9" ht="24" hidden="1" customHeight="1" outlineLevel="3" x14ac:dyDescent="0.25">
      <c r="D1123" s="174"/>
      <c r="E1123" s="176" t="s">
        <v>1222</v>
      </c>
      <c r="F1123" s="177"/>
      <c r="G1123" s="153" t="s">
        <v>1219</v>
      </c>
      <c r="H1123" s="85" t="s">
        <v>1202</v>
      </c>
      <c r="I1123" s="153" t="s">
        <v>1203</v>
      </c>
    </row>
    <row r="1124" spans="4:9" hidden="1" outlineLevel="3" x14ac:dyDescent="0.25">
      <c r="D1124" s="175"/>
      <c r="E1124" s="178"/>
      <c r="F1124" s="179"/>
      <c r="G1124" s="154"/>
      <c r="H1124" s="22" t="s">
        <v>1220</v>
      </c>
      <c r="I1124" s="154"/>
    </row>
    <row r="1125" spans="4:9" ht="21" hidden="1" customHeight="1" outlineLevel="3" x14ac:dyDescent="0.25">
      <c r="D1125" s="151" t="s">
        <v>1223</v>
      </c>
      <c r="E1125" s="155" t="s">
        <v>820</v>
      </c>
      <c r="F1125" s="156"/>
      <c r="G1125" s="50" t="s">
        <v>502</v>
      </c>
      <c r="H1125" s="23" t="s">
        <v>502</v>
      </c>
      <c r="I1125" s="50">
        <f>F434</f>
        <v>0.25330484500757033</v>
      </c>
    </row>
    <row r="1126" spans="4:9" hidden="1" outlineLevel="3" x14ac:dyDescent="0.25">
      <c r="D1126" s="152"/>
      <c r="E1126" s="155" t="s">
        <v>818</v>
      </c>
      <c r="F1126" s="156"/>
      <c r="G1126" s="22"/>
      <c r="H1126" s="42" t="s">
        <v>502</v>
      </c>
      <c r="I1126" s="42" t="s">
        <v>502</v>
      </c>
    </row>
    <row r="1127" spans="4:9" ht="21" hidden="1" customHeight="1" outlineLevel="3" x14ac:dyDescent="0.25">
      <c r="D1127" s="151" t="s">
        <v>1224</v>
      </c>
      <c r="E1127" s="155" t="s">
        <v>820</v>
      </c>
      <c r="F1127" s="156"/>
      <c r="G1127" s="23" t="s">
        <v>502</v>
      </c>
      <c r="H1127" s="23" t="s">
        <v>502</v>
      </c>
      <c r="I1127" s="23" t="s">
        <v>502</v>
      </c>
    </row>
    <row r="1128" spans="4:9" hidden="1" outlineLevel="3" x14ac:dyDescent="0.25">
      <c r="D1128" s="152"/>
      <c r="E1128" s="155" t="s">
        <v>818</v>
      </c>
      <c r="F1128" s="156"/>
      <c r="G1128" s="22"/>
      <c r="H1128" s="23" t="s">
        <v>502</v>
      </c>
      <c r="I1128" s="23" t="s">
        <v>502</v>
      </c>
    </row>
    <row r="1129" spans="4:9" hidden="1" outlineLevel="3" x14ac:dyDescent="0.25">
      <c r="D1129" s="52"/>
      <c r="E1129" s="52"/>
      <c r="F1129" s="52"/>
      <c r="G1129" s="52"/>
      <c r="H1129" s="52"/>
      <c r="I1129" s="52"/>
    </row>
    <row r="1130" spans="4:9" s="17" customFormat="1" hidden="1" outlineLevel="3" x14ac:dyDescent="0.25">
      <c r="D1130" s="18" t="s">
        <v>1225</v>
      </c>
    </row>
    <row r="1131" spans="4:9" hidden="1" outlineLevel="3" x14ac:dyDescent="0.25">
      <c r="D1131" s="148" t="s">
        <v>1200</v>
      </c>
      <c r="E1131" s="149"/>
      <c r="F1131" s="32" t="s">
        <v>428</v>
      </c>
      <c r="G1131" s="149"/>
      <c r="H1131" s="149"/>
      <c r="I1131" s="150"/>
    </row>
    <row r="1132" spans="4:9" ht="24" hidden="1" customHeight="1" outlineLevel="3" x14ac:dyDescent="0.25">
      <c r="D1132" s="174"/>
      <c r="E1132" s="176" t="s">
        <v>1222</v>
      </c>
      <c r="F1132" s="177"/>
      <c r="G1132" s="153" t="s">
        <v>1219</v>
      </c>
      <c r="H1132" s="85" t="s">
        <v>1202</v>
      </c>
      <c r="I1132" s="153" t="s">
        <v>1203</v>
      </c>
    </row>
    <row r="1133" spans="4:9" hidden="1" outlineLevel="3" x14ac:dyDescent="0.25">
      <c r="D1133" s="175"/>
      <c r="E1133" s="178"/>
      <c r="F1133" s="179"/>
      <c r="G1133" s="154"/>
      <c r="H1133" s="22" t="s">
        <v>1220</v>
      </c>
      <c r="I1133" s="154"/>
    </row>
    <row r="1134" spans="4:9" ht="21" hidden="1" customHeight="1" outlineLevel="3" x14ac:dyDescent="0.25">
      <c r="D1134" s="151" t="s">
        <v>1223</v>
      </c>
      <c r="E1134" s="155" t="s">
        <v>820</v>
      </c>
      <c r="F1134" s="156"/>
      <c r="G1134" s="50" t="s">
        <v>502</v>
      </c>
      <c r="H1134" s="50" t="s">
        <v>502</v>
      </c>
      <c r="I1134" s="50">
        <f>F435</f>
        <v>1.1071085164835166</v>
      </c>
    </row>
    <row r="1135" spans="4:9" hidden="1" outlineLevel="3" x14ac:dyDescent="0.25">
      <c r="D1135" s="152"/>
      <c r="E1135" s="155" t="s">
        <v>818</v>
      </c>
      <c r="F1135" s="156"/>
      <c r="G1135" s="22"/>
      <c r="H1135" s="42" t="s">
        <v>502</v>
      </c>
      <c r="I1135" s="42" t="s">
        <v>502</v>
      </c>
    </row>
    <row r="1136" spans="4:9" ht="21" hidden="1" customHeight="1" outlineLevel="3" x14ac:dyDescent="0.25">
      <c r="D1136" s="151" t="s">
        <v>1224</v>
      </c>
      <c r="E1136" s="155" t="s">
        <v>820</v>
      </c>
      <c r="F1136" s="156"/>
      <c r="G1136" s="23" t="s">
        <v>502</v>
      </c>
      <c r="H1136" s="23" t="s">
        <v>502</v>
      </c>
      <c r="I1136" s="23" t="s">
        <v>502</v>
      </c>
    </row>
    <row r="1137" spans="2:11" hidden="1" outlineLevel="3" x14ac:dyDescent="0.25">
      <c r="D1137" s="152"/>
      <c r="E1137" s="155" t="s">
        <v>818</v>
      </c>
      <c r="F1137" s="156"/>
      <c r="G1137" s="22"/>
      <c r="H1137" s="23" t="s">
        <v>502</v>
      </c>
      <c r="I1137" s="23" t="s">
        <v>502</v>
      </c>
    </row>
    <row r="1138" spans="2:11" hidden="1" outlineLevel="3" x14ac:dyDescent="0.25">
      <c r="D1138" s="52"/>
      <c r="E1138" s="52"/>
      <c r="F1138" s="52"/>
      <c r="G1138" s="52"/>
      <c r="H1138" s="52"/>
      <c r="I1138" s="52"/>
    </row>
    <row r="1139" spans="2:11" s="17" customFormat="1" hidden="1" outlineLevel="3" x14ac:dyDescent="0.25">
      <c r="D1139" s="18" t="s">
        <v>1226</v>
      </c>
    </row>
    <row r="1140" spans="2:11" s="17" customFormat="1" hidden="1" outlineLevel="3" x14ac:dyDescent="0.25">
      <c r="D1140" s="18" t="s">
        <v>1227</v>
      </c>
    </row>
    <row r="1141" spans="2:11" s="4" customFormat="1" ht="16.5" outlineLevel="1" collapsed="1" x14ac:dyDescent="0.25">
      <c r="B1141" s="5" t="s">
        <v>1228</v>
      </c>
    </row>
    <row r="1142" spans="2:11" s="17" customFormat="1" hidden="1" outlineLevel="2" x14ac:dyDescent="0.25">
      <c r="D1142" s="18" t="s">
        <v>1229</v>
      </c>
    </row>
    <row r="1143" spans="2:11" hidden="1" outlineLevel="2" x14ac:dyDescent="0.25">
      <c r="D1143" s="159" t="s">
        <v>508</v>
      </c>
      <c r="E1143" s="160"/>
      <c r="F1143" s="165" t="s">
        <v>1230</v>
      </c>
      <c r="G1143" s="166"/>
      <c r="H1143" s="167"/>
      <c r="I1143" s="165" t="s">
        <v>1090</v>
      </c>
      <c r="J1143" s="166"/>
      <c r="K1143" s="167"/>
    </row>
    <row r="1144" spans="2:11" hidden="1" outlineLevel="2" x14ac:dyDescent="0.25">
      <c r="D1144" s="161"/>
      <c r="E1144" s="162"/>
      <c r="F1144" s="41" t="s">
        <v>1231</v>
      </c>
      <c r="G1144" s="41" t="s">
        <v>1232</v>
      </c>
      <c r="H1144" s="41" t="s">
        <v>1233</v>
      </c>
      <c r="I1144" s="41" t="s">
        <v>1231</v>
      </c>
      <c r="J1144" s="22" t="s">
        <v>1232</v>
      </c>
      <c r="K1144" s="22" t="s">
        <v>1233</v>
      </c>
    </row>
    <row r="1145" spans="2:11" hidden="1" outlineLevel="2" x14ac:dyDescent="0.25">
      <c r="D1145" s="163"/>
      <c r="E1145" s="164"/>
      <c r="F1145" s="165" t="s">
        <v>709</v>
      </c>
      <c r="G1145" s="167"/>
      <c r="H1145" s="41" t="s">
        <v>818</v>
      </c>
      <c r="I1145" s="41"/>
      <c r="J1145" s="22" t="s">
        <v>709</v>
      </c>
      <c r="K1145" s="22" t="s">
        <v>818</v>
      </c>
    </row>
    <row r="1146" spans="2:11" hidden="1" outlineLevel="2" x14ac:dyDescent="0.25">
      <c r="D1146" s="24" t="str">
        <f>D228</f>
        <v>Z1</v>
      </c>
      <c r="E1146" s="24" t="str">
        <f>E228</f>
        <v>Wohnen</v>
      </c>
      <c r="F1146" s="42">
        <f>F228</f>
        <v>36.908334742180891</v>
      </c>
      <c r="G1146" s="42">
        <f>16609/G74</f>
        <v>56.158918005071854</v>
      </c>
      <c r="H1146" s="42">
        <f>IF(G1146=0,"k. A.",(F1146/G1146-1)*100)</f>
        <v>-34.278764525257401</v>
      </c>
      <c r="I1146" s="42">
        <f>F233</f>
        <v>0.52970414201183436</v>
      </c>
      <c r="J1146" s="42">
        <f>380/G74</f>
        <v>1.2848689771766695</v>
      </c>
      <c r="K1146" s="42">
        <f>IF(J1146=0,"k. A.",(I1146/J1146-1)*100)</f>
        <v>-58.773684210526312</v>
      </c>
    </row>
    <row r="1147" spans="2:11" hidden="1" outlineLevel="2" x14ac:dyDescent="0.25">
      <c r="D1147" s="157" t="s">
        <v>674</v>
      </c>
      <c r="E1147" s="158"/>
      <c r="F1147" s="42">
        <f>F229</f>
        <v>36.908334742180891</v>
      </c>
      <c r="G1147" s="42">
        <f>G1146</f>
        <v>56.158918005071854</v>
      </c>
      <c r="H1147" s="42">
        <f t="shared" ref="H1147" si="60">IF(G1147=0,"k. A.",(F1147/G1147-1)*100)</f>
        <v>-34.278764525257401</v>
      </c>
      <c r="I1147" s="42">
        <f>F234</f>
        <v>0.52970414201183436</v>
      </c>
      <c r="J1147" s="42">
        <f>J1146</f>
        <v>1.2848689771766695</v>
      </c>
      <c r="K1147" s="42">
        <f t="shared" ref="K1147" si="61">IF(J1147=0,"k. A.",(I1147/J1147-1)*100)</f>
        <v>-58.773684210526312</v>
      </c>
    </row>
    <row r="1148" spans="2:11" s="17" customFormat="1" hidden="1" outlineLevel="2" x14ac:dyDescent="0.25">
      <c r="D1148" s="18" t="s">
        <v>1234</v>
      </c>
    </row>
    <row r="1149" spans="2:11" s="17" customFormat="1" hidden="1" outlineLevel="2" x14ac:dyDescent="0.25">
      <c r="D1149" s="18" t="s">
        <v>1235</v>
      </c>
    </row>
    <row r="1150" spans="2:11" hidden="1" outlineLevel="2" x14ac:dyDescent="0.25">
      <c r="D1150" s="159" t="s">
        <v>508</v>
      </c>
      <c r="E1150" s="160"/>
      <c r="F1150" s="165" t="s">
        <v>1230</v>
      </c>
      <c r="G1150" s="166"/>
      <c r="H1150" s="167"/>
      <c r="I1150" s="165" t="s">
        <v>1090</v>
      </c>
      <c r="J1150" s="166"/>
      <c r="K1150" s="167"/>
    </row>
    <row r="1151" spans="2:11" hidden="1" outlineLevel="2" x14ac:dyDescent="0.25">
      <c r="D1151" s="161"/>
      <c r="E1151" s="162"/>
      <c r="F1151" s="41" t="s">
        <v>1231</v>
      </c>
      <c r="G1151" s="41" t="s">
        <v>1232</v>
      </c>
      <c r="H1151" s="41" t="s">
        <v>1233</v>
      </c>
      <c r="I1151" s="41" t="s">
        <v>1231</v>
      </c>
      <c r="J1151" s="22" t="s">
        <v>1232</v>
      </c>
      <c r="K1151" s="22" t="s">
        <v>1233</v>
      </c>
    </row>
    <row r="1152" spans="2:11" hidden="1" outlineLevel="2" x14ac:dyDescent="0.25">
      <c r="D1152" s="163"/>
      <c r="E1152" s="164"/>
      <c r="F1152" s="165" t="s">
        <v>709</v>
      </c>
      <c r="G1152" s="167"/>
      <c r="H1152" s="41" t="s">
        <v>818</v>
      </c>
      <c r="I1152" s="41"/>
      <c r="J1152" s="22" t="s">
        <v>709</v>
      </c>
      <c r="K1152" s="22" t="s">
        <v>818</v>
      </c>
    </row>
    <row r="1153" spans="4:11" hidden="1" outlineLevel="2" x14ac:dyDescent="0.25">
      <c r="D1153" s="24" t="str">
        <f>D1146</f>
        <v>Z1</v>
      </c>
      <c r="E1153" s="80" t="str">
        <f>E1146</f>
        <v>Wohnen</v>
      </c>
      <c r="F1153" s="42">
        <f>I228</f>
        <v>14.037700760777682</v>
      </c>
      <c r="G1153" s="42">
        <f>3349/G74</f>
        <v>11.323753169907016</v>
      </c>
      <c r="H1153" s="42">
        <f>IF(G1153=0,"k. A.",(F1153/G1153-1)*100)</f>
        <v>23.96685577784412</v>
      </c>
      <c r="I1153" s="42">
        <f>I233</f>
        <v>0.97930684699915471</v>
      </c>
      <c r="J1153" s="42">
        <f>299/G74</f>
        <v>1.0109890109890109</v>
      </c>
      <c r="K1153" s="42">
        <f>IF(J1153=0,"k. A.",(I1153/J1153-1)*100)</f>
        <v>-3.1337792642140427</v>
      </c>
    </row>
    <row r="1154" spans="4:11" hidden="1" outlineLevel="2" x14ac:dyDescent="0.25">
      <c r="D1154" s="157" t="s">
        <v>674</v>
      </c>
      <c r="E1154" s="158"/>
      <c r="F1154" s="42">
        <f>I229</f>
        <v>14.037700760777682</v>
      </c>
      <c r="G1154" s="42">
        <f>G1153</f>
        <v>11.323753169907016</v>
      </c>
      <c r="H1154" s="42">
        <f t="shared" ref="H1154" si="62">IF(G1154=0,"k. A.",(F1154/G1154-1)*100)</f>
        <v>23.96685577784412</v>
      </c>
      <c r="I1154" s="42">
        <f>I234</f>
        <v>0.97930684699915471</v>
      </c>
      <c r="J1154" s="42">
        <f>J1153</f>
        <v>1.0109890109890109</v>
      </c>
      <c r="K1154" s="42">
        <f t="shared" ref="K1154" si="63">IF(J1154=0,"k. A.",(I1154/J1154-1)*100)</f>
        <v>-3.1337792642140427</v>
      </c>
    </row>
    <row r="1155" spans="4:11" s="17" customFormat="1" hidden="1" outlineLevel="2" x14ac:dyDescent="0.25">
      <c r="D1155" s="18" t="s">
        <v>1236</v>
      </c>
    </row>
    <row r="1156" spans="4:11" s="17" customFormat="1" hidden="1" outlineLevel="2" x14ac:dyDescent="0.25">
      <c r="D1156" s="18" t="s">
        <v>1237</v>
      </c>
    </row>
    <row r="1157" spans="4:11" hidden="1" outlineLevel="2" x14ac:dyDescent="0.25">
      <c r="D1157" s="159" t="s">
        <v>508</v>
      </c>
      <c r="E1157" s="160"/>
      <c r="F1157" s="165" t="s">
        <v>1090</v>
      </c>
      <c r="G1157" s="166"/>
      <c r="H1157" s="167"/>
    </row>
    <row r="1158" spans="4:11" hidden="1" outlineLevel="2" x14ac:dyDescent="0.25">
      <c r="D1158" s="161"/>
      <c r="E1158" s="162"/>
      <c r="F1158" s="41" t="s">
        <v>1231</v>
      </c>
      <c r="G1158" s="22" t="s">
        <v>1232</v>
      </c>
      <c r="H1158" s="22" t="s">
        <v>1233</v>
      </c>
    </row>
    <row r="1159" spans="4:11" hidden="1" outlineLevel="2" x14ac:dyDescent="0.25">
      <c r="D1159" s="163"/>
      <c r="E1159" s="164"/>
      <c r="F1159" s="41"/>
      <c r="G1159" s="22" t="s">
        <v>709</v>
      </c>
      <c r="H1159" s="22" t="s">
        <v>818</v>
      </c>
    </row>
    <row r="1160" spans="4:11" hidden="1" outlineLevel="2" x14ac:dyDescent="0.25">
      <c r="D1160" s="24" t="str">
        <f>D1153</f>
        <v>Z1</v>
      </c>
      <c r="E1160" s="80" t="str">
        <f>E1153</f>
        <v>Wohnen</v>
      </c>
      <c r="F1160" s="42">
        <f>H233</f>
        <v>3.4855114116652577</v>
      </c>
      <c r="G1160" s="42">
        <f>180/G74</f>
        <v>0.60862214708368556</v>
      </c>
      <c r="H1160" s="42">
        <f>IF(G1160=0,"k. A.",(F1160/G1160-1)*100)</f>
        <v>472.68888888888887</v>
      </c>
    </row>
    <row r="1161" spans="4:11" hidden="1" outlineLevel="2" x14ac:dyDescent="0.25">
      <c r="D1161" s="157" t="s">
        <v>674</v>
      </c>
      <c r="E1161" s="158"/>
      <c r="F1161" s="42">
        <f>H234</f>
        <v>3.4855114116652577</v>
      </c>
      <c r="G1161" s="42">
        <f>G1160</f>
        <v>0.60862214708368556</v>
      </c>
      <c r="H1161" s="42">
        <f t="shared" ref="H1161" si="64">IF(G1161=0,"k. A.",(F1161/G1161-1)*100)</f>
        <v>472.68888888888887</v>
      </c>
    </row>
    <row r="1162" spans="4:11" s="17" customFormat="1" hidden="1" outlineLevel="2" x14ac:dyDescent="0.25">
      <c r="D1162" s="18" t="s">
        <v>1238</v>
      </c>
    </row>
    <row r="1163" spans="4:11" x14ac:dyDescent="0.25">
      <c r="D1163" s="86"/>
    </row>
  </sheetData>
  <mergeCells count="978">
    <mergeCell ref="D1012:E1012"/>
    <mergeCell ref="D1015:E1016"/>
    <mergeCell ref="F1015:G1016"/>
    <mergeCell ref="D1019:E1021"/>
    <mergeCell ref="F1019:F1020"/>
    <mergeCell ref="G1019:G1020"/>
    <mergeCell ref="I1019:I1020"/>
    <mergeCell ref="F977:G978"/>
    <mergeCell ref="H977:I978"/>
    <mergeCell ref="D981:E982"/>
    <mergeCell ref="D986:E986"/>
    <mergeCell ref="D989:E990"/>
    <mergeCell ref="F989:G990"/>
    <mergeCell ref="D993:E994"/>
    <mergeCell ref="J1001:J1002"/>
    <mergeCell ref="D1006:E1007"/>
    <mergeCell ref="F1006:G1006"/>
    <mergeCell ref="E913:J913"/>
    <mergeCell ref="K913:K916"/>
    <mergeCell ref="L913:M916"/>
    <mergeCell ref="E914:G915"/>
    <mergeCell ref="H914:J914"/>
    <mergeCell ref="H915:J915"/>
    <mergeCell ref="E916:F916"/>
    <mergeCell ref="H916:I916"/>
    <mergeCell ref="E917:E918"/>
    <mergeCell ref="F917:G918"/>
    <mergeCell ref="H917:H918"/>
    <mergeCell ref="I917:J918"/>
    <mergeCell ref="K917:K918"/>
    <mergeCell ref="M917:M918"/>
    <mergeCell ref="F919:G919"/>
    <mergeCell ref="I919:J919"/>
    <mergeCell ref="F920:G920"/>
    <mergeCell ref="I920:J920"/>
    <mergeCell ref="F921:G921"/>
    <mergeCell ref="I921:J921"/>
    <mergeCell ref="K921:M921"/>
    <mergeCell ref="E927:E928"/>
    <mergeCell ref="F927:G928"/>
    <mergeCell ref="H927:H928"/>
    <mergeCell ref="I927:J928"/>
    <mergeCell ref="K927:K928"/>
    <mergeCell ref="L927:L928"/>
    <mergeCell ref="M927:M928"/>
    <mergeCell ref="H924:J924"/>
    <mergeCell ref="F139:H139"/>
    <mergeCell ref="J139:L139"/>
    <mergeCell ref="E923:J923"/>
    <mergeCell ref="K923:K926"/>
    <mergeCell ref="L923:M926"/>
    <mergeCell ref="E924:G925"/>
    <mergeCell ref="H925:J925"/>
    <mergeCell ref="E926:F926"/>
    <mergeCell ref="H926:I926"/>
    <mergeCell ref="H151:J151"/>
    <mergeCell ref="F152:H152"/>
    <mergeCell ref="J152:L152"/>
    <mergeCell ref="F142:H142"/>
    <mergeCell ref="J142:L142"/>
    <mergeCell ref="F143:H143"/>
    <mergeCell ref="J143:L143"/>
    <mergeCell ref="E144:E145"/>
    <mergeCell ref="F144:H145"/>
    <mergeCell ref="I144:I145"/>
    <mergeCell ref="J144:L145"/>
    <mergeCell ref="F140:H140"/>
    <mergeCell ref="J140:L140"/>
    <mergeCell ref="F141:H141"/>
    <mergeCell ref="J141:L141"/>
    <mergeCell ref="I112:I113"/>
    <mergeCell ref="J112:L113"/>
    <mergeCell ref="K119:O119"/>
    <mergeCell ref="O125:Q125"/>
    <mergeCell ref="E116:F116"/>
    <mergeCell ref="G116:H116"/>
    <mergeCell ref="P119:Q119"/>
    <mergeCell ref="F11:G11"/>
    <mergeCell ref="D20:D23"/>
    <mergeCell ref="D50:D53"/>
    <mergeCell ref="D55:D58"/>
    <mergeCell ref="D60:D63"/>
    <mergeCell ref="D73:F73"/>
    <mergeCell ref="I110:I111"/>
    <mergeCell ref="J110:L110"/>
    <mergeCell ref="J111:L111"/>
    <mergeCell ref="J106:L106"/>
    <mergeCell ref="K107:K108"/>
    <mergeCell ref="D89:E91"/>
    <mergeCell ref="F89:G89"/>
    <mergeCell ref="D94:E96"/>
    <mergeCell ref="F106:H106"/>
    <mergeCell ref="E107:E108"/>
    <mergeCell ref="G107:G108"/>
    <mergeCell ref="H107:J108"/>
    <mergeCell ref="D128:D129"/>
    <mergeCell ref="H128:J128"/>
    <mergeCell ref="H129:J129"/>
    <mergeCell ref="E130:E131"/>
    <mergeCell ref="F130:F131"/>
    <mergeCell ref="G130:G131"/>
    <mergeCell ref="H130:J131"/>
    <mergeCell ref="F125:N125"/>
    <mergeCell ref="I73:J73"/>
    <mergeCell ref="D74:D76"/>
    <mergeCell ref="E74:E76"/>
    <mergeCell ref="D77:D78"/>
    <mergeCell ref="E77:F77"/>
    <mergeCell ref="E78:F78"/>
    <mergeCell ref="I116:K116"/>
    <mergeCell ref="L116:P116"/>
    <mergeCell ref="D112:D113"/>
    <mergeCell ref="E112:E113"/>
    <mergeCell ref="F112:H112"/>
    <mergeCell ref="F113:H113"/>
    <mergeCell ref="D110:D111"/>
    <mergeCell ref="E110:E111"/>
    <mergeCell ref="F110:H111"/>
    <mergeCell ref="H114:J114"/>
    <mergeCell ref="R119:S119"/>
    <mergeCell ref="D117:E118"/>
    <mergeCell ref="F117:G118"/>
    <mergeCell ref="H117:L118"/>
    <mergeCell ref="M117:M118"/>
    <mergeCell ref="N117:S117"/>
    <mergeCell ref="N118:S118"/>
    <mergeCell ref="Q116:R116"/>
    <mergeCell ref="D119:E119"/>
    <mergeCell ref="F119:G119"/>
    <mergeCell ref="H119:I119"/>
    <mergeCell ref="R125:S125"/>
    <mergeCell ref="D126:E126"/>
    <mergeCell ref="F126:G126"/>
    <mergeCell ref="H126:L126"/>
    <mergeCell ref="N126:S126"/>
    <mergeCell ref="O122:Q122"/>
    <mergeCell ref="R122:S122"/>
    <mergeCell ref="D123:E125"/>
    <mergeCell ref="F123:G124"/>
    <mergeCell ref="H123:I124"/>
    <mergeCell ref="J123:J124"/>
    <mergeCell ref="K123:O124"/>
    <mergeCell ref="P123:Q124"/>
    <mergeCell ref="R123:S123"/>
    <mergeCell ref="D136:D138"/>
    <mergeCell ref="H136:J136"/>
    <mergeCell ref="H137:J137"/>
    <mergeCell ref="H138:J138"/>
    <mergeCell ref="R124:S124"/>
    <mergeCell ref="D120:E122"/>
    <mergeCell ref="F120:G120"/>
    <mergeCell ref="H120:I120"/>
    <mergeCell ref="K120:O120"/>
    <mergeCell ref="P120:Q120"/>
    <mergeCell ref="R120:S120"/>
    <mergeCell ref="F121:N121"/>
    <mergeCell ref="O121:Q121"/>
    <mergeCell ref="R121:S121"/>
    <mergeCell ref="F122:N122"/>
    <mergeCell ref="K130:K131"/>
    <mergeCell ref="D132:D133"/>
    <mergeCell ref="E132:E133"/>
    <mergeCell ref="F132:H132"/>
    <mergeCell ref="I132:I133"/>
    <mergeCell ref="J132:L133"/>
    <mergeCell ref="F133:H133"/>
    <mergeCell ref="F134:H134"/>
    <mergeCell ref="J134:L134"/>
    <mergeCell ref="F153:H153"/>
    <mergeCell ref="J153:L153"/>
    <mergeCell ref="F154:H154"/>
    <mergeCell ref="J154:L154"/>
    <mergeCell ref="F146:H146"/>
    <mergeCell ref="J146:L146"/>
    <mergeCell ref="D148:D150"/>
    <mergeCell ref="H148:J148"/>
    <mergeCell ref="H149:J149"/>
    <mergeCell ref="H150:J150"/>
    <mergeCell ref="F163:H163"/>
    <mergeCell ref="J163:L163"/>
    <mergeCell ref="F164:H164"/>
    <mergeCell ref="J164:L164"/>
    <mergeCell ref="F165:H165"/>
    <mergeCell ref="J165:L165"/>
    <mergeCell ref="F158:H158"/>
    <mergeCell ref="J158:L158"/>
    <mergeCell ref="H160:J160"/>
    <mergeCell ref="D161:D162"/>
    <mergeCell ref="H161:J161"/>
    <mergeCell ref="F162:H162"/>
    <mergeCell ref="J162:L162"/>
    <mergeCell ref="E155:E156"/>
    <mergeCell ref="F155:H156"/>
    <mergeCell ref="I155:I156"/>
    <mergeCell ref="J155:L156"/>
    <mergeCell ref="F157:H157"/>
    <mergeCell ref="J157:L157"/>
    <mergeCell ref="D172:D173"/>
    <mergeCell ref="H172:J172"/>
    <mergeCell ref="H173:J173"/>
    <mergeCell ref="D174:D175"/>
    <mergeCell ref="E174:E175"/>
    <mergeCell ref="G174:G175"/>
    <mergeCell ref="H174:J174"/>
    <mergeCell ref="D169:D170"/>
    <mergeCell ref="E169:E170"/>
    <mergeCell ref="G169:G170"/>
    <mergeCell ref="H169:J169"/>
    <mergeCell ref="E167:E168"/>
    <mergeCell ref="F167:H168"/>
    <mergeCell ref="I167:I168"/>
    <mergeCell ref="J167:L168"/>
    <mergeCell ref="E182:E183"/>
    <mergeCell ref="F182:F183"/>
    <mergeCell ref="G182:G183"/>
    <mergeCell ref="H182:J182"/>
    <mergeCell ref="K182:K183"/>
    <mergeCell ref="L182:L183"/>
    <mergeCell ref="H183:J183"/>
    <mergeCell ref="F178:H178"/>
    <mergeCell ref="J178:L178"/>
    <mergeCell ref="E179:E180"/>
    <mergeCell ref="F179:H180"/>
    <mergeCell ref="I179:I180"/>
    <mergeCell ref="J179:L180"/>
    <mergeCell ref="K174:K175"/>
    <mergeCell ref="H175:J175"/>
    <mergeCell ref="F176:H176"/>
    <mergeCell ref="H185:J185"/>
    <mergeCell ref="K185:K186"/>
    <mergeCell ref="L185:L186"/>
    <mergeCell ref="H186:J186"/>
    <mergeCell ref="H196:H197"/>
    <mergeCell ref="K169:K170"/>
    <mergeCell ref="H170:J170"/>
    <mergeCell ref="F166:H166"/>
    <mergeCell ref="J166:L166"/>
    <mergeCell ref="K201:K203"/>
    <mergeCell ref="L201:L203"/>
    <mergeCell ref="D202:E203"/>
    <mergeCell ref="F202:F203"/>
    <mergeCell ref="H202:H203"/>
    <mergeCell ref="D205:E205"/>
    <mergeCell ref="J176:L176"/>
    <mergeCell ref="F177:H177"/>
    <mergeCell ref="J177:L177"/>
    <mergeCell ref="E187:H187"/>
    <mergeCell ref="J187:L187"/>
    <mergeCell ref="D195:E195"/>
    <mergeCell ref="F195:G195"/>
    <mergeCell ref="H195:I195"/>
    <mergeCell ref="J195:J197"/>
    <mergeCell ref="K195:K197"/>
    <mergeCell ref="L195:L197"/>
    <mergeCell ref="D196:E197"/>
    <mergeCell ref="F196:F197"/>
    <mergeCell ref="E184:H184"/>
    <mergeCell ref="J184:L184"/>
    <mergeCell ref="E185:E186"/>
    <mergeCell ref="F185:F186"/>
    <mergeCell ref="G185:G186"/>
    <mergeCell ref="D199:E199"/>
    <mergeCell ref="D201:E201"/>
    <mergeCell ref="F201:G201"/>
    <mergeCell ref="H201:I201"/>
    <mergeCell ref="J201:J203"/>
    <mergeCell ref="D232:E232"/>
    <mergeCell ref="D234:E234"/>
    <mergeCell ref="D236:E236"/>
    <mergeCell ref="F236:F237"/>
    <mergeCell ref="G236:G237"/>
    <mergeCell ref="H236:H237"/>
    <mergeCell ref="I236:I237"/>
    <mergeCell ref="J236:J237"/>
    <mergeCell ref="G212:H212"/>
    <mergeCell ref="D213:J213"/>
    <mergeCell ref="E217:J218"/>
    <mergeCell ref="D219:J219"/>
    <mergeCell ref="G222:H222"/>
    <mergeCell ref="D223:J223"/>
    <mergeCell ref="K226:K227"/>
    <mergeCell ref="D227:E227"/>
    <mergeCell ref="D229:E229"/>
    <mergeCell ref="D231:E231"/>
    <mergeCell ref="F231:F232"/>
    <mergeCell ref="G231:G232"/>
    <mergeCell ref="H231:H232"/>
    <mergeCell ref="I231:I232"/>
    <mergeCell ref="J231:J232"/>
    <mergeCell ref="K231:K232"/>
    <mergeCell ref="D226:E226"/>
    <mergeCell ref="F226:F227"/>
    <mergeCell ref="G226:G227"/>
    <mergeCell ref="H226:H227"/>
    <mergeCell ref="I226:I227"/>
    <mergeCell ref="J226:J227"/>
    <mergeCell ref="L241:L242"/>
    <mergeCell ref="D242:E242"/>
    <mergeCell ref="D244:E244"/>
    <mergeCell ref="D247:E247"/>
    <mergeCell ref="F247:F248"/>
    <mergeCell ref="G247:G248"/>
    <mergeCell ref="H247:H248"/>
    <mergeCell ref="I247:I248"/>
    <mergeCell ref="J247:J248"/>
    <mergeCell ref="D241:E241"/>
    <mergeCell ref="F241:F242"/>
    <mergeCell ref="G241:G242"/>
    <mergeCell ref="H241:H242"/>
    <mergeCell ref="I241:I242"/>
    <mergeCell ref="J241:J242"/>
    <mergeCell ref="K236:K237"/>
    <mergeCell ref="L236:L237"/>
    <mergeCell ref="D237:E237"/>
    <mergeCell ref="D239:E239"/>
    <mergeCell ref="D253:E253"/>
    <mergeCell ref="D255:E255"/>
    <mergeCell ref="D257:E257"/>
    <mergeCell ref="F257:F258"/>
    <mergeCell ref="G257:G258"/>
    <mergeCell ref="H257:H258"/>
    <mergeCell ref="K247:K248"/>
    <mergeCell ref="D248:E248"/>
    <mergeCell ref="D250:E250"/>
    <mergeCell ref="D252:E252"/>
    <mergeCell ref="F252:F253"/>
    <mergeCell ref="G252:G253"/>
    <mergeCell ref="H252:H253"/>
    <mergeCell ref="I252:I253"/>
    <mergeCell ref="J252:J253"/>
    <mergeCell ref="K252:K253"/>
    <mergeCell ref="K241:K242"/>
    <mergeCell ref="I257:I258"/>
    <mergeCell ref="J257:J258"/>
    <mergeCell ref="K257:K258"/>
    <mergeCell ref="K262:K263"/>
    <mergeCell ref="L262:L263"/>
    <mergeCell ref="D263:E263"/>
    <mergeCell ref="D265:E265"/>
    <mergeCell ref="D271:D272"/>
    <mergeCell ref="E271:E272"/>
    <mergeCell ref="G271:G272"/>
    <mergeCell ref="H271:H272"/>
    <mergeCell ref="D262:E262"/>
    <mergeCell ref="F262:F263"/>
    <mergeCell ref="G262:G263"/>
    <mergeCell ref="H262:H263"/>
    <mergeCell ref="I262:I263"/>
    <mergeCell ref="J262:J263"/>
    <mergeCell ref="L257:L258"/>
    <mergeCell ref="D258:E258"/>
    <mergeCell ref="D260:E260"/>
    <mergeCell ref="D293:G293"/>
    <mergeCell ref="D296:E296"/>
    <mergeCell ref="F296:F297"/>
    <mergeCell ref="G296:G297"/>
    <mergeCell ref="H296:H297"/>
    <mergeCell ref="I296:I297"/>
    <mergeCell ref="D283:G283"/>
    <mergeCell ref="D285:D286"/>
    <mergeCell ref="E285:E286"/>
    <mergeCell ref="G285:G286"/>
    <mergeCell ref="H285:H286"/>
    <mergeCell ref="D289:G289"/>
    <mergeCell ref="D275:G275"/>
    <mergeCell ref="D277:D278"/>
    <mergeCell ref="E277:E278"/>
    <mergeCell ref="G277:G278"/>
    <mergeCell ref="H277:H278"/>
    <mergeCell ref="F280:F282"/>
    <mergeCell ref="J296:J297"/>
    <mergeCell ref="K296:K297"/>
    <mergeCell ref="D297:E297"/>
    <mergeCell ref="K301:K302"/>
    <mergeCell ref="D302:E302"/>
    <mergeCell ref="D304:E304"/>
    <mergeCell ref="D306:E306"/>
    <mergeCell ref="F306:F307"/>
    <mergeCell ref="G306:G307"/>
    <mergeCell ref="H306:H307"/>
    <mergeCell ref="I306:I307"/>
    <mergeCell ref="J306:J307"/>
    <mergeCell ref="K306:K307"/>
    <mergeCell ref="D299:E299"/>
    <mergeCell ref="D301:E301"/>
    <mergeCell ref="F301:F302"/>
    <mergeCell ref="G301:G302"/>
    <mergeCell ref="H301:H302"/>
    <mergeCell ref="I301:I302"/>
    <mergeCell ref="J301:J302"/>
    <mergeCell ref="D322:G322"/>
    <mergeCell ref="D324:D325"/>
    <mergeCell ref="E324:E325"/>
    <mergeCell ref="G324:G325"/>
    <mergeCell ref="H324:H325"/>
    <mergeCell ref="F327:F329"/>
    <mergeCell ref="L311:L312"/>
    <mergeCell ref="D312:E312"/>
    <mergeCell ref="D314:E314"/>
    <mergeCell ref="D318:D319"/>
    <mergeCell ref="E318:E319"/>
    <mergeCell ref="G318:G319"/>
    <mergeCell ref="H318:H319"/>
    <mergeCell ref="L306:L307"/>
    <mergeCell ref="D307:E307"/>
    <mergeCell ref="D309:E309"/>
    <mergeCell ref="D311:E311"/>
    <mergeCell ref="F311:F312"/>
    <mergeCell ref="G311:G312"/>
    <mergeCell ref="H311:H312"/>
    <mergeCell ref="I311:I312"/>
    <mergeCell ref="J311:J312"/>
    <mergeCell ref="K311:K312"/>
    <mergeCell ref="J343:J344"/>
    <mergeCell ref="K343:K344"/>
    <mergeCell ref="D344:E344"/>
    <mergeCell ref="D346:E346"/>
    <mergeCell ref="D348:E348"/>
    <mergeCell ref="F348:F349"/>
    <mergeCell ref="G348:G349"/>
    <mergeCell ref="H348:H349"/>
    <mergeCell ref="I348:I349"/>
    <mergeCell ref="J348:J349"/>
    <mergeCell ref="K348:K349"/>
    <mergeCell ref="D349:E349"/>
    <mergeCell ref="D340:G340"/>
    <mergeCell ref="D343:E343"/>
    <mergeCell ref="F343:F344"/>
    <mergeCell ref="G343:G344"/>
    <mergeCell ref="H343:H344"/>
    <mergeCell ref="I343:I344"/>
    <mergeCell ref="D330:G330"/>
    <mergeCell ref="D332:D333"/>
    <mergeCell ref="E332:E333"/>
    <mergeCell ref="G332:G333"/>
    <mergeCell ref="H332:H333"/>
    <mergeCell ref="D336:G336"/>
    <mergeCell ref="D351:E351"/>
    <mergeCell ref="D353:E353"/>
    <mergeCell ref="F353:F354"/>
    <mergeCell ref="G353:G354"/>
    <mergeCell ref="H353:H354"/>
    <mergeCell ref="I353:I354"/>
    <mergeCell ref="J353:J354"/>
    <mergeCell ref="K353:K354"/>
    <mergeCell ref="L375:L376"/>
    <mergeCell ref="L358:L359"/>
    <mergeCell ref="D359:E359"/>
    <mergeCell ref="D361:E361"/>
    <mergeCell ref="D368:E368"/>
    <mergeCell ref="L353:L354"/>
    <mergeCell ref="D354:E354"/>
    <mergeCell ref="D356:E356"/>
    <mergeCell ref="D358:E358"/>
    <mergeCell ref="F358:F359"/>
    <mergeCell ref="G358:G359"/>
    <mergeCell ref="H358:H359"/>
    <mergeCell ref="I358:I359"/>
    <mergeCell ref="J358:J359"/>
    <mergeCell ref="K358:K359"/>
    <mergeCell ref="E377:F377"/>
    <mergeCell ref="D378:E378"/>
    <mergeCell ref="I369:I370"/>
    <mergeCell ref="J369:J370"/>
    <mergeCell ref="K369:K370"/>
    <mergeCell ref="D370:E370"/>
    <mergeCell ref="D375:F376"/>
    <mergeCell ref="H375:H376"/>
    <mergeCell ref="I375:I376"/>
    <mergeCell ref="J375:J376"/>
    <mergeCell ref="F368:F369"/>
    <mergeCell ref="G368:G370"/>
    <mergeCell ref="H368:I368"/>
    <mergeCell ref="J368:K368"/>
    <mergeCell ref="D369:E369"/>
    <mergeCell ref="H369:H370"/>
    <mergeCell ref="I387:I388"/>
    <mergeCell ref="K387:K388"/>
    <mergeCell ref="D389:D390"/>
    <mergeCell ref="E389:E390"/>
    <mergeCell ref="F389:F390"/>
    <mergeCell ref="G389:G390"/>
    <mergeCell ref="H389:H390"/>
    <mergeCell ref="I389:I390"/>
    <mergeCell ref="J389:J390"/>
    <mergeCell ref="K389:K390"/>
    <mergeCell ref="E383:F383"/>
    <mergeCell ref="D384:E384"/>
    <mergeCell ref="D385:F385"/>
    <mergeCell ref="D387:E388"/>
    <mergeCell ref="G387:G388"/>
    <mergeCell ref="H387:H388"/>
    <mergeCell ref="D379:F379"/>
    <mergeCell ref="D409:E409"/>
    <mergeCell ref="D411:F411"/>
    <mergeCell ref="D413:E413"/>
    <mergeCell ref="H413:I413"/>
    <mergeCell ref="J413:L413"/>
    <mergeCell ref="D414:E414"/>
    <mergeCell ref="D399:E399"/>
    <mergeCell ref="D401:F401"/>
    <mergeCell ref="D403:E403"/>
    <mergeCell ref="D404:E404"/>
    <mergeCell ref="D406:F406"/>
    <mergeCell ref="D408:E408"/>
    <mergeCell ref="J391:J392"/>
    <mergeCell ref="K391:K392"/>
    <mergeCell ref="D394:E394"/>
    <mergeCell ref="D397:E397"/>
    <mergeCell ref="F397:F398"/>
    <mergeCell ref="G397:G398"/>
    <mergeCell ref="D398:E398"/>
    <mergeCell ref="D391:D392"/>
    <mergeCell ref="E391:E392"/>
    <mergeCell ref="F391:F392"/>
    <mergeCell ref="G391:G392"/>
    <mergeCell ref="H391:H392"/>
    <mergeCell ref="I391:I392"/>
    <mergeCell ref="H443:H444"/>
    <mergeCell ref="D453:D454"/>
    <mergeCell ref="E453:E454"/>
    <mergeCell ref="F453:F454"/>
    <mergeCell ref="G453:G454"/>
    <mergeCell ref="D432:E433"/>
    <mergeCell ref="F432:G432"/>
    <mergeCell ref="D434:E434"/>
    <mergeCell ref="D435:D437"/>
    <mergeCell ref="E439:E440"/>
    <mergeCell ref="F439:F440"/>
    <mergeCell ref="D483:E483"/>
    <mergeCell ref="D492:D493"/>
    <mergeCell ref="E492:E493"/>
    <mergeCell ref="F492:F493"/>
    <mergeCell ref="G492:G493"/>
    <mergeCell ref="D459:E459"/>
    <mergeCell ref="D461:D462"/>
    <mergeCell ref="E461:E462"/>
    <mergeCell ref="F461:F462"/>
    <mergeCell ref="G461:G462"/>
    <mergeCell ref="D469:E469"/>
    <mergeCell ref="D472:D473"/>
    <mergeCell ref="E472:E473"/>
    <mergeCell ref="F472:F473"/>
    <mergeCell ref="G472:G473"/>
    <mergeCell ref="D475:E475"/>
    <mergeCell ref="D416:F416"/>
    <mergeCell ref="D419:E419"/>
    <mergeCell ref="D420:E420"/>
    <mergeCell ref="D422:F422"/>
    <mergeCell ref="E443:E444"/>
    <mergeCell ref="F443:F444"/>
    <mergeCell ref="D512:N512"/>
    <mergeCell ref="D513:D514"/>
    <mergeCell ref="E513:E514"/>
    <mergeCell ref="F513:F514"/>
    <mergeCell ref="G513:G514"/>
    <mergeCell ref="J513:N513"/>
    <mergeCell ref="J514:N514"/>
    <mergeCell ref="D498:E498"/>
    <mergeCell ref="D486:D487"/>
    <mergeCell ref="E486:E487"/>
    <mergeCell ref="F486:F487"/>
    <mergeCell ref="G486:G487"/>
    <mergeCell ref="D510:D511"/>
    <mergeCell ref="E510:G511"/>
    <mergeCell ref="H510:L510"/>
    <mergeCell ref="M510:N510"/>
    <mergeCell ref="H511:L511"/>
    <mergeCell ref="M511:N511"/>
    <mergeCell ref="L535:M535"/>
    <mergeCell ref="D591:D592"/>
    <mergeCell ref="D596:E597"/>
    <mergeCell ref="D569:E571"/>
    <mergeCell ref="F569:G570"/>
    <mergeCell ref="H569:J569"/>
    <mergeCell ref="D578:E580"/>
    <mergeCell ref="F578:G579"/>
    <mergeCell ref="H578:I578"/>
    <mergeCell ref="D541:E542"/>
    <mergeCell ref="F541:G541"/>
    <mergeCell ref="D550:E551"/>
    <mergeCell ref="F550:G550"/>
    <mergeCell ref="D558:E560"/>
    <mergeCell ref="F558:G559"/>
    <mergeCell ref="H558:H559"/>
    <mergeCell ref="I558:J558"/>
    <mergeCell ref="D584:D585"/>
    <mergeCell ref="I711:J711"/>
    <mergeCell ref="K713:M713"/>
    <mergeCell ref="L534:M534"/>
    <mergeCell ref="D647:E648"/>
    <mergeCell ref="D637:E638"/>
    <mergeCell ref="D641:E642"/>
    <mergeCell ref="I629:I630"/>
    <mergeCell ref="D633:E633"/>
    <mergeCell ref="D623:E625"/>
    <mergeCell ref="F623:F624"/>
    <mergeCell ref="G623:G624"/>
    <mergeCell ref="H623:H624"/>
    <mergeCell ref="D627:E627"/>
    <mergeCell ref="D629:E631"/>
    <mergeCell ref="D614:E616"/>
    <mergeCell ref="F614:F615"/>
    <mergeCell ref="D618:E618"/>
    <mergeCell ref="D598:J598"/>
    <mergeCell ref="D600:J600"/>
    <mergeCell ref="D603:J603"/>
    <mergeCell ref="D606:E607"/>
    <mergeCell ref="F606:G606"/>
    <mergeCell ref="H606:H607"/>
    <mergeCell ref="L536:M536"/>
    <mergeCell ref="F665:G665"/>
    <mergeCell ref="D669:E670"/>
    <mergeCell ref="F669:G670"/>
    <mergeCell ref="H669:I669"/>
    <mergeCell ref="D673:E674"/>
    <mergeCell ref="G673:I673"/>
    <mergeCell ref="D679:E680"/>
    <mergeCell ref="F679:G679"/>
    <mergeCell ref="J679:J680"/>
    <mergeCell ref="D683:E685"/>
    <mergeCell ref="F683:G684"/>
    <mergeCell ref="H683:H684"/>
    <mergeCell ref="I683:J683"/>
    <mergeCell ref="I684:J684"/>
    <mergeCell ref="I685:J685"/>
    <mergeCell ref="L705:M708"/>
    <mergeCell ref="E706:G707"/>
    <mergeCell ref="H706:J706"/>
    <mergeCell ref="H707:J707"/>
    <mergeCell ref="E708:F708"/>
    <mergeCell ref="H708:I708"/>
    <mergeCell ref="I697:K697"/>
    <mergeCell ref="E705:J705"/>
    <mergeCell ref="K705:K708"/>
    <mergeCell ref="D689:E691"/>
    <mergeCell ref="F689:G689"/>
    <mergeCell ref="H689:H691"/>
    <mergeCell ref="D694:E694"/>
    <mergeCell ref="D697:E699"/>
    <mergeCell ref="F697:H697"/>
    <mergeCell ref="K722:M723"/>
    <mergeCell ref="E715:E716"/>
    <mergeCell ref="F715:G716"/>
    <mergeCell ref="H715:H716"/>
    <mergeCell ref="I715:J716"/>
    <mergeCell ref="K715:M716"/>
    <mergeCell ref="F717:G717"/>
    <mergeCell ref="I717:J717"/>
    <mergeCell ref="L717:M717"/>
    <mergeCell ref="K718:M719"/>
    <mergeCell ref="K720:M721"/>
    <mergeCell ref="F714:G714"/>
    <mergeCell ref="I714:J714"/>
    <mergeCell ref="F709:G709"/>
    <mergeCell ref="I709:J709"/>
    <mergeCell ref="D728:E728"/>
    <mergeCell ref="E718:E719"/>
    <mergeCell ref="F718:G719"/>
    <mergeCell ref="H718:H719"/>
    <mergeCell ref="I718:J719"/>
    <mergeCell ref="E720:E721"/>
    <mergeCell ref="F720:G721"/>
    <mergeCell ref="H720:H721"/>
    <mergeCell ref="I720:J721"/>
    <mergeCell ref="E722:E723"/>
    <mergeCell ref="F722:G723"/>
    <mergeCell ref="H722:H723"/>
    <mergeCell ref="I722:J723"/>
    <mergeCell ref="F712:G712"/>
    <mergeCell ref="I712:J712"/>
    <mergeCell ref="F713:G713"/>
    <mergeCell ref="I713:J713"/>
    <mergeCell ref="F710:G710"/>
    <mergeCell ref="I710:J710"/>
    <mergeCell ref="F711:G711"/>
    <mergeCell ref="D802:E803"/>
    <mergeCell ref="F802:H802"/>
    <mergeCell ref="I802:I803"/>
    <mergeCell ref="D731:E732"/>
    <mergeCell ref="F731:G732"/>
    <mergeCell ref="H731:I732"/>
    <mergeCell ref="D735:E736"/>
    <mergeCell ref="D740:E740"/>
    <mergeCell ref="D743:E743"/>
    <mergeCell ref="F743:G743"/>
    <mergeCell ref="D781:E781"/>
    <mergeCell ref="D785:E786"/>
    <mergeCell ref="F785:G786"/>
    <mergeCell ref="D746:E747"/>
    <mergeCell ref="D750:E751"/>
    <mergeCell ref="D754:E756"/>
    <mergeCell ref="F754:H754"/>
    <mergeCell ref="D769:E770"/>
    <mergeCell ref="D773:E774"/>
    <mergeCell ref="D777:E777"/>
    <mergeCell ref="D763:E763"/>
    <mergeCell ref="D766:E766"/>
    <mergeCell ref="F766:G766"/>
    <mergeCell ref="J754:J755"/>
    <mergeCell ref="D759:E759"/>
    <mergeCell ref="D790:E792"/>
    <mergeCell ref="F790:F791"/>
    <mergeCell ref="G790:G791"/>
    <mergeCell ref="I790:I791"/>
    <mergeCell ref="D796:E798"/>
    <mergeCell ref="F796:F797"/>
    <mergeCell ref="G796:G797"/>
    <mergeCell ref="I796:I797"/>
    <mergeCell ref="D807:E807"/>
    <mergeCell ref="E814:J814"/>
    <mergeCell ref="M818:M819"/>
    <mergeCell ref="F820:G820"/>
    <mergeCell ref="I820:J820"/>
    <mergeCell ref="F821:G821"/>
    <mergeCell ref="I821:J821"/>
    <mergeCell ref="F822:G822"/>
    <mergeCell ref="I822:J822"/>
    <mergeCell ref="E818:E819"/>
    <mergeCell ref="F818:G819"/>
    <mergeCell ref="H818:H819"/>
    <mergeCell ref="I818:J819"/>
    <mergeCell ref="K818:K819"/>
    <mergeCell ref="L818:L819"/>
    <mergeCell ref="K814:K817"/>
    <mergeCell ref="L814:M817"/>
    <mergeCell ref="E815:G816"/>
    <mergeCell ref="H815:J815"/>
    <mergeCell ref="H816:J816"/>
    <mergeCell ref="E817:F817"/>
    <mergeCell ref="H817:I817"/>
    <mergeCell ref="K832:M833"/>
    <mergeCell ref="K823:M823"/>
    <mergeCell ref="F824:G824"/>
    <mergeCell ref="I824:J824"/>
    <mergeCell ref="E825:E826"/>
    <mergeCell ref="F825:G826"/>
    <mergeCell ref="H825:H826"/>
    <mergeCell ref="I825:J826"/>
    <mergeCell ref="K825:M826"/>
    <mergeCell ref="F827:G827"/>
    <mergeCell ref="I827:J827"/>
    <mergeCell ref="L827:M827"/>
    <mergeCell ref="E828:E829"/>
    <mergeCell ref="F828:G829"/>
    <mergeCell ref="H828:H829"/>
    <mergeCell ref="I828:J829"/>
    <mergeCell ref="K828:M829"/>
    <mergeCell ref="K830:M831"/>
    <mergeCell ref="F823:G823"/>
    <mergeCell ref="I823:J823"/>
    <mergeCell ref="J870:J871"/>
    <mergeCell ref="D837:E837"/>
    <mergeCell ref="D841:E842"/>
    <mergeCell ref="F841:G842"/>
    <mergeCell ref="H841:I842"/>
    <mergeCell ref="D846:E847"/>
    <mergeCell ref="D852:E852"/>
    <mergeCell ref="E830:E831"/>
    <mergeCell ref="F830:G831"/>
    <mergeCell ref="H830:H831"/>
    <mergeCell ref="I830:J831"/>
    <mergeCell ref="E832:E833"/>
    <mergeCell ref="F832:G833"/>
    <mergeCell ref="H832:H833"/>
    <mergeCell ref="I832:J833"/>
    <mergeCell ref="D876:E877"/>
    <mergeCell ref="F876:G876"/>
    <mergeCell ref="D883:E883"/>
    <mergeCell ref="D886:E887"/>
    <mergeCell ref="F886:G887"/>
    <mergeCell ref="D856:E856"/>
    <mergeCell ref="F856:G856"/>
    <mergeCell ref="D860:E861"/>
    <mergeCell ref="D865:E866"/>
    <mergeCell ref="D870:E872"/>
    <mergeCell ref="F870:H870"/>
    <mergeCell ref="D900:E901"/>
    <mergeCell ref="F900:H900"/>
    <mergeCell ref="I900:I901"/>
    <mergeCell ref="D904:E904"/>
    <mergeCell ref="D890:E892"/>
    <mergeCell ref="F890:F891"/>
    <mergeCell ref="G890:G891"/>
    <mergeCell ref="I890:I891"/>
    <mergeCell ref="D895:E897"/>
    <mergeCell ref="F895:F896"/>
    <mergeCell ref="G895:G896"/>
    <mergeCell ref="I895:I896"/>
    <mergeCell ref="F929:G929"/>
    <mergeCell ref="I929:J929"/>
    <mergeCell ref="I931:J931"/>
    <mergeCell ref="F931:G931"/>
    <mergeCell ref="K931:M931"/>
    <mergeCell ref="F932:G932"/>
    <mergeCell ref="I932:J932"/>
    <mergeCell ref="E933:E934"/>
    <mergeCell ref="F933:G934"/>
    <mergeCell ref="H933:H934"/>
    <mergeCell ref="I933:J934"/>
    <mergeCell ref="K933:M934"/>
    <mergeCell ref="F930:G930"/>
    <mergeCell ref="I930:J930"/>
    <mergeCell ref="F935:G935"/>
    <mergeCell ref="I935:J935"/>
    <mergeCell ref="L935:M935"/>
    <mergeCell ref="E936:E937"/>
    <mergeCell ref="F936:G937"/>
    <mergeCell ref="H936:H937"/>
    <mergeCell ref="I936:J937"/>
    <mergeCell ref="K936:M937"/>
    <mergeCell ref="D953:E954"/>
    <mergeCell ref="E938:E939"/>
    <mergeCell ref="F938:G939"/>
    <mergeCell ref="H938:H939"/>
    <mergeCell ref="I938:J939"/>
    <mergeCell ref="K938:M939"/>
    <mergeCell ref="E940:E941"/>
    <mergeCell ref="F940:G941"/>
    <mergeCell ref="H940:H941"/>
    <mergeCell ref="I940:J941"/>
    <mergeCell ref="K940:M941"/>
    <mergeCell ref="D946:E946"/>
    <mergeCell ref="D949:E950"/>
    <mergeCell ref="F949:G950"/>
    <mergeCell ref="H949:I950"/>
    <mergeCell ref="K1070:K1073"/>
    <mergeCell ref="E1071:E1072"/>
    <mergeCell ref="F1071:F1072"/>
    <mergeCell ref="G1071:G1072"/>
    <mergeCell ref="H1071:H1072"/>
    <mergeCell ref="I1071:I1072"/>
    <mergeCell ref="J1071:J1072"/>
    <mergeCell ref="D958:E958"/>
    <mergeCell ref="D961:E961"/>
    <mergeCell ref="F961:G961"/>
    <mergeCell ref="D964:E965"/>
    <mergeCell ref="D968:E969"/>
    <mergeCell ref="E1041:G1041"/>
    <mergeCell ref="D1042:E1042"/>
    <mergeCell ref="D1043:E1043"/>
    <mergeCell ref="D1044:E1044"/>
    <mergeCell ref="D997:E998"/>
    <mergeCell ref="D1001:E1003"/>
    <mergeCell ref="F1001:H1001"/>
    <mergeCell ref="D1024:E1026"/>
    <mergeCell ref="F1024:F1025"/>
    <mergeCell ref="G1024:G1025"/>
    <mergeCell ref="D974:E974"/>
    <mergeCell ref="D977:E978"/>
    <mergeCell ref="F1079:G1079"/>
    <mergeCell ref="F1080:G1080"/>
    <mergeCell ref="F1081:G1081"/>
    <mergeCell ref="F1082:G1082"/>
    <mergeCell ref="F1083:G1083"/>
    <mergeCell ref="D1089:E1089"/>
    <mergeCell ref="G1089:I1089"/>
    <mergeCell ref="I1024:I1025"/>
    <mergeCell ref="D1029:E1030"/>
    <mergeCell ref="F1029:H1029"/>
    <mergeCell ref="I1029:I1030"/>
    <mergeCell ref="D1045:E1045"/>
    <mergeCell ref="D1096:D1097"/>
    <mergeCell ref="E1096:F1097"/>
    <mergeCell ref="D1098:D1099"/>
    <mergeCell ref="E1098:F1098"/>
    <mergeCell ref="E1099:F1099"/>
    <mergeCell ref="D1090:D1091"/>
    <mergeCell ref="E1090:F1091"/>
    <mergeCell ref="G1090:G1091"/>
    <mergeCell ref="I1090:I1091"/>
    <mergeCell ref="D1092:D1093"/>
    <mergeCell ref="E1092:F1092"/>
    <mergeCell ref="E1093:F1093"/>
    <mergeCell ref="D1095:E1095"/>
    <mergeCell ref="G1095:H1095"/>
    <mergeCell ref="D1111:D1112"/>
    <mergeCell ref="E1111:F1111"/>
    <mergeCell ref="E1112:F1112"/>
    <mergeCell ref="D1115:E1115"/>
    <mergeCell ref="G1115:I1115"/>
    <mergeCell ref="D1116:D1117"/>
    <mergeCell ref="E1116:F1117"/>
    <mergeCell ref="G1116:G1117"/>
    <mergeCell ref="I1116:I1117"/>
    <mergeCell ref="D1108:E1108"/>
    <mergeCell ref="G1108:I1108"/>
    <mergeCell ref="D1109:D1110"/>
    <mergeCell ref="E1109:F1110"/>
    <mergeCell ref="G1109:G1110"/>
    <mergeCell ref="I1109:I1110"/>
    <mergeCell ref="D1101:E1101"/>
    <mergeCell ref="G1101:H1101"/>
    <mergeCell ref="D1102:D1103"/>
    <mergeCell ref="E1102:F1103"/>
    <mergeCell ref="D1104:D1105"/>
    <mergeCell ref="E1104:F1104"/>
    <mergeCell ref="E1105:F1105"/>
    <mergeCell ref="D1131:E1131"/>
    <mergeCell ref="G1131:I1131"/>
    <mergeCell ref="D1132:D1133"/>
    <mergeCell ref="E1132:F1133"/>
    <mergeCell ref="G1132:G1133"/>
    <mergeCell ref="I1132:I1133"/>
    <mergeCell ref="D1125:D1126"/>
    <mergeCell ref="E1125:F1125"/>
    <mergeCell ref="E1126:F1126"/>
    <mergeCell ref="D1127:D1128"/>
    <mergeCell ref="E1127:F1127"/>
    <mergeCell ref="E1128:F1128"/>
    <mergeCell ref="D1118:D1119"/>
    <mergeCell ref="E1118:F1118"/>
    <mergeCell ref="E1119:F1119"/>
    <mergeCell ref="D1122:E1122"/>
    <mergeCell ref="G1122:I1122"/>
    <mergeCell ref="D1123:D1124"/>
    <mergeCell ref="E1123:F1124"/>
    <mergeCell ref="G1123:G1124"/>
    <mergeCell ref="I1123:I1124"/>
    <mergeCell ref="D1134:D1135"/>
    <mergeCell ref="E1134:F1134"/>
    <mergeCell ref="E1135:F1135"/>
    <mergeCell ref="D1136:D1137"/>
    <mergeCell ref="E1136:F1136"/>
    <mergeCell ref="E1137:F1137"/>
    <mergeCell ref="L381:L382"/>
    <mergeCell ref="J381:J382"/>
    <mergeCell ref="I381:I382"/>
    <mergeCell ref="H381:H382"/>
    <mergeCell ref="D381:F382"/>
    <mergeCell ref="E584:E585"/>
    <mergeCell ref="D489:E489"/>
    <mergeCell ref="D479:D480"/>
    <mergeCell ref="E479:E480"/>
    <mergeCell ref="F479:F480"/>
    <mergeCell ref="G479:G480"/>
    <mergeCell ref="G443:G444"/>
    <mergeCell ref="D500:D501"/>
    <mergeCell ref="E500:E501"/>
    <mergeCell ref="F500:F501"/>
    <mergeCell ref="G500:G501"/>
    <mergeCell ref="D503:E503"/>
    <mergeCell ref="L533:M533"/>
    <mergeCell ref="D1161:E1161"/>
    <mergeCell ref="D1157:E1159"/>
    <mergeCell ref="F1157:H1157"/>
    <mergeCell ref="D1150:E1152"/>
    <mergeCell ref="F1150:H1150"/>
    <mergeCell ref="I1150:K1150"/>
    <mergeCell ref="F1152:G1152"/>
    <mergeCell ref="D1154:E1154"/>
    <mergeCell ref="D1143:E1145"/>
    <mergeCell ref="F1143:H1143"/>
    <mergeCell ref="I1143:K1143"/>
    <mergeCell ref="F1145:G1145"/>
    <mergeCell ref="D1147:E1147"/>
    <mergeCell ref="J515:N515"/>
    <mergeCell ref="J516:N516"/>
    <mergeCell ref="J517:N517"/>
    <mergeCell ref="J521:N521"/>
    <mergeCell ref="J522:N522"/>
    <mergeCell ref="J523:N523"/>
    <mergeCell ref="J524:N524"/>
    <mergeCell ref="L532:M532"/>
    <mergeCell ref="J520:N520"/>
    <mergeCell ref="J525:N525"/>
    <mergeCell ref="J528:N528"/>
    <mergeCell ref="D529:N529"/>
    <mergeCell ref="J527:N527"/>
    <mergeCell ref="J526:N526"/>
    <mergeCell ref="D530:D531"/>
    <mergeCell ref="E530:E531"/>
    <mergeCell ref="F530:F531"/>
    <mergeCell ref="G530:G531"/>
    <mergeCell ref="L530:M530"/>
    <mergeCell ref="L531:M531"/>
    <mergeCell ref="J518:N518"/>
    <mergeCell ref="J519:N519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Q8"/>
  <sheetViews>
    <sheetView showGridLines="0" workbookViewId="0"/>
  </sheetViews>
  <sheetFormatPr baseColWidth="10" defaultRowHeight="15" x14ac:dyDescent="0.25"/>
  <cols>
    <col min="1" max="1" width="23.85546875" bestFit="1" customWidth="1"/>
    <col min="2" max="2" width="12.85546875" bestFit="1" customWidth="1"/>
    <col min="3" max="3" width="6.5703125" bestFit="1" customWidth="1"/>
    <col min="4" max="4" width="8.85546875" bestFit="1" customWidth="1"/>
    <col min="5" max="5" width="12.85546875" bestFit="1" customWidth="1"/>
    <col min="6" max="8" width="7.85546875" bestFit="1" customWidth="1"/>
    <col min="9" max="13" width="6.85546875" bestFit="1" customWidth="1"/>
    <col min="14" max="14" width="9.85546875" bestFit="1" customWidth="1"/>
    <col min="15" max="15" width="7.8554687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70</v>
      </c>
      <c r="B2" t="s">
        <v>95</v>
      </c>
      <c r="C2" t="s">
        <v>56</v>
      </c>
      <c r="D2" s="1">
        <v>16272.39</v>
      </c>
      <c r="E2" t="s">
        <v>55</v>
      </c>
      <c r="F2" s="1">
        <v>3086.59</v>
      </c>
      <c r="G2" s="1">
        <v>2558.31</v>
      </c>
      <c r="H2" s="1">
        <v>1833.33</v>
      </c>
      <c r="I2">
        <v>501.8</v>
      </c>
      <c r="J2">
        <v>293.13</v>
      </c>
      <c r="K2">
        <v>227.4</v>
      </c>
      <c r="L2">
        <v>219.19</v>
      </c>
      <c r="M2">
        <v>304.07</v>
      </c>
      <c r="N2">
        <v>355.86</v>
      </c>
      <c r="O2" s="1">
        <v>1138.9000000000001</v>
      </c>
      <c r="P2" s="1">
        <v>2465.09</v>
      </c>
      <c r="Q2" s="1">
        <v>3288.72</v>
      </c>
    </row>
    <row r="3" spans="1:17" x14ac:dyDescent="0.25">
      <c r="A3" t="s">
        <v>68</v>
      </c>
      <c r="B3" t="s">
        <v>94</v>
      </c>
      <c r="C3" t="s">
        <v>56</v>
      </c>
      <c r="D3" s="1">
        <v>13465.05</v>
      </c>
      <c r="E3" t="s">
        <v>55</v>
      </c>
      <c r="F3" s="1">
        <v>2614.37</v>
      </c>
      <c r="G3" s="1">
        <v>2174.0700000000002</v>
      </c>
      <c r="H3" s="1">
        <v>1644.56</v>
      </c>
      <c r="I3">
        <v>563.32000000000005</v>
      </c>
      <c r="J3">
        <v>150.82</v>
      </c>
      <c r="K3">
        <v>145.96</v>
      </c>
      <c r="L3">
        <v>150.82</v>
      </c>
      <c r="M3">
        <v>150.82</v>
      </c>
      <c r="N3">
        <v>191.99</v>
      </c>
      <c r="O3">
        <v>930.44</v>
      </c>
      <c r="P3" s="1">
        <v>2028.06</v>
      </c>
      <c r="Q3" s="1">
        <v>2719.81</v>
      </c>
    </row>
    <row r="4" spans="1:17" x14ac:dyDescent="0.25">
      <c r="A4" t="s">
        <v>66</v>
      </c>
      <c r="B4" t="s">
        <v>93</v>
      </c>
      <c r="C4" t="s">
        <v>56</v>
      </c>
      <c r="D4" s="1">
        <v>4829.6400000000003</v>
      </c>
      <c r="E4" t="s">
        <v>55</v>
      </c>
      <c r="F4">
        <v>553.58000000000004</v>
      </c>
      <c r="G4">
        <v>474.25</v>
      </c>
      <c r="H4">
        <v>412.5</v>
      </c>
      <c r="I4">
        <v>166.11</v>
      </c>
      <c r="J4">
        <v>360.21</v>
      </c>
      <c r="K4">
        <v>296.76</v>
      </c>
      <c r="L4">
        <v>291.89999999999998</v>
      </c>
      <c r="M4">
        <v>369.66</v>
      </c>
      <c r="N4">
        <v>375.41</v>
      </c>
      <c r="O4">
        <v>403.71</v>
      </c>
      <c r="P4">
        <v>509.86</v>
      </c>
      <c r="Q4">
        <v>615.69000000000005</v>
      </c>
    </row>
    <row r="5" spans="1:17" x14ac:dyDescent="0.25">
      <c r="A5" t="s">
        <v>64</v>
      </c>
      <c r="B5" t="s">
        <v>92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62</v>
      </c>
      <c r="B6" t="s">
        <v>91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60</v>
      </c>
      <c r="B7" t="s">
        <v>90</v>
      </c>
      <c r="C7" t="s">
        <v>56</v>
      </c>
      <c r="D7">
        <v>0</v>
      </c>
      <c r="E7" t="s">
        <v>55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t="s">
        <v>58</v>
      </c>
      <c r="B8" t="s">
        <v>57</v>
      </c>
      <c r="C8" t="s">
        <v>56</v>
      </c>
      <c r="D8" s="1">
        <v>2022.3</v>
      </c>
      <c r="E8" t="s">
        <v>55</v>
      </c>
      <c r="F8">
        <v>81.36</v>
      </c>
      <c r="G8">
        <v>90.02</v>
      </c>
      <c r="H8">
        <v>223.73</v>
      </c>
      <c r="I8">
        <v>227.62</v>
      </c>
      <c r="J8">
        <v>217.91</v>
      </c>
      <c r="K8">
        <v>215.31</v>
      </c>
      <c r="L8">
        <v>223.53</v>
      </c>
      <c r="M8">
        <v>216.41</v>
      </c>
      <c r="N8">
        <v>211.55</v>
      </c>
      <c r="O8">
        <v>195.26</v>
      </c>
      <c r="P8">
        <v>72.83</v>
      </c>
      <c r="Q8">
        <v>46.78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-0.249977111117893"/>
  </sheetPr>
  <dimension ref="A1:Q7"/>
  <sheetViews>
    <sheetView showGridLines="0" workbookViewId="0"/>
  </sheetViews>
  <sheetFormatPr baseColWidth="10" defaultRowHeight="15" x14ac:dyDescent="0.25"/>
  <cols>
    <col min="1" max="1" width="26.28515625" bestFit="1" customWidth="1"/>
    <col min="2" max="2" width="12.85546875" bestFit="1" customWidth="1"/>
    <col min="3" max="3" width="6.5703125" bestFit="1" customWidth="1"/>
    <col min="4" max="4" width="8.85546875" bestFit="1" customWidth="1"/>
    <col min="5" max="5" width="12.85546875" bestFit="1" customWidth="1"/>
    <col min="6" max="8" width="7.85546875" bestFit="1" customWidth="1"/>
    <col min="9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68</v>
      </c>
      <c r="B2" t="s">
        <v>94</v>
      </c>
      <c r="C2" t="s">
        <v>56</v>
      </c>
      <c r="D2" s="1">
        <v>13465.05</v>
      </c>
      <c r="E2" t="s">
        <v>55</v>
      </c>
      <c r="F2" s="1">
        <v>2614.37</v>
      </c>
      <c r="G2" s="1">
        <v>2174.0700000000002</v>
      </c>
      <c r="H2" s="1">
        <v>1644.56</v>
      </c>
      <c r="I2">
        <v>563.32000000000005</v>
      </c>
      <c r="J2">
        <v>150.82</v>
      </c>
      <c r="K2">
        <v>145.96</v>
      </c>
      <c r="L2">
        <v>150.82</v>
      </c>
      <c r="M2">
        <v>150.82</v>
      </c>
      <c r="N2">
        <v>191.99</v>
      </c>
      <c r="O2">
        <v>930.44</v>
      </c>
      <c r="P2" s="1">
        <v>2028.06</v>
      </c>
      <c r="Q2" s="1">
        <v>2719.81</v>
      </c>
    </row>
    <row r="3" spans="1:17" x14ac:dyDescent="0.25">
      <c r="A3" t="s">
        <v>71</v>
      </c>
      <c r="B3" t="s">
        <v>94</v>
      </c>
      <c r="C3" t="s">
        <v>56</v>
      </c>
      <c r="D3" s="1">
        <v>9633.7199999999993</v>
      </c>
      <c r="E3" t="s">
        <v>55</v>
      </c>
      <c r="F3" s="1">
        <v>2046.1</v>
      </c>
      <c r="G3" s="1">
        <v>1690.39</v>
      </c>
      <c r="H3" s="1">
        <v>1228.97</v>
      </c>
      <c r="I3">
        <v>324.38</v>
      </c>
      <c r="J3">
        <v>0</v>
      </c>
      <c r="K3">
        <v>0</v>
      </c>
      <c r="L3">
        <v>0</v>
      </c>
      <c r="M3">
        <v>0</v>
      </c>
      <c r="N3">
        <v>27.02</v>
      </c>
      <c r="O3">
        <v>625.14</v>
      </c>
      <c r="P3" s="1">
        <v>1556.97</v>
      </c>
      <c r="Q3" s="1">
        <v>2134.7399999999998</v>
      </c>
    </row>
    <row r="4" spans="1:17" x14ac:dyDescent="0.25">
      <c r="A4" t="s">
        <v>72</v>
      </c>
      <c r="B4" t="s">
        <v>106</v>
      </c>
      <c r="C4" t="s">
        <v>56</v>
      </c>
      <c r="D4">
        <v>281.98</v>
      </c>
      <c r="E4" t="s">
        <v>55</v>
      </c>
      <c r="F4">
        <v>48.56</v>
      </c>
      <c r="G4">
        <v>42.34</v>
      </c>
      <c r="H4">
        <v>40.35</v>
      </c>
      <c r="I4">
        <v>22.98</v>
      </c>
      <c r="J4">
        <v>0</v>
      </c>
      <c r="K4">
        <v>0</v>
      </c>
      <c r="L4">
        <v>0</v>
      </c>
      <c r="M4">
        <v>0</v>
      </c>
      <c r="N4">
        <v>2.48</v>
      </c>
      <c r="O4">
        <v>33.03</v>
      </c>
      <c r="P4">
        <v>42.85</v>
      </c>
      <c r="Q4">
        <v>49.39</v>
      </c>
    </row>
    <row r="5" spans="1:17" x14ac:dyDescent="0.25">
      <c r="A5" t="s">
        <v>74</v>
      </c>
      <c r="B5" t="s">
        <v>105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76</v>
      </c>
      <c r="B6" t="s">
        <v>104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78</v>
      </c>
      <c r="B7" t="s">
        <v>103</v>
      </c>
      <c r="C7" t="s">
        <v>56</v>
      </c>
      <c r="D7" s="1">
        <v>1855.51</v>
      </c>
      <c r="E7" t="s">
        <v>55</v>
      </c>
      <c r="F7">
        <v>163.31</v>
      </c>
      <c r="G7">
        <v>147.24</v>
      </c>
      <c r="H7">
        <v>161.9</v>
      </c>
      <c r="I7">
        <v>153.68</v>
      </c>
      <c r="J7">
        <v>150.82</v>
      </c>
      <c r="K7">
        <v>145.96</v>
      </c>
      <c r="L7">
        <v>150.82</v>
      </c>
      <c r="M7">
        <v>150.82</v>
      </c>
      <c r="N7">
        <v>149.44</v>
      </c>
      <c r="O7">
        <v>160.72</v>
      </c>
      <c r="P7">
        <v>157.33000000000001</v>
      </c>
      <c r="Q7">
        <v>163.46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-0.249977111117893"/>
  </sheetPr>
  <dimension ref="A1:Q4"/>
  <sheetViews>
    <sheetView showGridLines="0" workbookViewId="0"/>
  </sheetViews>
  <sheetFormatPr baseColWidth="10" defaultRowHeight="15" x14ac:dyDescent="0.25"/>
  <cols>
    <col min="1" max="1" width="26.140625" bestFit="1" customWidth="1"/>
    <col min="2" max="2" width="12.8554687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85546875" bestFit="1" customWidth="1"/>
    <col min="7" max="7" width="7.42578125" bestFit="1" customWidth="1"/>
    <col min="8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66</v>
      </c>
      <c r="B2" t="s">
        <v>93</v>
      </c>
      <c r="C2" t="s">
        <v>56</v>
      </c>
      <c r="D2" s="1">
        <v>4829.6400000000003</v>
      </c>
      <c r="E2" t="s">
        <v>55</v>
      </c>
      <c r="F2">
        <v>553.58000000000004</v>
      </c>
      <c r="G2">
        <v>474.25</v>
      </c>
      <c r="H2">
        <v>412.5</v>
      </c>
      <c r="I2">
        <v>166.11</v>
      </c>
      <c r="J2">
        <v>360.21</v>
      </c>
      <c r="K2">
        <v>296.76</v>
      </c>
      <c r="L2">
        <v>291.89999999999998</v>
      </c>
      <c r="M2">
        <v>369.66</v>
      </c>
      <c r="N2">
        <v>375.41</v>
      </c>
      <c r="O2">
        <v>403.71</v>
      </c>
      <c r="P2">
        <v>509.86</v>
      </c>
      <c r="Q2">
        <v>615.69000000000005</v>
      </c>
    </row>
    <row r="3" spans="1:17" x14ac:dyDescent="0.25">
      <c r="A3" t="s">
        <v>82</v>
      </c>
      <c r="B3" t="s">
        <v>93</v>
      </c>
      <c r="C3" t="s">
        <v>56</v>
      </c>
      <c r="D3" s="1">
        <v>4308.3100000000004</v>
      </c>
      <c r="E3" t="s">
        <v>55</v>
      </c>
      <c r="F3">
        <v>534.41999999999996</v>
      </c>
      <c r="G3">
        <v>454.72</v>
      </c>
      <c r="H3">
        <v>381.06</v>
      </c>
      <c r="I3">
        <v>115.14</v>
      </c>
      <c r="J3">
        <v>293.13</v>
      </c>
      <c r="K3">
        <v>227.4</v>
      </c>
      <c r="L3">
        <v>219.19</v>
      </c>
      <c r="M3">
        <v>304.07</v>
      </c>
      <c r="N3">
        <v>315.79000000000002</v>
      </c>
      <c r="O3">
        <v>372</v>
      </c>
      <c r="P3">
        <v>489.31</v>
      </c>
      <c r="Q3">
        <v>602.08000000000004</v>
      </c>
    </row>
    <row r="4" spans="1:17" x14ac:dyDescent="0.25">
      <c r="A4" t="s">
        <v>81</v>
      </c>
      <c r="B4" t="s">
        <v>102</v>
      </c>
      <c r="C4" t="s">
        <v>56</v>
      </c>
      <c r="D4">
        <v>521.33000000000004</v>
      </c>
      <c r="E4" t="s">
        <v>55</v>
      </c>
      <c r="F4">
        <v>19.16</v>
      </c>
      <c r="G4">
        <v>19.53</v>
      </c>
      <c r="H4">
        <v>31.44</v>
      </c>
      <c r="I4">
        <v>50.97</v>
      </c>
      <c r="J4">
        <v>67.08</v>
      </c>
      <c r="K4">
        <v>69.36</v>
      </c>
      <c r="L4">
        <v>72.709999999999994</v>
      </c>
      <c r="M4">
        <v>65.59</v>
      </c>
      <c r="N4">
        <v>59.63</v>
      </c>
      <c r="O4">
        <v>31.71</v>
      </c>
      <c r="P4">
        <v>20.54</v>
      </c>
      <c r="Q4">
        <v>13.6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-0.249977111117893"/>
  </sheetPr>
  <dimension ref="A1:Q2"/>
  <sheetViews>
    <sheetView showGridLines="0" workbookViewId="0"/>
  </sheetViews>
  <sheetFormatPr baseColWidth="10"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101</v>
      </c>
      <c r="B2" t="s">
        <v>107</v>
      </c>
      <c r="C2" t="s">
        <v>56</v>
      </c>
      <c r="D2" s="1">
        <v>2022.3</v>
      </c>
      <c r="E2" t="s">
        <v>55</v>
      </c>
      <c r="F2">
        <v>81.36</v>
      </c>
      <c r="G2">
        <v>90.02</v>
      </c>
      <c r="H2">
        <v>223.73</v>
      </c>
      <c r="I2">
        <v>227.62</v>
      </c>
      <c r="J2">
        <v>217.91</v>
      </c>
      <c r="K2">
        <v>215.31</v>
      </c>
      <c r="L2">
        <v>223.53</v>
      </c>
      <c r="M2">
        <v>216.41</v>
      </c>
      <c r="N2">
        <v>211.55</v>
      </c>
      <c r="O2">
        <v>195.26</v>
      </c>
      <c r="P2">
        <v>72.83</v>
      </c>
      <c r="Q2">
        <v>46.78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-0.249977111117893"/>
  </sheetPr>
  <dimension ref="A1:Q3"/>
  <sheetViews>
    <sheetView showGridLines="0" workbookViewId="0"/>
  </sheetViews>
  <sheetFormatPr baseColWidth="10" defaultRowHeight="15" x14ac:dyDescent="0.25"/>
  <cols>
    <col min="1" max="1" width="11.28515625" bestFit="1" customWidth="1"/>
    <col min="2" max="2" width="12.85546875" bestFit="1" customWidth="1"/>
    <col min="3" max="3" width="6.5703125" bestFit="1" customWidth="1"/>
    <col min="4" max="4" width="8.85546875" bestFit="1" customWidth="1"/>
    <col min="5" max="5" width="12.85546875" bestFit="1" customWidth="1"/>
    <col min="6" max="8" width="7.85546875" bestFit="1" customWidth="1"/>
    <col min="9" max="13" width="6.85546875" bestFit="1" customWidth="1"/>
    <col min="14" max="14" width="9.85546875" bestFit="1" customWidth="1"/>
    <col min="15" max="15" width="7.8554687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190</v>
      </c>
      <c r="B2" t="s">
        <v>87</v>
      </c>
      <c r="C2" t="s">
        <v>56</v>
      </c>
      <c r="D2" s="1">
        <v>15067.29</v>
      </c>
      <c r="E2" t="s">
        <v>55</v>
      </c>
      <c r="F2" s="1">
        <v>2830.11</v>
      </c>
      <c r="G2" s="1">
        <v>2350.5100000000002</v>
      </c>
      <c r="H2" s="1">
        <v>1757.06</v>
      </c>
      <c r="I2">
        <v>483.56</v>
      </c>
      <c r="J2">
        <v>282.47000000000003</v>
      </c>
      <c r="K2">
        <v>219.13</v>
      </c>
      <c r="L2">
        <v>211.22</v>
      </c>
      <c r="M2">
        <v>293.01</v>
      </c>
      <c r="N2">
        <v>342.92</v>
      </c>
      <c r="O2" s="1">
        <v>1068.3699999999999</v>
      </c>
      <c r="P2" s="1">
        <v>2232.9299999999998</v>
      </c>
      <c r="Q2" s="1">
        <v>2996</v>
      </c>
    </row>
    <row r="3" spans="1:17" x14ac:dyDescent="0.25">
      <c r="A3" t="s">
        <v>189</v>
      </c>
      <c r="B3" t="s">
        <v>87</v>
      </c>
      <c r="C3" t="s">
        <v>56</v>
      </c>
      <c r="D3">
        <v>353.62</v>
      </c>
      <c r="E3" t="s">
        <v>55</v>
      </c>
      <c r="F3">
        <v>83.16</v>
      </c>
      <c r="G3">
        <v>66.17</v>
      </c>
      <c r="H3">
        <v>5.54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16.78</v>
      </c>
      <c r="P3">
        <v>82.16</v>
      </c>
      <c r="Q3">
        <v>99.81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-0.249977111117893"/>
  </sheetPr>
  <dimension ref="A1:H26"/>
  <sheetViews>
    <sheetView showGridLines="0" workbookViewId="0"/>
  </sheetViews>
  <sheetFormatPr baseColWidth="10" defaultRowHeight="15" x14ac:dyDescent="0.25"/>
  <cols>
    <col min="1" max="1" width="23.5703125" style="91" bestFit="1" customWidth="1"/>
    <col min="2" max="3" width="6.85546875" style="91" bestFit="1" customWidth="1"/>
    <col min="4" max="4" width="7.5703125" style="91" bestFit="1" customWidth="1"/>
    <col min="5" max="5" width="30.140625" style="91" bestFit="1" customWidth="1"/>
    <col min="6" max="6" width="21.5703125" style="91" bestFit="1" customWidth="1"/>
    <col min="7" max="7" width="29.85546875" style="91" bestFit="1" customWidth="1"/>
    <col min="8" max="8" width="18.42578125" style="91" bestFit="1" customWidth="1"/>
    <col min="9" max="16384" width="11.42578125" style="91"/>
  </cols>
  <sheetData>
    <row r="1" spans="1:8" x14ac:dyDescent="0.25">
      <c r="A1" s="91" t="s">
        <v>223</v>
      </c>
      <c r="B1" s="91" t="s">
        <v>222</v>
      </c>
      <c r="C1" s="91" t="s">
        <v>221</v>
      </c>
      <c r="D1" s="91" t="s">
        <v>220</v>
      </c>
      <c r="E1" s="91" t="s">
        <v>219</v>
      </c>
      <c r="F1" s="91" t="s">
        <v>218</v>
      </c>
      <c r="G1" s="91" t="s">
        <v>217</v>
      </c>
      <c r="H1" s="91" t="s">
        <v>216</v>
      </c>
    </row>
    <row r="2" spans="1:8" x14ac:dyDescent="0.25">
      <c r="A2" s="91" t="s">
        <v>215</v>
      </c>
      <c r="B2" s="91">
        <v>0</v>
      </c>
      <c r="C2" s="91">
        <v>0</v>
      </c>
      <c r="D2" s="91">
        <v>0</v>
      </c>
      <c r="E2" s="91">
        <v>0</v>
      </c>
      <c r="F2" s="91">
        <v>0</v>
      </c>
      <c r="G2" s="91">
        <v>0</v>
      </c>
      <c r="H2" s="91">
        <v>0</v>
      </c>
    </row>
    <row r="3" spans="1:8" x14ac:dyDescent="0.25">
      <c r="A3" s="91" t="s">
        <v>214</v>
      </c>
      <c r="B3" s="91">
        <v>0</v>
      </c>
      <c r="C3" s="91">
        <v>0</v>
      </c>
      <c r="D3" s="91">
        <v>0</v>
      </c>
      <c r="E3" s="91">
        <v>0</v>
      </c>
      <c r="F3" s="91">
        <v>0</v>
      </c>
      <c r="G3" s="91">
        <v>0</v>
      </c>
      <c r="H3" s="91">
        <v>0</v>
      </c>
    </row>
    <row r="4" spans="1:8" x14ac:dyDescent="0.25">
      <c r="A4" s="91" t="s">
        <v>213</v>
      </c>
      <c r="B4" s="91">
        <v>0</v>
      </c>
      <c r="C4" s="91">
        <v>0</v>
      </c>
      <c r="D4" s="91">
        <v>0</v>
      </c>
      <c r="E4" s="91">
        <v>0</v>
      </c>
      <c r="F4" s="91">
        <v>0</v>
      </c>
      <c r="G4" s="91">
        <v>0</v>
      </c>
      <c r="H4" s="91">
        <v>0</v>
      </c>
    </row>
    <row r="5" spans="1:8" x14ac:dyDescent="0.25">
      <c r="A5" s="91" t="s">
        <v>212</v>
      </c>
      <c r="B5" s="91">
        <v>84.54</v>
      </c>
      <c r="C5" s="91">
        <v>0.2</v>
      </c>
      <c r="D5" s="91">
        <v>1</v>
      </c>
      <c r="E5" s="91">
        <v>16.91</v>
      </c>
      <c r="F5" s="91">
        <v>0.05</v>
      </c>
      <c r="G5" s="91">
        <v>4.2300000000000004</v>
      </c>
      <c r="H5" s="91">
        <v>21.14</v>
      </c>
    </row>
    <row r="6" spans="1:8" x14ac:dyDescent="0.25">
      <c r="A6" s="91" t="s">
        <v>211</v>
      </c>
      <c r="B6" s="91">
        <v>66.790000000000006</v>
      </c>
      <c r="C6" s="91">
        <v>0.2</v>
      </c>
      <c r="D6" s="91">
        <v>1</v>
      </c>
      <c r="E6" s="91">
        <v>13.36</v>
      </c>
      <c r="F6" s="91">
        <v>0.05</v>
      </c>
      <c r="G6" s="91">
        <v>3.34</v>
      </c>
      <c r="H6" s="91">
        <v>16.7</v>
      </c>
    </row>
    <row r="7" spans="1:8" x14ac:dyDescent="0.25">
      <c r="A7" s="91" t="s">
        <v>210</v>
      </c>
      <c r="B7" s="91">
        <v>2.4700000000000002</v>
      </c>
      <c r="C7" s="91">
        <v>1.4</v>
      </c>
      <c r="D7" s="91">
        <v>1</v>
      </c>
      <c r="E7" s="91">
        <v>3.46</v>
      </c>
      <c r="F7" s="91">
        <v>0.05</v>
      </c>
      <c r="G7" s="91">
        <v>0.12</v>
      </c>
      <c r="H7" s="91">
        <v>3.58</v>
      </c>
    </row>
    <row r="8" spans="1:8" x14ac:dyDescent="0.25">
      <c r="A8" s="91" t="s">
        <v>209</v>
      </c>
      <c r="B8" s="91">
        <v>22.26</v>
      </c>
      <c r="C8" s="91">
        <v>0.28000000000000003</v>
      </c>
      <c r="D8" s="91">
        <v>1</v>
      </c>
      <c r="E8" s="91">
        <v>6.23</v>
      </c>
      <c r="F8" s="91">
        <v>0.05</v>
      </c>
      <c r="G8" s="91">
        <v>1.1100000000000001</v>
      </c>
      <c r="H8" s="91">
        <v>7.35</v>
      </c>
    </row>
    <row r="9" spans="1:8" x14ac:dyDescent="0.25">
      <c r="A9" s="91" t="s">
        <v>208</v>
      </c>
      <c r="B9" s="91">
        <v>2.87</v>
      </c>
      <c r="C9" s="91">
        <v>1.3</v>
      </c>
      <c r="D9" s="91">
        <v>1</v>
      </c>
      <c r="E9" s="91">
        <v>3.73</v>
      </c>
      <c r="F9" s="91">
        <v>0.05</v>
      </c>
      <c r="G9" s="91">
        <v>0.14000000000000001</v>
      </c>
      <c r="H9" s="91">
        <v>3.87</v>
      </c>
    </row>
    <row r="10" spans="1:8" x14ac:dyDescent="0.25">
      <c r="A10" s="91" t="s">
        <v>207</v>
      </c>
      <c r="B10" s="91">
        <v>2.62</v>
      </c>
      <c r="C10" s="91">
        <v>0.28000000000000003</v>
      </c>
      <c r="D10" s="91">
        <v>1</v>
      </c>
      <c r="E10" s="91">
        <v>0.73</v>
      </c>
      <c r="F10" s="91">
        <v>0.05</v>
      </c>
      <c r="G10" s="91">
        <v>0.13</v>
      </c>
      <c r="H10" s="91">
        <v>0.86</v>
      </c>
    </row>
    <row r="11" spans="1:8" x14ac:dyDescent="0.25">
      <c r="A11" s="91" t="s">
        <v>206</v>
      </c>
      <c r="B11" s="91">
        <v>2.62</v>
      </c>
      <c r="C11" s="91">
        <v>0.28000000000000003</v>
      </c>
      <c r="D11" s="91">
        <v>1</v>
      </c>
      <c r="E11" s="91">
        <v>0.73</v>
      </c>
      <c r="F11" s="91">
        <v>0.05</v>
      </c>
      <c r="G11" s="91">
        <v>0.13</v>
      </c>
      <c r="H11" s="91">
        <v>0.86</v>
      </c>
    </row>
    <row r="12" spans="1:8" x14ac:dyDescent="0.25">
      <c r="A12" s="91" t="s">
        <v>205</v>
      </c>
      <c r="B12" s="91">
        <v>1.39</v>
      </c>
      <c r="C12" s="91">
        <v>0.28000000000000003</v>
      </c>
      <c r="D12" s="91">
        <v>1</v>
      </c>
      <c r="E12" s="91">
        <v>0.39</v>
      </c>
      <c r="F12" s="91">
        <v>0.05</v>
      </c>
      <c r="G12" s="91">
        <v>7.0000000000000007E-2</v>
      </c>
      <c r="H12" s="91">
        <v>0.46</v>
      </c>
    </row>
    <row r="13" spans="1:8" x14ac:dyDescent="0.25">
      <c r="A13" s="91" t="s">
        <v>204</v>
      </c>
      <c r="B13" s="91">
        <v>5.1100000000000003</v>
      </c>
      <c r="C13" s="91">
        <v>1.3</v>
      </c>
      <c r="D13" s="91">
        <v>1</v>
      </c>
      <c r="E13" s="91">
        <v>6.64</v>
      </c>
      <c r="F13" s="91">
        <v>0.05</v>
      </c>
      <c r="G13" s="91">
        <v>0.26</v>
      </c>
      <c r="H13" s="91">
        <v>6.9</v>
      </c>
    </row>
    <row r="14" spans="1:8" x14ac:dyDescent="0.25">
      <c r="A14" s="91" t="s">
        <v>203</v>
      </c>
      <c r="B14" s="91">
        <v>46.56</v>
      </c>
      <c r="C14" s="91">
        <v>0.28000000000000003</v>
      </c>
      <c r="D14" s="91">
        <v>1</v>
      </c>
      <c r="E14" s="91">
        <v>13.04</v>
      </c>
      <c r="F14" s="91">
        <v>0.05</v>
      </c>
      <c r="G14" s="91">
        <v>2.33</v>
      </c>
      <c r="H14" s="91">
        <v>15.36</v>
      </c>
    </row>
    <row r="15" spans="1:8" x14ac:dyDescent="0.25">
      <c r="A15" s="91" t="s">
        <v>202</v>
      </c>
      <c r="B15" s="91">
        <v>5.5</v>
      </c>
      <c r="C15" s="91">
        <v>1.3</v>
      </c>
      <c r="D15" s="91">
        <v>1</v>
      </c>
      <c r="E15" s="91">
        <v>7.15</v>
      </c>
      <c r="F15" s="91">
        <v>0.05</v>
      </c>
      <c r="G15" s="91">
        <v>0.28000000000000003</v>
      </c>
      <c r="H15" s="91">
        <v>7.42</v>
      </c>
    </row>
    <row r="16" spans="1:8" x14ac:dyDescent="0.25">
      <c r="A16" s="91" t="s">
        <v>201</v>
      </c>
      <c r="B16" s="91">
        <v>7.82</v>
      </c>
      <c r="C16" s="91">
        <v>0.35</v>
      </c>
      <c r="D16" s="91">
        <v>0.5</v>
      </c>
      <c r="E16" s="91">
        <v>1.37</v>
      </c>
      <c r="F16" s="91">
        <v>0.05</v>
      </c>
      <c r="G16" s="91">
        <v>0.39</v>
      </c>
      <c r="H16" s="91">
        <v>1.76</v>
      </c>
    </row>
    <row r="17" spans="1:8" x14ac:dyDescent="0.25">
      <c r="A17" s="91" t="s">
        <v>200</v>
      </c>
      <c r="B17" s="91">
        <v>17.68</v>
      </c>
      <c r="C17" s="91">
        <v>1.3</v>
      </c>
      <c r="D17" s="91">
        <v>0.5</v>
      </c>
      <c r="E17" s="91">
        <v>11.49</v>
      </c>
      <c r="F17" s="91">
        <v>0.05</v>
      </c>
      <c r="G17" s="91">
        <v>0.88</v>
      </c>
      <c r="H17" s="91">
        <v>12.38</v>
      </c>
    </row>
    <row r="18" spans="1:8" x14ac:dyDescent="0.25">
      <c r="A18" s="91" t="s">
        <v>199</v>
      </c>
      <c r="B18" s="91">
        <v>12.87</v>
      </c>
      <c r="C18" s="91">
        <v>0.2</v>
      </c>
      <c r="D18" s="91">
        <v>1</v>
      </c>
      <c r="E18" s="91">
        <v>2.57</v>
      </c>
      <c r="F18" s="91">
        <v>0.05</v>
      </c>
      <c r="G18" s="91">
        <v>0.64</v>
      </c>
      <c r="H18" s="91">
        <v>3.22</v>
      </c>
    </row>
    <row r="19" spans="1:8" x14ac:dyDescent="0.25">
      <c r="A19" s="91" t="s">
        <v>198</v>
      </c>
      <c r="B19" s="91">
        <v>51.2</v>
      </c>
      <c r="C19" s="91">
        <v>0.28000000000000003</v>
      </c>
      <c r="D19" s="91">
        <v>1</v>
      </c>
      <c r="E19" s="91">
        <v>14.34</v>
      </c>
      <c r="F19" s="91">
        <v>0.05</v>
      </c>
      <c r="G19" s="91">
        <v>2.56</v>
      </c>
      <c r="H19" s="91">
        <v>16.899999999999999</v>
      </c>
    </row>
    <row r="20" spans="1:8" x14ac:dyDescent="0.25">
      <c r="A20" s="91" t="s">
        <v>197</v>
      </c>
      <c r="B20" s="91">
        <v>5.15</v>
      </c>
      <c r="C20" s="91">
        <v>1.3</v>
      </c>
      <c r="D20" s="91">
        <v>1</v>
      </c>
      <c r="E20" s="91">
        <v>6.69</v>
      </c>
      <c r="F20" s="91">
        <v>0.05</v>
      </c>
      <c r="G20" s="91">
        <v>0.26</v>
      </c>
      <c r="H20" s="91">
        <v>6.95</v>
      </c>
    </row>
    <row r="21" spans="1:8" x14ac:dyDescent="0.25">
      <c r="A21" s="91" t="s">
        <v>196</v>
      </c>
      <c r="B21" s="91">
        <v>135</v>
      </c>
      <c r="C21" s="91">
        <v>0.35</v>
      </c>
      <c r="D21" s="91">
        <v>0.6</v>
      </c>
      <c r="E21" s="91">
        <v>28.35</v>
      </c>
      <c r="F21" s="91">
        <v>0.05</v>
      </c>
      <c r="G21" s="91">
        <v>6.75</v>
      </c>
      <c r="H21" s="91">
        <v>35.1</v>
      </c>
    </row>
    <row r="22" spans="1:8" x14ac:dyDescent="0.25">
      <c r="A22" s="91" t="s">
        <v>195</v>
      </c>
      <c r="B22" s="91">
        <v>2.2799999999999998</v>
      </c>
      <c r="C22" s="91">
        <v>1.8</v>
      </c>
      <c r="D22" s="91">
        <v>1</v>
      </c>
      <c r="E22" s="91">
        <v>4.0999999999999996</v>
      </c>
      <c r="F22" s="91">
        <v>0.05</v>
      </c>
      <c r="G22" s="91">
        <v>0.11</v>
      </c>
      <c r="H22" s="91">
        <v>4.22</v>
      </c>
    </row>
    <row r="23" spans="1:8" x14ac:dyDescent="0.25">
      <c r="A23" s="91" t="s">
        <v>194</v>
      </c>
      <c r="B23" s="91">
        <v>48.33</v>
      </c>
      <c r="C23" s="91">
        <v>0.28000000000000003</v>
      </c>
      <c r="D23" s="91">
        <v>1</v>
      </c>
      <c r="E23" s="91">
        <v>13.53</v>
      </c>
      <c r="F23" s="91">
        <v>0.05</v>
      </c>
      <c r="G23" s="91">
        <v>2.42</v>
      </c>
      <c r="H23" s="91">
        <v>15.95</v>
      </c>
    </row>
    <row r="24" spans="1:8" x14ac:dyDescent="0.25">
      <c r="A24" s="91" t="s">
        <v>193</v>
      </c>
      <c r="B24" s="91">
        <v>8.02</v>
      </c>
      <c r="C24" s="91">
        <v>1.3</v>
      </c>
      <c r="D24" s="91">
        <v>1</v>
      </c>
      <c r="E24" s="91">
        <v>10.43</v>
      </c>
      <c r="F24" s="91">
        <v>0.05</v>
      </c>
      <c r="G24" s="91">
        <v>0.4</v>
      </c>
      <c r="H24" s="91">
        <v>10.83</v>
      </c>
    </row>
    <row r="25" spans="1:8" x14ac:dyDescent="0.25">
      <c r="A25" s="91" t="s">
        <v>192</v>
      </c>
      <c r="B25" s="91">
        <v>531.08000000000004</v>
      </c>
      <c r="C25" s="91">
        <v>0</v>
      </c>
      <c r="D25" s="91">
        <v>0</v>
      </c>
      <c r="E25" s="91">
        <v>165.25</v>
      </c>
      <c r="F25" s="91">
        <v>0</v>
      </c>
      <c r="G25" s="91">
        <v>26.55</v>
      </c>
      <c r="H25" s="91">
        <v>191.81</v>
      </c>
    </row>
    <row r="26" spans="1:8" x14ac:dyDescent="0.25">
      <c r="A26" s="91" t="s">
        <v>191</v>
      </c>
      <c r="B26" s="91">
        <v>0</v>
      </c>
      <c r="C26" s="91">
        <v>0</v>
      </c>
      <c r="D26" s="91">
        <v>0</v>
      </c>
      <c r="E26" s="91">
        <v>0</v>
      </c>
      <c r="F26" s="91">
        <v>0</v>
      </c>
      <c r="G26" s="91">
        <v>0</v>
      </c>
      <c r="H26" s="91">
        <v>0.36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-0.249977111117893"/>
  </sheetPr>
  <dimension ref="A1:Q157"/>
  <sheetViews>
    <sheetView showGridLines="0" topLeftCell="A139" workbookViewId="0">
      <selection activeCell="A40" sqref="A40:XFD40"/>
    </sheetView>
  </sheetViews>
  <sheetFormatPr baseColWidth="10" defaultRowHeight="15" x14ac:dyDescent="0.25"/>
  <cols>
    <col min="1" max="1" width="102.140625" bestFit="1" customWidth="1"/>
    <col min="2" max="2" width="16.85546875" bestFit="1" customWidth="1"/>
    <col min="3" max="3" width="6.5703125" bestFit="1" customWidth="1"/>
    <col min="4" max="4" width="8.85546875" bestFit="1" customWidth="1"/>
    <col min="5" max="5" width="12.85546875" bestFit="1" customWidth="1"/>
    <col min="6" max="13" width="7.85546875" bestFit="1" customWidth="1"/>
    <col min="14" max="14" width="9.85546875" bestFit="1" customWidth="1"/>
    <col min="15" max="15" width="7.8554687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348</v>
      </c>
      <c r="B2" t="s">
        <v>347</v>
      </c>
      <c r="C2" t="s">
        <v>263</v>
      </c>
      <c r="D2" s="1">
        <v>6980.54</v>
      </c>
      <c r="E2" t="s">
        <v>263</v>
      </c>
      <c r="F2" s="1">
        <v>1516.87</v>
      </c>
      <c r="G2" s="1">
        <v>1243.8599999999999</v>
      </c>
      <c r="H2">
        <v>867.51</v>
      </c>
      <c r="I2">
        <v>200.53</v>
      </c>
      <c r="J2">
        <v>0</v>
      </c>
      <c r="K2">
        <v>0</v>
      </c>
      <c r="L2">
        <v>0</v>
      </c>
      <c r="M2">
        <v>0</v>
      </c>
      <c r="N2">
        <v>17.28</v>
      </c>
      <c r="O2">
        <v>411.13</v>
      </c>
      <c r="P2" s="1">
        <v>1133.8</v>
      </c>
      <c r="Q2" s="1">
        <v>1589.57</v>
      </c>
    </row>
    <row r="3" spans="1:17" x14ac:dyDescent="0.25">
      <c r="A3" t="s">
        <v>344</v>
      </c>
      <c r="D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346</v>
      </c>
      <c r="B4" t="s">
        <v>345</v>
      </c>
      <c r="C4" t="s">
        <v>263</v>
      </c>
      <c r="D4" s="1">
        <v>6980.54</v>
      </c>
      <c r="E4" t="s">
        <v>263</v>
      </c>
      <c r="F4" s="1">
        <v>1516.87</v>
      </c>
      <c r="G4" s="1">
        <v>1243.8599999999999</v>
      </c>
      <c r="H4">
        <v>867.51</v>
      </c>
      <c r="I4">
        <v>200.53</v>
      </c>
      <c r="J4">
        <v>0</v>
      </c>
      <c r="K4">
        <v>0</v>
      </c>
      <c r="L4">
        <v>0</v>
      </c>
      <c r="M4">
        <v>0</v>
      </c>
      <c r="N4">
        <v>17.28</v>
      </c>
      <c r="O4">
        <v>411.13</v>
      </c>
      <c r="P4" s="1">
        <v>1133.8</v>
      </c>
      <c r="Q4" s="1">
        <v>1589.57</v>
      </c>
    </row>
    <row r="5" spans="1:17" x14ac:dyDescent="0.25">
      <c r="A5" t="s">
        <v>338</v>
      </c>
      <c r="B5" t="s">
        <v>337</v>
      </c>
      <c r="C5" t="s">
        <v>263</v>
      </c>
      <c r="D5" s="1">
        <v>19353.599999999999</v>
      </c>
      <c r="E5" t="s">
        <v>263</v>
      </c>
      <c r="F5" s="1">
        <v>2972.16</v>
      </c>
      <c r="G5" s="1">
        <v>2557.34</v>
      </c>
      <c r="H5" s="1">
        <v>2393.0300000000002</v>
      </c>
      <c r="I5" s="1">
        <v>1643.12</v>
      </c>
      <c r="J5">
        <v>928.44</v>
      </c>
      <c r="K5">
        <v>507.08</v>
      </c>
      <c r="L5">
        <v>160.04</v>
      </c>
      <c r="M5">
        <v>223.75</v>
      </c>
      <c r="N5">
        <v>869.32</v>
      </c>
      <c r="O5" s="1">
        <v>1665.64</v>
      </c>
      <c r="P5" s="1">
        <v>2433.69</v>
      </c>
      <c r="Q5" s="1">
        <v>2999.99</v>
      </c>
    </row>
    <row r="6" spans="1:17" x14ac:dyDescent="0.25">
      <c r="A6" t="s">
        <v>336</v>
      </c>
      <c r="B6" t="s">
        <v>304</v>
      </c>
      <c r="C6" t="s">
        <v>263</v>
      </c>
      <c r="D6" s="1">
        <v>15900.84</v>
      </c>
      <c r="E6" t="s">
        <v>263</v>
      </c>
      <c r="F6" s="1">
        <v>2454.3000000000002</v>
      </c>
      <c r="G6" s="1">
        <v>2111.7800000000002</v>
      </c>
      <c r="H6" s="1">
        <v>1976.35</v>
      </c>
      <c r="I6" s="1">
        <v>1350.07</v>
      </c>
      <c r="J6">
        <v>762.12</v>
      </c>
      <c r="K6">
        <v>412.52</v>
      </c>
      <c r="L6">
        <v>129.16999999999999</v>
      </c>
      <c r="M6">
        <v>180.84</v>
      </c>
      <c r="N6">
        <v>712.54</v>
      </c>
      <c r="O6" s="1">
        <v>1356.32</v>
      </c>
      <c r="P6" s="1">
        <v>1987.61</v>
      </c>
      <c r="Q6" s="1">
        <v>2467.21</v>
      </c>
    </row>
    <row r="7" spans="1:17" x14ac:dyDescent="0.25">
      <c r="A7" t="s">
        <v>303</v>
      </c>
      <c r="B7" t="s">
        <v>302</v>
      </c>
      <c r="C7" t="s">
        <v>263</v>
      </c>
      <c r="D7" s="1">
        <v>12049.71</v>
      </c>
      <c r="E7" t="s">
        <v>263</v>
      </c>
      <c r="F7" s="1">
        <v>1859.87</v>
      </c>
      <c r="G7" s="1">
        <v>1600.31</v>
      </c>
      <c r="H7" s="1">
        <v>1497.69</v>
      </c>
      <c r="I7" s="1">
        <v>1023.09</v>
      </c>
      <c r="J7">
        <v>577.54</v>
      </c>
      <c r="K7">
        <v>312.61</v>
      </c>
      <c r="L7">
        <v>97.89</v>
      </c>
      <c r="M7">
        <v>137.04</v>
      </c>
      <c r="N7">
        <v>539.96</v>
      </c>
      <c r="O7" s="1">
        <v>1027.82</v>
      </c>
      <c r="P7" s="1">
        <v>1506.21</v>
      </c>
      <c r="Q7" s="1">
        <v>1869.66</v>
      </c>
    </row>
    <row r="8" spans="1:17" x14ac:dyDescent="0.25">
      <c r="A8" t="s">
        <v>301</v>
      </c>
      <c r="B8" t="s">
        <v>300</v>
      </c>
      <c r="C8" t="s">
        <v>263</v>
      </c>
      <c r="D8" s="1">
        <v>1140.82</v>
      </c>
      <c r="E8" t="s">
        <v>263</v>
      </c>
      <c r="F8">
        <v>176.09</v>
      </c>
      <c r="G8">
        <v>151.51</v>
      </c>
      <c r="H8">
        <v>141.80000000000001</v>
      </c>
      <c r="I8">
        <v>96.86</v>
      </c>
      <c r="J8">
        <v>54.68</v>
      </c>
      <c r="K8">
        <v>29.6</v>
      </c>
      <c r="L8">
        <v>9.27</v>
      </c>
      <c r="M8">
        <v>12.97</v>
      </c>
      <c r="N8">
        <v>51.12</v>
      </c>
      <c r="O8">
        <v>97.31</v>
      </c>
      <c r="P8">
        <v>142.6</v>
      </c>
      <c r="Q8">
        <v>177.01</v>
      </c>
    </row>
    <row r="9" spans="1:17" x14ac:dyDescent="0.25">
      <c r="A9" t="s">
        <v>299</v>
      </c>
      <c r="B9" t="s">
        <v>298</v>
      </c>
      <c r="C9" t="s">
        <v>263</v>
      </c>
      <c r="D9">
        <v>0</v>
      </c>
      <c r="E9" t="s">
        <v>263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25">
      <c r="A10" t="s">
        <v>297</v>
      </c>
      <c r="B10" t="s">
        <v>296</v>
      </c>
      <c r="C10" t="s">
        <v>263</v>
      </c>
      <c r="D10" s="1">
        <v>2710.31</v>
      </c>
      <c r="E10" t="s">
        <v>263</v>
      </c>
      <c r="F10">
        <v>418.34</v>
      </c>
      <c r="G10">
        <v>359.95</v>
      </c>
      <c r="H10">
        <v>336.87</v>
      </c>
      <c r="I10">
        <v>230.12</v>
      </c>
      <c r="J10">
        <v>129.9</v>
      </c>
      <c r="K10">
        <v>70.31</v>
      </c>
      <c r="L10">
        <v>22.02</v>
      </c>
      <c r="M10">
        <v>30.82</v>
      </c>
      <c r="N10">
        <v>121.45</v>
      </c>
      <c r="O10">
        <v>231.19</v>
      </c>
      <c r="P10">
        <v>338.79</v>
      </c>
      <c r="Q10">
        <v>420.54</v>
      </c>
    </row>
    <row r="11" spans="1:17" x14ac:dyDescent="0.25">
      <c r="A11" t="s">
        <v>335</v>
      </c>
      <c r="B11" t="s">
        <v>294</v>
      </c>
      <c r="C11" t="s">
        <v>263</v>
      </c>
      <c r="D11" s="1">
        <v>3273.23</v>
      </c>
      <c r="E11" t="s">
        <v>263</v>
      </c>
      <c r="F11">
        <v>479.08</v>
      </c>
      <c r="G11">
        <v>418.48</v>
      </c>
      <c r="H11">
        <v>408.64</v>
      </c>
      <c r="I11">
        <v>293.05</v>
      </c>
      <c r="J11">
        <v>166.32</v>
      </c>
      <c r="K11">
        <v>94.56</v>
      </c>
      <c r="L11">
        <v>30.87</v>
      </c>
      <c r="M11">
        <v>42.91</v>
      </c>
      <c r="N11">
        <v>156.1</v>
      </c>
      <c r="O11">
        <v>294.97000000000003</v>
      </c>
      <c r="P11">
        <v>407.49</v>
      </c>
      <c r="Q11">
        <v>480.77</v>
      </c>
    </row>
    <row r="12" spans="1:17" x14ac:dyDescent="0.25">
      <c r="A12" t="s">
        <v>334</v>
      </c>
      <c r="B12" t="s">
        <v>292</v>
      </c>
      <c r="C12" t="s">
        <v>263</v>
      </c>
      <c r="D12">
        <v>0</v>
      </c>
      <c r="E12" t="s">
        <v>263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 x14ac:dyDescent="0.25">
      <c r="A13" t="s">
        <v>333</v>
      </c>
      <c r="B13" t="s">
        <v>290</v>
      </c>
      <c r="C13" t="s">
        <v>263</v>
      </c>
      <c r="D13">
        <v>391.64</v>
      </c>
      <c r="E13" t="s">
        <v>263</v>
      </c>
      <c r="F13">
        <v>79.459999999999994</v>
      </c>
      <c r="G13">
        <v>66.599999999999994</v>
      </c>
      <c r="H13">
        <v>55.92</v>
      </c>
      <c r="I13">
        <v>26.4</v>
      </c>
      <c r="J13">
        <v>0</v>
      </c>
      <c r="K13">
        <v>0</v>
      </c>
      <c r="L13">
        <v>0</v>
      </c>
      <c r="M13">
        <v>0</v>
      </c>
      <c r="N13">
        <v>0</v>
      </c>
      <c r="O13">
        <v>25.37</v>
      </c>
      <c r="P13">
        <v>57.81</v>
      </c>
      <c r="Q13">
        <v>80.09</v>
      </c>
    </row>
    <row r="14" spans="1:17" x14ac:dyDescent="0.25">
      <c r="A14" t="s">
        <v>332</v>
      </c>
      <c r="B14" t="s">
        <v>288</v>
      </c>
      <c r="C14" t="s">
        <v>263</v>
      </c>
      <c r="D14" s="1">
        <v>1704.75</v>
      </c>
      <c r="E14" t="s">
        <v>263</v>
      </c>
      <c r="F14">
        <v>217.97</v>
      </c>
      <c r="G14">
        <v>195.59</v>
      </c>
      <c r="H14">
        <v>206.45</v>
      </c>
      <c r="I14">
        <v>166.72</v>
      </c>
      <c r="J14">
        <v>109.91</v>
      </c>
      <c r="K14">
        <v>64.03</v>
      </c>
      <c r="L14">
        <v>21.31</v>
      </c>
      <c r="M14">
        <v>29.52</v>
      </c>
      <c r="N14">
        <v>103.36</v>
      </c>
      <c r="O14">
        <v>169.22</v>
      </c>
      <c r="P14">
        <v>202.58</v>
      </c>
      <c r="Q14">
        <v>218.08</v>
      </c>
    </row>
    <row r="15" spans="1:17" x14ac:dyDescent="0.25">
      <c r="A15" t="s">
        <v>331</v>
      </c>
      <c r="B15" t="s">
        <v>286</v>
      </c>
      <c r="C15" t="s">
        <v>263</v>
      </c>
      <c r="D15" s="1">
        <v>1176.8399999999999</v>
      </c>
      <c r="E15" t="s">
        <v>263</v>
      </c>
      <c r="F15">
        <v>181.64</v>
      </c>
      <c r="G15">
        <v>156.29</v>
      </c>
      <c r="H15">
        <v>146.27000000000001</v>
      </c>
      <c r="I15">
        <v>99.92</v>
      </c>
      <c r="J15">
        <v>56.41</v>
      </c>
      <c r="K15">
        <v>30.53</v>
      </c>
      <c r="L15">
        <v>9.56</v>
      </c>
      <c r="M15">
        <v>13.38</v>
      </c>
      <c r="N15">
        <v>52.74</v>
      </c>
      <c r="O15">
        <v>100.38</v>
      </c>
      <c r="P15">
        <v>147.1</v>
      </c>
      <c r="Q15">
        <v>182.6</v>
      </c>
    </row>
    <row r="16" spans="1:17" x14ac:dyDescent="0.25">
      <c r="A16" t="s">
        <v>330</v>
      </c>
      <c r="B16" t="s">
        <v>329</v>
      </c>
      <c r="C16" t="s">
        <v>263</v>
      </c>
      <c r="D16">
        <v>0</v>
      </c>
      <c r="E16" t="s">
        <v>263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t="s">
        <v>328</v>
      </c>
      <c r="B17" t="s">
        <v>327</v>
      </c>
      <c r="C17" t="s">
        <v>263</v>
      </c>
      <c r="D17">
        <v>0</v>
      </c>
      <c r="E17" t="s">
        <v>263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25">
      <c r="A18" t="s">
        <v>326</v>
      </c>
      <c r="B18" t="s">
        <v>325</v>
      </c>
      <c r="C18" t="s">
        <v>263</v>
      </c>
      <c r="D18">
        <v>0</v>
      </c>
      <c r="E18" t="s">
        <v>263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25">
      <c r="A19" t="s">
        <v>324</v>
      </c>
      <c r="B19" t="s">
        <v>323</v>
      </c>
      <c r="C19" t="s">
        <v>263</v>
      </c>
      <c r="D19">
        <v>0</v>
      </c>
      <c r="E19" t="s">
        <v>263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x14ac:dyDescent="0.25">
      <c r="A20" t="s">
        <v>322</v>
      </c>
      <c r="B20" t="s">
        <v>321</v>
      </c>
      <c r="C20" t="s">
        <v>263</v>
      </c>
      <c r="D20">
        <v>0</v>
      </c>
      <c r="E20" t="s">
        <v>263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25">
      <c r="A21" t="s">
        <v>320</v>
      </c>
      <c r="B21" t="s">
        <v>319</v>
      </c>
      <c r="C21" t="s">
        <v>263</v>
      </c>
      <c r="D21">
        <v>0</v>
      </c>
      <c r="E21" t="s">
        <v>263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x14ac:dyDescent="0.25">
      <c r="A22" t="s">
        <v>318</v>
      </c>
      <c r="B22" t="s">
        <v>308</v>
      </c>
      <c r="C22" t="s">
        <v>263</v>
      </c>
      <c r="D22">
        <v>179.54</v>
      </c>
      <c r="E22" t="s">
        <v>263</v>
      </c>
      <c r="F22">
        <v>38.79</v>
      </c>
      <c r="G22">
        <v>27.08</v>
      </c>
      <c r="H22">
        <v>8.0399999999999991</v>
      </c>
      <c r="I22">
        <v>0</v>
      </c>
      <c r="J22">
        <v>0</v>
      </c>
      <c r="K22">
        <v>0</v>
      </c>
      <c r="L22">
        <v>0</v>
      </c>
      <c r="M22">
        <v>0</v>
      </c>
      <c r="N22">
        <v>0.69</v>
      </c>
      <c r="O22">
        <v>14.34</v>
      </c>
      <c r="P22">
        <v>38.590000000000003</v>
      </c>
      <c r="Q22">
        <v>52.01</v>
      </c>
    </row>
    <row r="23" spans="1:17" x14ac:dyDescent="0.25">
      <c r="A23" t="s">
        <v>317</v>
      </c>
      <c r="B23" t="s">
        <v>316</v>
      </c>
      <c r="C23" t="s">
        <v>263</v>
      </c>
      <c r="D23">
        <v>0</v>
      </c>
      <c r="E23" t="s">
        <v>263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 x14ac:dyDescent="0.25">
      <c r="A24" t="s">
        <v>315</v>
      </c>
      <c r="B24" t="s">
        <v>314</v>
      </c>
      <c r="C24" t="s">
        <v>263</v>
      </c>
      <c r="D24" s="1">
        <v>18376.63</v>
      </c>
      <c r="E24" t="s">
        <v>263</v>
      </c>
      <c r="F24" s="1">
        <v>1461.7</v>
      </c>
      <c r="G24" s="1">
        <v>1321.15</v>
      </c>
      <c r="H24" s="1">
        <v>1557.17</v>
      </c>
      <c r="I24" s="1">
        <v>1673.12</v>
      </c>
      <c r="J24" s="1">
        <v>1793.02</v>
      </c>
      <c r="K24" s="1">
        <v>1802.38</v>
      </c>
      <c r="L24" s="1">
        <v>1770.92</v>
      </c>
      <c r="M24" s="1">
        <v>1605.7</v>
      </c>
      <c r="N24" s="1">
        <v>1341.69</v>
      </c>
      <c r="O24" s="1">
        <v>1325.05</v>
      </c>
      <c r="P24" s="1">
        <v>1309.45</v>
      </c>
      <c r="Q24" s="1">
        <v>1415.29</v>
      </c>
    </row>
    <row r="25" spans="1:17" x14ac:dyDescent="0.25">
      <c r="A25" t="s">
        <v>313</v>
      </c>
      <c r="B25" t="s">
        <v>312</v>
      </c>
      <c r="C25" t="s">
        <v>263</v>
      </c>
      <c r="D25" s="1">
        <v>6355.36</v>
      </c>
      <c r="E25" t="s">
        <v>263</v>
      </c>
      <c r="F25">
        <v>148.58000000000001</v>
      </c>
      <c r="G25">
        <v>169.61</v>
      </c>
      <c r="H25">
        <v>426.1</v>
      </c>
      <c r="I25">
        <v>818.61</v>
      </c>
      <c r="J25">
        <v>958.64</v>
      </c>
      <c r="K25" s="1">
        <v>1006.47</v>
      </c>
      <c r="L25">
        <v>936.91</v>
      </c>
      <c r="M25">
        <v>773.7</v>
      </c>
      <c r="N25">
        <v>543.29</v>
      </c>
      <c r="O25">
        <v>352.26</v>
      </c>
      <c r="P25">
        <v>136.46</v>
      </c>
      <c r="Q25">
        <v>84.71</v>
      </c>
    </row>
    <row r="26" spans="1:17" x14ac:dyDescent="0.25">
      <c r="A26" t="s">
        <v>311</v>
      </c>
      <c r="B26" t="s">
        <v>310</v>
      </c>
      <c r="C26" t="s">
        <v>263</v>
      </c>
      <c r="D26" s="1">
        <v>5729.72</v>
      </c>
      <c r="E26" t="s">
        <v>263</v>
      </c>
      <c r="F26">
        <v>146.81</v>
      </c>
      <c r="G26">
        <v>169.02</v>
      </c>
      <c r="H26">
        <v>399.88</v>
      </c>
      <c r="I26">
        <v>724.5</v>
      </c>
      <c r="J26">
        <v>841.21</v>
      </c>
      <c r="K26">
        <v>878.45</v>
      </c>
      <c r="L26">
        <v>826.4</v>
      </c>
      <c r="M26">
        <v>689.02</v>
      </c>
      <c r="N26">
        <v>499.5</v>
      </c>
      <c r="O26">
        <v>333.74</v>
      </c>
      <c r="P26">
        <v>136.46</v>
      </c>
      <c r="Q26">
        <v>84.71</v>
      </c>
    </row>
    <row r="27" spans="1:17" x14ac:dyDescent="0.25">
      <c r="A27" t="s">
        <v>309</v>
      </c>
      <c r="B27" t="s">
        <v>308</v>
      </c>
      <c r="C27" t="s">
        <v>263</v>
      </c>
      <c r="D27">
        <v>625.64</v>
      </c>
      <c r="E27" t="s">
        <v>263</v>
      </c>
      <c r="F27">
        <v>1.76</v>
      </c>
      <c r="G27">
        <v>0.59</v>
      </c>
      <c r="H27">
        <v>26.22</v>
      </c>
      <c r="I27">
        <v>94.12</v>
      </c>
      <c r="J27">
        <v>117.43</v>
      </c>
      <c r="K27">
        <v>128.03</v>
      </c>
      <c r="L27">
        <v>110.51</v>
      </c>
      <c r="M27">
        <v>84.67</v>
      </c>
      <c r="N27">
        <v>43.79</v>
      </c>
      <c r="O27">
        <v>18.52</v>
      </c>
      <c r="P27">
        <v>0</v>
      </c>
      <c r="Q27">
        <v>0</v>
      </c>
    </row>
    <row r="28" spans="1:17" x14ac:dyDescent="0.25">
      <c r="A28" t="s">
        <v>307</v>
      </c>
      <c r="B28" t="s">
        <v>306</v>
      </c>
      <c r="C28" t="s">
        <v>263</v>
      </c>
      <c r="D28">
        <v>0</v>
      </c>
      <c r="E28" t="s">
        <v>263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x14ac:dyDescent="0.25">
      <c r="A29" t="s">
        <v>305</v>
      </c>
      <c r="B29" t="s">
        <v>304</v>
      </c>
      <c r="C29" t="s">
        <v>263</v>
      </c>
      <c r="D29">
        <v>0</v>
      </c>
      <c r="E29" t="s">
        <v>263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x14ac:dyDescent="0.25">
      <c r="A30" t="s">
        <v>303</v>
      </c>
      <c r="B30" t="s">
        <v>302</v>
      </c>
      <c r="C30" t="s">
        <v>263</v>
      </c>
      <c r="D30">
        <v>0</v>
      </c>
      <c r="E30" t="s">
        <v>263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x14ac:dyDescent="0.25">
      <c r="A31" t="s">
        <v>301</v>
      </c>
      <c r="B31" t="s">
        <v>300</v>
      </c>
      <c r="C31" t="s">
        <v>263</v>
      </c>
      <c r="D31">
        <v>0</v>
      </c>
      <c r="E31" t="s">
        <v>263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x14ac:dyDescent="0.25">
      <c r="A32" t="s">
        <v>299</v>
      </c>
      <c r="B32" t="s">
        <v>298</v>
      </c>
      <c r="C32" t="s">
        <v>263</v>
      </c>
      <c r="D32">
        <v>0</v>
      </c>
      <c r="E32" t="s">
        <v>263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x14ac:dyDescent="0.25">
      <c r="A33" t="s">
        <v>297</v>
      </c>
      <c r="B33" t="s">
        <v>296</v>
      </c>
      <c r="C33" t="s">
        <v>263</v>
      </c>
      <c r="D33">
        <v>0</v>
      </c>
      <c r="E33" t="s">
        <v>263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 x14ac:dyDescent="0.25">
      <c r="A34" t="s">
        <v>295</v>
      </c>
      <c r="B34" t="s">
        <v>294</v>
      </c>
      <c r="C34" t="s">
        <v>263</v>
      </c>
      <c r="D34">
        <v>96.29</v>
      </c>
      <c r="E34" t="s">
        <v>263</v>
      </c>
      <c r="F34">
        <v>0</v>
      </c>
      <c r="G34">
        <v>0</v>
      </c>
      <c r="H34">
        <v>0</v>
      </c>
      <c r="I34">
        <v>0</v>
      </c>
      <c r="J34">
        <v>3.9</v>
      </c>
      <c r="K34">
        <v>19.78</v>
      </c>
      <c r="L34">
        <v>35.08</v>
      </c>
      <c r="M34">
        <v>32.53</v>
      </c>
      <c r="N34">
        <v>5</v>
      </c>
      <c r="O34">
        <v>0</v>
      </c>
      <c r="P34">
        <v>0</v>
      </c>
      <c r="Q34">
        <v>0</v>
      </c>
    </row>
    <row r="35" spans="1:17" x14ac:dyDescent="0.25">
      <c r="A35" t="s">
        <v>293</v>
      </c>
      <c r="B35" t="s">
        <v>292</v>
      </c>
      <c r="C35" t="s">
        <v>263</v>
      </c>
      <c r="D35">
        <v>0</v>
      </c>
      <c r="E35" t="s">
        <v>263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 x14ac:dyDescent="0.25">
      <c r="A36" t="s">
        <v>291</v>
      </c>
      <c r="B36" t="s">
        <v>290</v>
      </c>
      <c r="C36" t="s">
        <v>263</v>
      </c>
      <c r="D36">
        <v>96.29</v>
      </c>
      <c r="E36" t="s">
        <v>263</v>
      </c>
      <c r="F36">
        <v>0</v>
      </c>
      <c r="G36">
        <v>0</v>
      </c>
      <c r="H36">
        <v>0</v>
      </c>
      <c r="I36">
        <v>0</v>
      </c>
      <c r="J36">
        <v>3.9</v>
      </c>
      <c r="K36">
        <v>19.78</v>
      </c>
      <c r="L36">
        <v>35.08</v>
      </c>
      <c r="M36">
        <v>32.53</v>
      </c>
      <c r="N36">
        <v>5</v>
      </c>
      <c r="O36">
        <v>0</v>
      </c>
      <c r="P36">
        <v>0</v>
      </c>
      <c r="Q36">
        <v>0</v>
      </c>
    </row>
    <row r="37" spans="1:17" x14ac:dyDescent="0.25">
      <c r="A37" t="s">
        <v>289</v>
      </c>
      <c r="B37" t="s">
        <v>288</v>
      </c>
      <c r="C37" t="s">
        <v>263</v>
      </c>
      <c r="D37">
        <v>0</v>
      </c>
      <c r="E37" t="s">
        <v>263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 x14ac:dyDescent="0.25">
      <c r="A38" t="s">
        <v>287</v>
      </c>
      <c r="B38" t="s">
        <v>286</v>
      </c>
      <c r="C38" t="s">
        <v>263</v>
      </c>
      <c r="D38">
        <v>0</v>
      </c>
      <c r="E38" t="s">
        <v>263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 x14ac:dyDescent="0.25">
      <c r="A39" t="s">
        <v>285</v>
      </c>
      <c r="B39" t="s">
        <v>284</v>
      </c>
      <c r="C39" t="s">
        <v>263</v>
      </c>
      <c r="D39" s="1">
        <v>11924.99</v>
      </c>
      <c r="E39" t="s">
        <v>263</v>
      </c>
      <c r="F39" s="1">
        <v>1313.12</v>
      </c>
      <c r="G39" s="1">
        <v>1151.54</v>
      </c>
      <c r="H39" s="1">
        <v>1131.06</v>
      </c>
      <c r="I39">
        <v>854.51</v>
      </c>
      <c r="J39">
        <v>830.48</v>
      </c>
      <c r="K39">
        <v>776.13</v>
      </c>
      <c r="L39">
        <v>798.94</v>
      </c>
      <c r="M39">
        <v>799.47</v>
      </c>
      <c r="N39">
        <v>793.4</v>
      </c>
      <c r="O39">
        <v>972.79</v>
      </c>
      <c r="P39" s="1">
        <v>1172.99</v>
      </c>
      <c r="Q39" s="1">
        <v>1330.58</v>
      </c>
    </row>
    <row r="40" spans="1:17" x14ac:dyDescent="0.25">
      <c r="A40" t="s">
        <v>283</v>
      </c>
      <c r="B40" t="s">
        <v>282</v>
      </c>
      <c r="C40" t="s">
        <v>263</v>
      </c>
      <c r="D40" s="1">
        <v>7067.3</v>
      </c>
      <c r="E40" t="s">
        <v>263</v>
      </c>
      <c r="F40">
        <v>900.55</v>
      </c>
      <c r="G40">
        <v>778.89</v>
      </c>
      <c r="H40">
        <v>718.49</v>
      </c>
      <c r="I40">
        <v>455.24</v>
      </c>
      <c r="J40">
        <v>417.91</v>
      </c>
      <c r="K40">
        <v>376.87</v>
      </c>
      <c r="L40">
        <v>386.36</v>
      </c>
      <c r="M40">
        <v>386.9</v>
      </c>
      <c r="N40">
        <v>394.14</v>
      </c>
      <c r="O40">
        <v>560.22</v>
      </c>
      <c r="P40">
        <v>773.72</v>
      </c>
      <c r="Q40">
        <v>918.01</v>
      </c>
    </row>
    <row r="41" spans="1:17" x14ac:dyDescent="0.25">
      <c r="A41" t="s">
        <v>281</v>
      </c>
      <c r="B41" t="s">
        <v>280</v>
      </c>
      <c r="C41" t="s">
        <v>263</v>
      </c>
      <c r="D41" s="1">
        <v>4151.83</v>
      </c>
      <c r="E41" t="s">
        <v>263</v>
      </c>
      <c r="F41">
        <v>331.26</v>
      </c>
      <c r="G41">
        <v>298.17</v>
      </c>
      <c r="H41">
        <v>326.43</v>
      </c>
      <c r="I41">
        <v>309.88</v>
      </c>
      <c r="J41">
        <v>392.89</v>
      </c>
      <c r="K41">
        <v>376.87</v>
      </c>
      <c r="L41">
        <v>386.36</v>
      </c>
      <c r="M41">
        <v>386.9</v>
      </c>
      <c r="N41">
        <v>373.2</v>
      </c>
      <c r="O41">
        <v>321.07</v>
      </c>
      <c r="P41">
        <v>317.11</v>
      </c>
      <c r="Q41">
        <v>331.69</v>
      </c>
    </row>
    <row r="42" spans="1:17" x14ac:dyDescent="0.25">
      <c r="A42" t="s">
        <v>279</v>
      </c>
      <c r="B42" t="s">
        <v>278</v>
      </c>
      <c r="C42" t="s">
        <v>263</v>
      </c>
      <c r="D42" s="1">
        <v>2915.47</v>
      </c>
      <c r="E42" t="s">
        <v>263</v>
      </c>
      <c r="F42">
        <v>569.29</v>
      </c>
      <c r="G42">
        <v>480.73</v>
      </c>
      <c r="H42">
        <v>392.07</v>
      </c>
      <c r="I42">
        <v>145.36000000000001</v>
      </c>
      <c r="J42">
        <v>25.02</v>
      </c>
      <c r="K42">
        <v>0</v>
      </c>
      <c r="L42">
        <v>0</v>
      </c>
      <c r="M42">
        <v>0</v>
      </c>
      <c r="N42">
        <v>20.94</v>
      </c>
      <c r="O42">
        <v>239.14</v>
      </c>
      <c r="P42">
        <v>456.61</v>
      </c>
      <c r="Q42">
        <v>586.30999999999995</v>
      </c>
    </row>
    <row r="43" spans="1:17" x14ac:dyDescent="0.25">
      <c r="A43" t="s">
        <v>277</v>
      </c>
      <c r="B43" t="s">
        <v>276</v>
      </c>
      <c r="C43" t="s">
        <v>263</v>
      </c>
      <c r="D43">
        <v>0</v>
      </c>
      <c r="E43" t="s">
        <v>263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 x14ac:dyDescent="0.25">
      <c r="A44" t="s">
        <v>275</v>
      </c>
      <c r="B44" t="s">
        <v>274</v>
      </c>
      <c r="C44" t="s">
        <v>263</v>
      </c>
      <c r="D44">
        <v>0</v>
      </c>
      <c r="E44" t="s">
        <v>263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 x14ac:dyDescent="0.25">
      <c r="A45" t="s">
        <v>273</v>
      </c>
      <c r="B45" t="s">
        <v>272</v>
      </c>
      <c r="C45" t="s">
        <v>263</v>
      </c>
      <c r="D45">
        <v>0</v>
      </c>
      <c r="E45" t="s">
        <v>263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 x14ac:dyDescent="0.25">
      <c r="A46" t="s">
        <v>271</v>
      </c>
      <c r="B46" t="s">
        <v>270</v>
      </c>
      <c r="C46" t="s">
        <v>263</v>
      </c>
      <c r="D46" s="1">
        <v>4857.6899999999996</v>
      </c>
      <c r="E46" t="s">
        <v>263</v>
      </c>
      <c r="F46">
        <v>412.57</v>
      </c>
      <c r="G46">
        <v>372.65</v>
      </c>
      <c r="H46">
        <v>412.57</v>
      </c>
      <c r="I46">
        <v>399.26</v>
      </c>
      <c r="J46">
        <v>412.57</v>
      </c>
      <c r="K46">
        <v>399.26</v>
      </c>
      <c r="L46">
        <v>412.57</v>
      </c>
      <c r="M46">
        <v>412.57</v>
      </c>
      <c r="N46">
        <v>399.26</v>
      </c>
      <c r="O46">
        <v>412.57</v>
      </c>
      <c r="P46">
        <v>399.26</v>
      </c>
      <c r="Q46">
        <v>412.57</v>
      </c>
    </row>
    <row r="47" spans="1:17" x14ac:dyDescent="0.25">
      <c r="A47" t="s">
        <v>269</v>
      </c>
      <c r="B47" t="s">
        <v>268</v>
      </c>
      <c r="C47" t="s">
        <v>263</v>
      </c>
      <c r="D47">
        <v>0</v>
      </c>
      <c r="E47" t="s">
        <v>263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:17" x14ac:dyDescent="0.25">
      <c r="A48" t="s">
        <v>267</v>
      </c>
      <c r="B48" t="s">
        <v>266</v>
      </c>
      <c r="C48" t="s">
        <v>263</v>
      </c>
      <c r="D48">
        <v>0</v>
      </c>
      <c r="E48" t="s">
        <v>263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 x14ac:dyDescent="0.25">
      <c r="A49" t="s">
        <v>265</v>
      </c>
      <c r="B49" t="s">
        <v>264</v>
      </c>
      <c r="C49" t="s">
        <v>263</v>
      </c>
      <c r="D49">
        <v>0</v>
      </c>
      <c r="E49" t="s">
        <v>263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 x14ac:dyDescent="0.25">
      <c r="A50" t="s">
        <v>262</v>
      </c>
      <c r="B50" t="s">
        <v>261</v>
      </c>
      <c r="C50" t="s">
        <v>30</v>
      </c>
      <c r="D50">
        <v>0</v>
      </c>
      <c r="E50" t="s">
        <v>30</v>
      </c>
      <c r="F50">
        <v>1</v>
      </c>
      <c r="G50">
        <v>0.99</v>
      </c>
      <c r="H50">
        <v>0.98</v>
      </c>
      <c r="I50">
        <v>0.86</v>
      </c>
      <c r="J50">
        <v>0.52</v>
      </c>
      <c r="K50">
        <v>0.28000000000000003</v>
      </c>
      <c r="L50">
        <v>0.09</v>
      </c>
      <c r="M50">
        <v>0.14000000000000001</v>
      </c>
      <c r="N50">
        <v>0.64</v>
      </c>
      <c r="O50">
        <v>0.95</v>
      </c>
      <c r="P50">
        <v>0.99</v>
      </c>
      <c r="Q50">
        <v>1</v>
      </c>
    </row>
    <row r="51" spans="1:17" x14ac:dyDescent="0.25">
      <c r="A51" t="s">
        <v>260</v>
      </c>
      <c r="B51" t="s">
        <v>259</v>
      </c>
      <c r="C51" t="s">
        <v>258</v>
      </c>
      <c r="D51">
        <v>0</v>
      </c>
      <c r="E51" t="s">
        <v>258</v>
      </c>
      <c r="F51">
        <v>91.29</v>
      </c>
      <c r="G51">
        <v>91.29</v>
      </c>
      <c r="H51">
        <v>91.29</v>
      </c>
      <c r="I51">
        <v>91.29</v>
      </c>
      <c r="J51">
        <v>91.29</v>
      </c>
      <c r="K51">
        <v>91.29</v>
      </c>
      <c r="L51">
        <v>91.29</v>
      </c>
      <c r="M51">
        <v>91.29</v>
      </c>
      <c r="N51">
        <v>91.29</v>
      </c>
      <c r="O51">
        <v>91.29</v>
      </c>
      <c r="P51">
        <v>91.29</v>
      </c>
      <c r="Q51">
        <v>91.29</v>
      </c>
    </row>
    <row r="52" spans="1:17" x14ac:dyDescent="0.25">
      <c r="A52" t="s">
        <v>257</v>
      </c>
      <c r="B52" t="s">
        <v>256</v>
      </c>
      <c r="C52" t="s">
        <v>19</v>
      </c>
      <c r="D52">
        <v>0</v>
      </c>
      <c r="E52" t="s">
        <v>19</v>
      </c>
      <c r="F52">
        <v>301.89</v>
      </c>
      <c r="G52">
        <v>302.60000000000002</v>
      </c>
      <c r="H52">
        <v>304.83</v>
      </c>
      <c r="I52">
        <v>308.41000000000003</v>
      </c>
      <c r="J52">
        <v>312.31</v>
      </c>
      <c r="K52">
        <v>314.38</v>
      </c>
      <c r="L52">
        <v>316.20999999999998</v>
      </c>
      <c r="M52">
        <v>315.89</v>
      </c>
      <c r="N52">
        <v>312.47000000000003</v>
      </c>
      <c r="O52">
        <v>308.64999999999998</v>
      </c>
      <c r="P52">
        <v>304.35000000000002</v>
      </c>
      <c r="Q52">
        <v>301.81</v>
      </c>
    </row>
    <row r="53" spans="1:17" x14ac:dyDescent="0.25">
      <c r="A53" t="s">
        <v>17</v>
      </c>
      <c r="B53" t="s">
        <v>18</v>
      </c>
      <c r="C53" t="s">
        <v>19</v>
      </c>
      <c r="D53">
        <v>0</v>
      </c>
      <c r="E53" t="s">
        <v>19</v>
      </c>
      <c r="F53">
        <v>100.25</v>
      </c>
      <c r="G53">
        <v>100.97</v>
      </c>
      <c r="H53">
        <v>103.2</v>
      </c>
      <c r="I53">
        <v>106.78</v>
      </c>
      <c r="J53">
        <v>110.68</v>
      </c>
      <c r="K53">
        <v>112.75</v>
      </c>
      <c r="L53">
        <v>114.58</v>
      </c>
      <c r="M53">
        <v>114.26</v>
      </c>
      <c r="N53">
        <v>110.84</v>
      </c>
      <c r="O53">
        <v>107.02</v>
      </c>
      <c r="P53">
        <v>102.72</v>
      </c>
      <c r="Q53">
        <v>100.17</v>
      </c>
    </row>
    <row r="54" spans="1:17" x14ac:dyDescent="0.25">
      <c r="A54" t="s">
        <v>20</v>
      </c>
      <c r="B54" t="s">
        <v>21</v>
      </c>
      <c r="C54" t="s">
        <v>19</v>
      </c>
      <c r="D54">
        <v>0</v>
      </c>
      <c r="E54" t="s">
        <v>19</v>
      </c>
      <c r="F54">
        <v>13.92</v>
      </c>
      <c r="G54">
        <v>13.92</v>
      </c>
      <c r="H54">
        <v>13.92</v>
      </c>
      <c r="I54">
        <v>13.92</v>
      </c>
      <c r="J54">
        <v>13.92</v>
      </c>
      <c r="K54">
        <v>13.92</v>
      </c>
      <c r="L54">
        <v>13.92</v>
      </c>
      <c r="M54">
        <v>13.92</v>
      </c>
      <c r="N54">
        <v>13.92</v>
      </c>
      <c r="O54">
        <v>13.92</v>
      </c>
      <c r="P54">
        <v>13.92</v>
      </c>
      <c r="Q54">
        <v>13.92</v>
      </c>
    </row>
    <row r="55" spans="1:17" x14ac:dyDescent="0.25">
      <c r="A55" t="s">
        <v>22</v>
      </c>
      <c r="B55" t="s">
        <v>23</v>
      </c>
      <c r="C55" t="s">
        <v>24</v>
      </c>
      <c r="D55">
        <v>0</v>
      </c>
      <c r="E55" t="s">
        <v>24</v>
      </c>
      <c r="F55">
        <v>7.0000000000000007E-2</v>
      </c>
      <c r="G55">
        <v>7.0000000000000007E-2</v>
      </c>
      <c r="H55">
        <v>7.0000000000000007E-2</v>
      </c>
      <c r="I55">
        <v>7.0000000000000007E-2</v>
      </c>
      <c r="J55">
        <v>7.0000000000000007E-2</v>
      </c>
      <c r="K55">
        <v>7.0000000000000007E-2</v>
      </c>
      <c r="L55">
        <v>7.0000000000000007E-2</v>
      </c>
      <c r="M55">
        <v>7.0000000000000007E-2</v>
      </c>
      <c r="N55">
        <v>7.0000000000000007E-2</v>
      </c>
      <c r="O55">
        <v>7.0000000000000007E-2</v>
      </c>
      <c r="P55">
        <v>7.0000000000000007E-2</v>
      </c>
      <c r="Q55">
        <v>7.0000000000000007E-2</v>
      </c>
    </row>
    <row r="56" spans="1:17" x14ac:dyDescent="0.25">
      <c r="A56" t="s">
        <v>33</v>
      </c>
      <c r="B56" t="s">
        <v>34</v>
      </c>
      <c r="C56" t="s">
        <v>19</v>
      </c>
      <c r="D56">
        <v>0</v>
      </c>
      <c r="E56" t="s">
        <v>19</v>
      </c>
      <c r="F56">
        <v>16.71</v>
      </c>
      <c r="G56">
        <v>17.43</v>
      </c>
      <c r="H56">
        <v>19.649999999999999</v>
      </c>
      <c r="I56">
        <v>23.23</v>
      </c>
      <c r="J56">
        <v>27.13</v>
      </c>
      <c r="K56">
        <v>29.2</v>
      </c>
      <c r="L56">
        <v>31.03</v>
      </c>
      <c r="M56">
        <v>30.71</v>
      </c>
      <c r="N56">
        <v>27.29</v>
      </c>
      <c r="O56">
        <v>23.47</v>
      </c>
      <c r="P56">
        <v>19.18</v>
      </c>
      <c r="Q56">
        <v>16.63</v>
      </c>
    </row>
    <row r="57" spans="1:17" x14ac:dyDescent="0.25">
      <c r="A57" t="s">
        <v>35</v>
      </c>
      <c r="B57" t="s">
        <v>36</v>
      </c>
      <c r="C57" t="s">
        <v>24</v>
      </c>
      <c r="D57">
        <v>0</v>
      </c>
      <c r="E57" t="s">
        <v>24</v>
      </c>
      <c r="F57">
        <v>0.08</v>
      </c>
      <c r="G57">
        <v>0.09</v>
      </c>
      <c r="H57">
        <v>0.1</v>
      </c>
      <c r="I57">
        <v>0.12</v>
      </c>
      <c r="J57">
        <v>0.14000000000000001</v>
      </c>
      <c r="K57">
        <v>0.15</v>
      </c>
      <c r="L57">
        <v>0.16</v>
      </c>
      <c r="M57">
        <v>0.15</v>
      </c>
      <c r="N57">
        <v>0.14000000000000001</v>
      </c>
      <c r="O57">
        <v>0.12</v>
      </c>
      <c r="P57">
        <v>0.1</v>
      </c>
      <c r="Q57">
        <v>0.08</v>
      </c>
    </row>
    <row r="58" spans="1:17" x14ac:dyDescent="0.25">
      <c r="A58" t="s">
        <v>41</v>
      </c>
      <c r="B58" t="s">
        <v>42</v>
      </c>
      <c r="C58" t="s">
        <v>19</v>
      </c>
      <c r="D58">
        <v>0</v>
      </c>
      <c r="E58" t="s">
        <v>19</v>
      </c>
      <c r="F58">
        <v>69.62</v>
      </c>
      <c r="G58">
        <v>69.62</v>
      </c>
      <c r="H58">
        <v>69.62</v>
      </c>
      <c r="I58">
        <v>69.62</v>
      </c>
      <c r="J58">
        <v>69.62</v>
      </c>
      <c r="K58">
        <v>69.62</v>
      </c>
      <c r="L58">
        <v>69.62</v>
      </c>
      <c r="M58">
        <v>69.62</v>
      </c>
      <c r="N58">
        <v>69.62</v>
      </c>
      <c r="O58">
        <v>69.62</v>
      </c>
      <c r="P58">
        <v>69.62</v>
      </c>
      <c r="Q58">
        <v>69.62</v>
      </c>
    </row>
    <row r="59" spans="1:17" x14ac:dyDescent="0.25">
      <c r="A59" t="s">
        <v>43</v>
      </c>
      <c r="B59" t="s">
        <v>44</v>
      </c>
      <c r="C59" t="s">
        <v>24</v>
      </c>
      <c r="D59">
        <v>0</v>
      </c>
      <c r="E59" t="s">
        <v>24</v>
      </c>
      <c r="F59">
        <v>0.35</v>
      </c>
      <c r="G59">
        <v>0.35</v>
      </c>
      <c r="H59">
        <v>0.35</v>
      </c>
      <c r="I59">
        <v>0.35</v>
      </c>
      <c r="J59">
        <v>0.35</v>
      </c>
      <c r="K59">
        <v>0.35</v>
      </c>
      <c r="L59">
        <v>0.35</v>
      </c>
      <c r="M59">
        <v>0.35</v>
      </c>
      <c r="N59">
        <v>0.35</v>
      </c>
      <c r="O59">
        <v>0.35</v>
      </c>
      <c r="P59">
        <v>0.35</v>
      </c>
      <c r="Q59">
        <v>0.35</v>
      </c>
    </row>
    <row r="60" spans="1:17" x14ac:dyDescent="0.25">
      <c r="A60" t="s">
        <v>49</v>
      </c>
      <c r="B60" t="s">
        <v>50</v>
      </c>
      <c r="C60" t="s">
        <v>19</v>
      </c>
      <c r="D60">
        <v>835.45</v>
      </c>
      <c r="E60" t="s">
        <v>19</v>
      </c>
      <c r="F60">
        <v>69.62</v>
      </c>
      <c r="G60">
        <v>69.62</v>
      </c>
      <c r="H60">
        <v>69.62</v>
      </c>
      <c r="I60">
        <v>69.62</v>
      </c>
      <c r="J60">
        <v>69.62</v>
      </c>
      <c r="K60">
        <v>69.62</v>
      </c>
      <c r="L60">
        <v>69.62</v>
      </c>
      <c r="M60">
        <v>69.62</v>
      </c>
      <c r="N60">
        <v>69.62</v>
      </c>
      <c r="O60">
        <v>69.62</v>
      </c>
      <c r="P60">
        <v>69.62</v>
      </c>
      <c r="Q60">
        <v>69.62</v>
      </c>
    </row>
    <row r="61" spans="1:17" x14ac:dyDescent="0.25">
      <c r="A61" t="s">
        <v>51</v>
      </c>
      <c r="B61" t="s">
        <v>52</v>
      </c>
      <c r="C61" t="s">
        <v>19</v>
      </c>
      <c r="D61">
        <v>0</v>
      </c>
      <c r="E61" t="s">
        <v>19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 x14ac:dyDescent="0.25">
      <c r="A62" t="s">
        <v>255</v>
      </c>
      <c r="B62" t="s">
        <v>254</v>
      </c>
      <c r="C62" t="s">
        <v>19</v>
      </c>
      <c r="D62">
        <v>0</v>
      </c>
      <c r="E62" t="s">
        <v>19</v>
      </c>
      <c r="F62">
        <v>201.63</v>
      </c>
      <c r="G62">
        <v>201.63</v>
      </c>
      <c r="H62">
        <v>201.63</v>
      </c>
      <c r="I62">
        <v>201.63</v>
      </c>
      <c r="J62">
        <v>201.63</v>
      </c>
      <c r="K62">
        <v>201.63</v>
      </c>
      <c r="L62">
        <v>201.63</v>
      </c>
      <c r="M62">
        <v>201.63</v>
      </c>
      <c r="N62">
        <v>201.63</v>
      </c>
      <c r="O62">
        <v>201.63</v>
      </c>
      <c r="P62">
        <v>201.63</v>
      </c>
      <c r="Q62">
        <v>201.63</v>
      </c>
    </row>
    <row r="63" spans="1:17" x14ac:dyDescent="0.25">
      <c r="A63" t="s">
        <v>253</v>
      </c>
      <c r="B63" t="s">
        <v>252</v>
      </c>
      <c r="C63" t="s">
        <v>19</v>
      </c>
      <c r="D63">
        <v>0</v>
      </c>
      <c r="E63" t="s">
        <v>19</v>
      </c>
      <c r="F63">
        <v>142.57</v>
      </c>
      <c r="G63">
        <v>142.57</v>
      </c>
      <c r="H63">
        <v>142.57</v>
      </c>
      <c r="I63">
        <v>142.57</v>
      </c>
      <c r="J63">
        <v>142.57</v>
      </c>
      <c r="K63">
        <v>142.57</v>
      </c>
      <c r="L63">
        <v>142.57</v>
      </c>
      <c r="M63">
        <v>142.57</v>
      </c>
      <c r="N63">
        <v>142.57</v>
      </c>
      <c r="O63">
        <v>142.57</v>
      </c>
      <c r="P63">
        <v>142.57</v>
      </c>
      <c r="Q63">
        <v>142.57</v>
      </c>
    </row>
    <row r="64" spans="1:17" x14ac:dyDescent="0.25">
      <c r="A64" t="s">
        <v>251</v>
      </c>
      <c r="B64" t="s">
        <v>250</v>
      </c>
      <c r="C64" t="s">
        <v>19</v>
      </c>
      <c r="D64">
        <v>0</v>
      </c>
      <c r="E64" t="s">
        <v>19</v>
      </c>
      <c r="F64">
        <v>27</v>
      </c>
      <c r="G64">
        <v>27</v>
      </c>
      <c r="H64">
        <v>27</v>
      </c>
      <c r="I64">
        <v>27</v>
      </c>
      <c r="J64">
        <v>27</v>
      </c>
      <c r="K64">
        <v>27</v>
      </c>
      <c r="L64">
        <v>27</v>
      </c>
      <c r="M64">
        <v>27</v>
      </c>
      <c r="N64">
        <v>27</v>
      </c>
      <c r="O64">
        <v>27</v>
      </c>
      <c r="P64">
        <v>27</v>
      </c>
      <c r="Q64">
        <v>27</v>
      </c>
    </row>
    <row r="65" spans="1:17" x14ac:dyDescent="0.25">
      <c r="A65" t="s">
        <v>249</v>
      </c>
      <c r="B65" t="s">
        <v>248</v>
      </c>
      <c r="C65" t="s">
        <v>19</v>
      </c>
      <c r="D65">
        <v>0</v>
      </c>
      <c r="E65" t="s">
        <v>19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 x14ac:dyDescent="0.25">
      <c r="A66" t="s">
        <v>247</v>
      </c>
      <c r="B66" t="s">
        <v>246</v>
      </c>
      <c r="C66" t="s">
        <v>19</v>
      </c>
      <c r="D66">
        <v>0</v>
      </c>
      <c r="E66" t="s">
        <v>19</v>
      </c>
      <c r="F66">
        <v>32.07</v>
      </c>
      <c r="G66">
        <v>32.07</v>
      </c>
      <c r="H66">
        <v>32.07</v>
      </c>
      <c r="I66">
        <v>32.07</v>
      </c>
      <c r="J66">
        <v>32.07</v>
      </c>
      <c r="K66">
        <v>32.07</v>
      </c>
      <c r="L66">
        <v>32.07</v>
      </c>
      <c r="M66">
        <v>32.07</v>
      </c>
      <c r="N66">
        <v>32.07</v>
      </c>
      <c r="O66">
        <v>32.07</v>
      </c>
      <c r="P66">
        <v>32.07</v>
      </c>
      <c r="Q66">
        <v>32.07</v>
      </c>
    </row>
    <row r="67" spans="1:17" x14ac:dyDescent="0.25">
      <c r="A67" t="s">
        <v>344</v>
      </c>
      <c r="B67" t="s">
        <v>343</v>
      </c>
      <c r="C67" t="s">
        <v>243</v>
      </c>
      <c r="D67">
        <v>365</v>
      </c>
      <c r="E67" t="s">
        <v>242</v>
      </c>
      <c r="F67">
        <v>31</v>
      </c>
      <c r="G67">
        <v>28</v>
      </c>
      <c r="H67">
        <v>31</v>
      </c>
      <c r="I67">
        <v>30</v>
      </c>
      <c r="J67">
        <v>31</v>
      </c>
      <c r="K67">
        <v>30</v>
      </c>
      <c r="L67">
        <v>31</v>
      </c>
      <c r="M67">
        <v>31</v>
      </c>
      <c r="N67">
        <v>30</v>
      </c>
      <c r="O67">
        <v>31</v>
      </c>
      <c r="P67">
        <v>30</v>
      </c>
      <c r="Q67">
        <v>31</v>
      </c>
    </row>
    <row r="68" spans="1:17" x14ac:dyDescent="0.25">
      <c r="A68" t="s">
        <v>241</v>
      </c>
      <c r="B68" t="s">
        <v>240</v>
      </c>
      <c r="C68" t="s">
        <v>239</v>
      </c>
      <c r="D68">
        <v>0</v>
      </c>
      <c r="E68" t="s">
        <v>239</v>
      </c>
      <c r="F68">
        <v>18.53</v>
      </c>
      <c r="G68">
        <v>18.600000000000001</v>
      </c>
      <c r="H68">
        <v>18.82</v>
      </c>
      <c r="I68">
        <v>19.170000000000002</v>
      </c>
      <c r="J68">
        <v>19.54</v>
      </c>
      <c r="K68">
        <v>19.75</v>
      </c>
      <c r="L68">
        <v>19.920000000000002</v>
      </c>
      <c r="M68">
        <v>19.89</v>
      </c>
      <c r="N68">
        <v>19.559999999999999</v>
      </c>
      <c r="O68">
        <v>19.190000000000001</v>
      </c>
      <c r="P68">
        <v>18.77</v>
      </c>
      <c r="Q68">
        <v>18.53</v>
      </c>
    </row>
    <row r="69" spans="1:17" x14ac:dyDescent="0.25">
      <c r="A69" t="s">
        <v>342</v>
      </c>
      <c r="B69" t="s">
        <v>341</v>
      </c>
      <c r="C69" t="s">
        <v>236</v>
      </c>
      <c r="D69" s="1">
        <v>4942.78</v>
      </c>
      <c r="E69" t="s">
        <v>235</v>
      </c>
      <c r="F69">
        <v>744</v>
      </c>
      <c r="G69">
        <v>672</v>
      </c>
      <c r="H69">
        <v>744</v>
      </c>
      <c r="I69">
        <v>529.01</v>
      </c>
      <c r="J69">
        <v>0</v>
      </c>
      <c r="K69">
        <v>0</v>
      </c>
      <c r="L69">
        <v>0</v>
      </c>
      <c r="M69">
        <v>0</v>
      </c>
      <c r="N69">
        <v>45.77</v>
      </c>
      <c r="O69">
        <v>744</v>
      </c>
      <c r="P69">
        <v>720</v>
      </c>
      <c r="Q69">
        <v>744</v>
      </c>
    </row>
    <row r="70" spans="1:17" x14ac:dyDescent="0.25">
      <c r="A70" t="s">
        <v>245</v>
      </c>
      <c r="D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 x14ac:dyDescent="0.25">
      <c r="A71" t="s">
        <v>340</v>
      </c>
      <c r="B71" t="s">
        <v>339</v>
      </c>
      <c r="C71" t="s">
        <v>263</v>
      </c>
      <c r="D71">
        <v>0</v>
      </c>
      <c r="E71" t="s">
        <v>263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</row>
    <row r="72" spans="1:17" x14ac:dyDescent="0.25">
      <c r="A72" t="s">
        <v>338</v>
      </c>
      <c r="B72" t="s">
        <v>337</v>
      </c>
      <c r="C72" t="s">
        <v>263</v>
      </c>
      <c r="D72">
        <v>0</v>
      </c>
      <c r="E72" t="s">
        <v>263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</row>
    <row r="73" spans="1:17" x14ac:dyDescent="0.25">
      <c r="A73" t="s">
        <v>336</v>
      </c>
      <c r="B73" t="s">
        <v>304</v>
      </c>
      <c r="C73" t="s">
        <v>263</v>
      </c>
      <c r="D73">
        <v>0</v>
      </c>
      <c r="E73" t="s">
        <v>263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 x14ac:dyDescent="0.25">
      <c r="A74" t="s">
        <v>303</v>
      </c>
      <c r="B74" t="s">
        <v>302</v>
      </c>
      <c r="C74" t="s">
        <v>263</v>
      </c>
      <c r="D74">
        <v>0</v>
      </c>
      <c r="E74" t="s">
        <v>263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 x14ac:dyDescent="0.25">
      <c r="A75" t="s">
        <v>301</v>
      </c>
      <c r="B75" t="s">
        <v>300</v>
      </c>
      <c r="C75" t="s">
        <v>263</v>
      </c>
      <c r="D75">
        <v>0</v>
      </c>
      <c r="E75" t="s">
        <v>263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 x14ac:dyDescent="0.25">
      <c r="A76" t="s">
        <v>299</v>
      </c>
      <c r="B76" t="s">
        <v>298</v>
      </c>
      <c r="C76" t="s">
        <v>263</v>
      </c>
      <c r="D76">
        <v>0</v>
      </c>
      <c r="E76" t="s">
        <v>263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 x14ac:dyDescent="0.25">
      <c r="A77" t="s">
        <v>297</v>
      </c>
      <c r="B77" t="s">
        <v>296</v>
      </c>
      <c r="C77" t="s">
        <v>263</v>
      </c>
      <c r="D77">
        <v>0</v>
      </c>
      <c r="E77" t="s">
        <v>263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 x14ac:dyDescent="0.25">
      <c r="A78" t="s">
        <v>335</v>
      </c>
      <c r="B78" t="s">
        <v>294</v>
      </c>
      <c r="C78" t="s">
        <v>263</v>
      </c>
      <c r="D78">
        <v>0</v>
      </c>
      <c r="E78" t="s">
        <v>263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 x14ac:dyDescent="0.25">
      <c r="A79" t="s">
        <v>334</v>
      </c>
      <c r="B79" t="s">
        <v>292</v>
      </c>
      <c r="C79" t="s">
        <v>263</v>
      </c>
      <c r="D79">
        <v>0</v>
      </c>
      <c r="E79" t="s">
        <v>263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 x14ac:dyDescent="0.25">
      <c r="A80" t="s">
        <v>333</v>
      </c>
      <c r="B80" t="s">
        <v>290</v>
      </c>
      <c r="C80" t="s">
        <v>263</v>
      </c>
      <c r="D80">
        <v>0</v>
      </c>
      <c r="E80" t="s">
        <v>263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</row>
    <row r="81" spans="1:17" x14ac:dyDescent="0.25">
      <c r="A81" t="s">
        <v>332</v>
      </c>
      <c r="B81" t="s">
        <v>288</v>
      </c>
      <c r="C81" t="s">
        <v>263</v>
      </c>
      <c r="D81">
        <v>0</v>
      </c>
      <c r="E81" t="s">
        <v>263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17" x14ac:dyDescent="0.25">
      <c r="A82" t="s">
        <v>331</v>
      </c>
      <c r="B82" t="s">
        <v>286</v>
      </c>
      <c r="C82" t="s">
        <v>263</v>
      </c>
      <c r="D82">
        <v>0</v>
      </c>
      <c r="E82" t="s">
        <v>263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1:17" x14ac:dyDescent="0.25">
      <c r="A83" t="s">
        <v>330</v>
      </c>
      <c r="B83" t="s">
        <v>329</v>
      </c>
      <c r="C83" t="s">
        <v>263</v>
      </c>
      <c r="D83">
        <v>0</v>
      </c>
      <c r="E83" t="s">
        <v>263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 x14ac:dyDescent="0.25">
      <c r="A84" t="s">
        <v>328</v>
      </c>
      <c r="B84" t="s">
        <v>327</v>
      </c>
      <c r="C84" t="s">
        <v>263</v>
      </c>
      <c r="D84">
        <v>0</v>
      </c>
      <c r="E84" t="s">
        <v>263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 x14ac:dyDescent="0.25">
      <c r="A85" t="s">
        <v>326</v>
      </c>
      <c r="B85" t="s">
        <v>325</v>
      </c>
      <c r="C85" t="s">
        <v>263</v>
      </c>
      <c r="D85">
        <v>0</v>
      </c>
      <c r="E85" t="s">
        <v>263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 x14ac:dyDescent="0.25">
      <c r="A86" t="s">
        <v>324</v>
      </c>
      <c r="B86" t="s">
        <v>323</v>
      </c>
      <c r="C86" t="s">
        <v>263</v>
      </c>
      <c r="D86">
        <v>0</v>
      </c>
      <c r="E86" t="s">
        <v>263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</row>
    <row r="87" spans="1:17" x14ac:dyDescent="0.25">
      <c r="A87" t="s">
        <v>322</v>
      </c>
      <c r="B87" t="s">
        <v>321</v>
      </c>
      <c r="C87" t="s">
        <v>263</v>
      </c>
      <c r="D87">
        <v>0</v>
      </c>
      <c r="E87" t="s">
        <v>263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 x14ac:dyDescent="0.25">
      <c r="A88" t="s">
        <v>320</v>
      </c>
      <c r="B88" t="s">
        <v>319</v>
      </c>
      <c r="C88" t="s">
        <v>263</v>
      </c>
      <c r="D88">
        <v>0</v>
      </c>
      <c r="E88" t="s">
        <v>263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</row>
    <row r="89" spans="1:17" x14ac:dyDescent="0.25">
      <c r="A89" t="s">
        <v>318</v>
      </c>
      <c r="B89" t="s">
        <v>308</v>
      </c>
      <c r="C89" t="s">
        <v>263</v>
      </c>
      <c r="D89">
        <v>0</v>
      </c>
      <c r="E89" t="s">
        <v>263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:17" x14ac:dyDescent="0.25">
      <c r="A90" t="s">
        <v>317</v>
      </c>
      <c r="B90" t="s">
        <v>316</v>
      </c>
      <c r="C90" t="s">
        <v>263</v>
      </c>
      <c r="D90">
        <v>0</v>
      </c>
      <c r="E90" t="s">
        <v>263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17" x14ac:dyDescent="0.25">
      <c r="A91" t="s">
        <v>315</v>
      </c>
      <c r="B91" t="s">
        <v>314</v>
      </c>
      <c r="C91" t="s">
        <v>263</v>
      </c>
      <c r="D91">
        <v>0</v>
      </c>
      <c r="E91" t="s">
        <v>263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17" x14ac:dyDescent="0.25">
      <c r="A92" t="s">
        <v>313</v>
      </c>
      <c r="B92" t="s">
        <v>312</v>
      </c>
      <c r="C92" t="s">
        <v>263</v>
      </c>
      <c r="D92">
        <v>0</v>
      </c>
      <c r="E92" t="s">
        <v>263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 x14ac:dyDescent="0.25">
      <c r="A93" t="s">
        <v>311</v>
      </c>
      <c r="B93" t="s">
        <v>310</v>
      </c>
      <c r="C93" t="s">
        <v>263</v>
      </c>
      <c r="D93">
        <v>0</v>
      </c>
      <c r="E93" t="s">
        <v>263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</row>
    <row r="94" spans="1:17" x14ac:dyDescent="0.25">
      <c r="A94" t="s">
        <v>309</v>
      </c>
      <c r="B94" t="s">
        <v>308</v>
      </c>
      <c r="C94" t="s">
        <v>263</v>
      </c>
      <c r="D94">
        <v>0</v>
      </c>
      <c r="E94" t="s">
        <v>263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:17" x14ac:dyDescent="0.25">
      <c r="A95" t="s">
        <v>307</v>
      </c>
      <c r="B95" t="s">
        <v>306</v>
      </c>
      <c r="C95" t="s">
        <v>263</v>
      </c>
      <c r="D95">
        <v>0</v>
      </c>
      <c r="E95" t="s">
        <v>263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:17" x14ac:dyDescent="0.25">
      <c r="A96" t="s">
        <v>305</v>
      </c>
      <c r="B96" t="s">
        <v>304</v>
      </c>
      <c r="C96" t="s">
        <v>263</v>
      </c>
      <c r="D96">
        <v>0</v>
      </c>
      <c r="E96" t="s">
        <v>263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</row>
    <row r="97" spans="1:17" x14ac:dyDescent="0.25">
      <c r="A97" t="s">
        <v>303</v>
      </c>
      <c r="B97" t="s">
        <v>302</v>
      </c>
      <c r="C97" t="s">
        <v>263</v>
      </c>
      <c r="D97">
        <v>0</v>
      </c>
      <c r="E97" t="s">
        <v>263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</row>
    <row r="98" spans="1:17" x14ac:dyDescent="0.25">
      <c r="A98" t="s">
        <v>301</v>
      </c>
      <c r="B98" t="s">
        <v>300</v>
      </c>
      <c r="C98" t="s">
        <v>263</v>
      </c>
      <c r="D98">
        <v>0</v>
      </c>
      <c r="E98" t="s">
        <v>263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17" x14ac:dyDescent="0.25">
      <c r="A99" t="s">
        <v>299</v>
      </c>
      <c r="B99" t="s">
        <v>298</v>
      </c>
      <c r="C99" t="s">
        <v>263</v>
      </c>
      <c r="D99">
        <v>0</v>
      </c>
      <c r="E99" t="s">
        <v>263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17" x14ac:dyDescent="0.25">
      <c r="A100" t="s">
        <v>297</v>
      </c>
      <c r="B100" t="s">
        <v>296</v>
      </c>
      <c r="C100" t="s">
        <v>263</v>
      </c>
      <c r="D100">
        <v>0</v>
      </c>
      <c r="E100" t="s">
        <v>263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17" x14ac:dyDescent="0.25">
      <c r="A101" t="s">
        <v>295</v>
      </c>
      <c r="B101" t="s">
        <v>294</v>
      </c>
      <c r="C101" t="s">
        <v>263</v>
      </c>
      <c r="D101">
        <v>0</v>
      </c>
      <c r="E101" t="s">
        <v>263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17" x14ac:dyDescent="0.25">
      <c r="A102" t="s">
        <v>293</v>
      </c>
      <c r="B102" t="s">
        <v>292</v>
      </c>
      <c r="C102" t="s">
        <v>263</v>
      </c>
      <c r="D102">
        <v>0</v>
      </c>
      <c r="E102" t="s">
        <v>263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</row>
    <row r="103" spans="1:17" x14ac:dyDescent="0.25">
      <c r="A103" t="s">
        <v>291</v>
      </c>
      <c r="B103" t="s">
        <v>290</v>
      </c>
      <c r="C103" t="s">
        <v>263</v>
      </c>
      <c r="D103">
        <v>0</v>
      </c>
      <c r="E103" t="s">
        <v>263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17" x14ac:dyDescent="0.25">
      <c r="A104" t="s">
        <v>289</v>
      </c>
      <c r="B104" t="s">
        <v>288</v>
      </c>
      <c r="C104" t="s">
        <v>263</v>
      </c>
      <c r="D104">
        <v>0</v>
      </c>
      <c r="E104" t="s">
        <v>263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</row>
    <row r="105" spans="1:17" x14ac:dyDescent="0.25">
      <c r="A105" t="s">
        <v>287</v>
      </c>
      <c r="B105" t="s">
        <v>286</v>
      </c>
      <c r="C105" t="s">
        <v>263</v>
      </c>
      <c r="D105">
        <v>0</v>
      </c>
      <c r="E105" t="s">
        <v>263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 x14ac:dyDescent="0.25">
      <c r="A106" t="s">
        <v>285</v>
      </c>
      <c r="B106" t="s">
        <v>284</v>
      </c>
      <c r="C106" t="s">
        <v>263</v>
      </c>
      <c r="D106">
        <v>0</v>
      </c>
      <c r="E106" t="s">
        <v>263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:17" x14ac:dyDescent="0.25">
      <c r="A107" t="s">
        <v>283</v>
      </c>
      <c r="B107" t="s">
        <v>282</v>
      </c>
      <c r="C107" t="s">
        <v>263</v>
      </c>
      <c r="D107">
        <v>0</v>
      </c>
      <c r="E107" t="s">
        <v>263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</row>
    <row r="108" spans="1:17" x14ac:dyDescent="0.25">
      <c r="A108" t="s">
        <v>281</v>
      </c>
      <c r="B108" t="s">
        <v>280</v>
      </c>
      <c r="C108" t="s">
        <v>263</v>
      </c>
      <c r="D108">
        <v>0</v>
      </c>
      <c r="E108" t="s">
        <v>263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:17" x14ac:dyDescent="0.25">
      <c r="A109" t="s">
        <v>279</v>
      </c>
      <c r="B109" t="s">
        <v>278</v>
      </c>
      <c r="C109" t="s">
        <v>263</v>
      </c>
      <c r="D109">
        <v>0</v>
      </c>
      <c r="E109" t="s">
        <v>263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 x14ac:dyDescent="0.25">
      <c r="A110" t="s">
        <v>277</v>
      </c>
      <c r="B110" t="s">
        <v>276</v>
      </c>
      <c r="C110" t="s">
        <v>263</v>
      </c>
      <c r="D110">
        <v>0</v>
      </c>
      <c r="E110" t="s">
        <v>263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17" x14ac:dyDescent="0.25">
      <c r="A111" t="s">
        <v>275</v>
      </c>
      <c r="B111" t="s">
        <v>274</v>
      </c>
      <c r="C111" t="s">
        <v>263</v>
      </c>
      <c r="D111">
        <v>0</v>
      </c>
      <c r="E111" t="s">
        <v>263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:17" x14ac:dyDescent="0.25">
      <c r="A112" t="s">
        <v>273</v>
      </c>
      <c r="B112" t="s">
        <v>272</v>
      </c>
      <c r="C112" t="s">
        <v>263</v>
      </c>
      <c r="D112">
        <v>0</v>
      </c>
      <c r="E112" t="s">
        <v>263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 x14ac:dyDescent="0.25">
      <c r="A113" t="s">
        <v>271</v>
      </c>
      <c r="B113" t="s">
        <v>270</v>
      </c>
      <c r="C113" t="s">
        <v>263</v>
      </c>
      <c r="D113">
        <v>0</v>
      </c>
      <c r="E113" t="s">
        <v>263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 x14ac:dyDescent="0.25">
      <c r="A114" t="s">
        <v>269</v>
      </c>
      <c r="B114" t="s">
        <v>268</v>
      </c>
      <c r="C114" t="s">
        <v>263</v>
      </c>
      <c r="D114">
        <v>0</v>
      </c>
      <c r="E114" t="s">
        <v>263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 x14ac:dyDescent="0.25">
      <c r="A115" t="s">
        <v>267</v>
      </c>
      <c r="B115" t="s">
        <v>266</v>
      </c>
      <c r="C115" t="s">
        <v>263</v>
      </c>
      <c r="D115">
        <v>0</v>
      </c>
      <c r="E115" t="s">
        <v>263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 x14ac:dyDescent="0.25">
      <c r="A116" t="s">
        <v>265</v>
      </c>
      <c r="B116" t="s">
        <v>264</v>
      </c>
      <c r="C116" t="s">
        <v>263</v>
      </c>
      <c r="D116">
        <v>0</v>
      </c>
      <c r="E116" t="s">
        <v>263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 x14ac:dyDescent="0.25">
      <c r="A117" t="s">
        <v>262</v>
      </c>
      <c r="B117" t="s">
        <v>261</v>
      </c>
      <c r="C117" t="s">
        <v>30</v>
      </c>
      <c r="D117">
        <v>0</v>
      </c>
      <c r="E117" t="s">
        <v>30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:17" x14ac:dyDescent="0.25">
      <c r="A118" t="s">
        <v>260</v>
      </c>
      <c r="B118" t="s">
        <v>259</v>
      </c>
      <c r="C118" t="s">
        <v>258</v>
      </c>
      <c r="D118">
        <v>0</v>
      </c>
      <c r="E118" t="s">
        <v>258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</row>
    <row r="119" spans="1:17" x14ac:dyDescent="0.25">
      <c r="A119" t="s">
        <v>257</v>
      </c>
      <c r="B119" t="s">
        <v>256</v>
      </c>
      <c r="C119" t="s">
        <v>19</v>
      </c>
      <c r="D119">
        <v>0</v>
      </c>
      <c r="E119" t="s">
        <v>19</v>
      </c>
      <c r="F119">
        <v>201.63</v>
      </c>
      <c r="G119">
        <v>201.63</v>
      </c>
      <c r="H119">
        <v>201.63</v>
      </c>
      <c r="I119">
        <v>201.63</v>
      </c>
      <c r="J119">
        <v>201.63</v>
      </c>
      <c r="K119">
        <v>201.63</v>
      </c>
      <c r="L119">
        <v>201.63</v>
      </c>
      <c r="M119">
        <v>201.63</v>
      </c>
      <c r="N119">
        <v>201.63</v>
      </c>
      <c r="O119">
        <v>201.63</v>
      </c>
      <c r="P119">
        <v>201.63</v>
      </c>
      <c r="Q119">
        <v>201.63</v>
      </c>
    </row>
    <row r="120" spans="1:17" x14ac:dyDescent="0.25">
      <c r="A120" t="s">
        <v>17</v>
      </c>
      <c r="B120" t="s">
        <v>18</v>
      </c>
      <c r="C120" t="s">
        <v>19</v>
      </c>
      <c r="D120">
        <v>0</v>
      </c>
      <c r="E120" t="s">
        <v>19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17" x14ac:dyDescent="0.25">
      <c r="A121" t="s">
        <v>20</v>
      </c>
      <c r="B121" t="s">
        <v>21</v>
      </c>
      <c r="C121" t="s">
        <v>19</v>
      </c>
      <c r="D121">
        <v>0</v>
      </c>
      <c r="E121" t="s">
        <v>19</v>
      </c>
      <c r="F121">
        <v>13.92</v>
      </c>
      <c r="G121">
        <v>13.92</v>
      </c>
      <c r="H121">
        <v>13.92</v>
      </c>
      <c r="I121">
        <v>13.92</v>
      </c>
      <c r="J121">
        <v>13.92</v>
      </c>
      <c r="K121">
        <v>13.92</v>
      </c>
      <c r="L121">
        <v>13.92</v>
      </c>
      <c r="M121">
        <v>13.92</v>
      </c>
      <c r="N121">
        <v>13.92</v>
      </c>
      <c r="O121">
        <v>13.92</v>
      </c>
      <c r="P121">
        <v>13.92</v>
      </c>
      <c r="Q121">
        <v>13.92</v>
      </c>
    </row>
    <row r="122" spans="1:17" x14ac:dyDescent="0.25">
      <c r="A122" t="s">
        <v>22</v>
      </c>
      <c r="B122" t="s">
        <v>23</v>
      </c>
      <c r="C122" t="s">
        <v>24</v>
      </c>
      <c r="D122">
        <v>0</v>
      </c>
      <c r="E122" t="s">
        <v>24</v>
      </c>
      <c r="F122">
        <v>7.0000000000000007E-2</v>
      </c>
      <c r="G122">
        <v>7.0000000000000007E-2</v>
      </c>
      <c r="H122">
        <v>7.0000000000000007E-2</v>
      </c>
      <c r="I122">
        <v>7.0000000000000007E-2</v>
      </c>
      <c r="J122">
        <v>7.0000000000000007E-2</v>
      </c>
      <c r="K122">
        <v>7.0000000000000007E-2</v>
      </c>
      <c r="L122">
        <v>7.0000000000000007E-2</v>
      </c>
      <c r="M122">
        <v>7.0000000000000007E-2</v>
      </c>
      <c r="N122">
        <v>7.0000000000000007E-2</v>
      </c>
      <c r="O122">
        <v>7.0000000000000007E-2</v>
      </c>
      <c r="P122">
        <v>7.0000000000000007E-2</v>
      </c>
      <c r="Q122">
        <v>7.0000000000000007E-2</v>
      </c>
    </row>
    <row r="123" spans="1:17" x14ac:dyDescent="0.25">
      <c r="A123" t="s">
        <v>33</v>
      </c>
      <c r="B123" t="s">
        <v>34</v>
      </c>
      <c r="C123" t="s">
        <v>19</v>
      </c>
      <c r="D123">
        <v>0</v>
      </c>
      <c r="E123" t="s">
        <v>19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</row>
    <row r="124" spans="1:17" x14ac:dyDescent="0.25">
      <c r="A124" t="s">
        <v>35</v>
      </c>
      <c r="B124" t="s">
        <v>36</v>
      </c>
      <c r="C124" t="s">
        <v>24</v>
      </c>
      <c r="D124">
        <v>0</v>
      </c>
      <c r="E124" t="s">
        <v>24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 x14ac:dyDescent="0.25">
      <c r="A125" t="s">
        <v>41</v>
      </c>
      <c r="B125" t="s">
        <v>42</v>
      </c>
      <c r="C125" t="s">
        <v>19</v>
      </c>
      <c r="D125">
        <v>0</v>
      </c>
      <c r="E125" t="s">
        <v>19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</row>
    <row r="126" spans="1:17" x14ac:dyDescent="0.25">
      <c r="A126" t="s">
        <v>43</v>
      </c>
      <c r="B126" t="s">
        <v>44</v>
      </c>
      <c r="C126" t="s">
        <v>24</v>
      </c>
      <c r="D126">
        <v>0</v>
      </c>
      <c r="E126" t="s">
        <v>24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</row>
    <row r="127" spans="1:17" x14ac:dyDescent="0.25">
      <c r="A127" t="s">
        <v>49</v>
      </c>
      <c r="B127" t="s">
        <v>50</v>
      </c>
      <c r="C127" t="s">
        <v>19</v>
      </c>
      <c r="D127">
        <v>0</v>
      </c>
      <c r="E127" t="s">
        <v>19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 x14ac:dyDescent="0.25">
      <c r="A128" t="s">
        <v>51</v>
      </c>
      <c r="B128" t="s">
        <v>52</v>
      </c>
      <c r="C128" t="s">
        <v>19</v>
      </c>
      <c r="D128">
        <v>0</v>
      </c>
      <c r="E128" t="s">
        <v>19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</row>
    <row r="129" spans="1:17" x14ac:dyDescent="0.25">
      <c r="A129" t="s">
        <v>255</v>
      </c>
      <c r="B129" t="s">
        <v>254</v>
      </c>
      <c r="C129" t="s">
        <v>19</v>
      </c>
      <c r="D129">
        <v>0</v>
      </c>
      <c r="E129" t="s">
        <v>19</v>
      </c>
      <c r="F129">
        <v>201.63</v>
      </c>
      <c r="G129">
        <v>201.63</v>
      </c>
      <c r="H129">
        <v>201.63</v>
      </c>
      <c r="I129">
        <v>201.63</v>
      </c>
      <c r="J129">
        <v>201.63</v>
      </c>
      <c r="K129">
        <v>201.63</v>
      </c>
      <c r="L129">
        <v>201.63</v>
      </c>
      <c r="M129">
        <v>201.63</v>
      </c>
      <c r="N129">
        <v>201.63</v>
      </c>
      <c r="O129">
        <v>201.63</v>
      </c>
      <c r="P129">
        <v>201.63</v>
      </c>
      <c r="Q129">
        <v>201.63</v>
      </c>
    </row>
    <row r="130" spans="1:17" x14ac:dyDescent="0.25">
      <c r="A130" t="s">
        <v>253</v>
      </c>
      <c r="B130" t="s">
        <v>252</v>
      </c>
      <c r="C130" t="s">
        <v>19</v>
      </c>
      <c r="D130">
        <v>0</v>
      </c>
      <c r="E130" t="s">
        <v>19</v>
      </c>
      <c r="F130">
        <v>142.57</v>
      </c>
      <c r="G130">
        <v>142.57</v>
      </c>
      <c r="H130">
        <v>142.57</v>
      </c>
      <c r="I130">
        <v>142.57</v>
      </c>
      <c r="J130">
        <v>142.57</v>
      </c>
      <c r="K130">
        <v>142.57</v>
      </c>
      <c r="L130">
        <v>142.57</v>
      </c>
      <c r="M130">
        <v>142.57</v>
      </c>
      <c r="N130">
        <v>142.57</v>
      </c>
      <c r="O130">
        <v>142.57</v>
      </c>
      <c r="P130">
        <v>142.57</v>
      </c>
      <c r="Q130">
        <v>142.57</v>
      </c>
    </row>
    <row r="131" spans="1:17" x14ac:dyDescent="0.25">
      <c r="A131" t="s">
        <v>251</v>
      </c>
      <c r="B131" t="s">
        <v>250</v>
      </c>
      <c r="C131" t="s">
        <v>19</v>
      </c>
      <c r="D131">
        <v>0</v>
      </c>
      <c r="E131" t="s">
        <v>19</v>
      </c>
      <c r="F131">
        <v>27</v>
      </c>
      <c r="G131">
        <v>27</v>
      </c>
      <c r="H131">
        <v>27</v>
      </c>
      <c r="I131">
        <v>27</v>
      </c>
      <c r="J131">
        <v>27</v>
      </c>
      <c r="K131">
        <v>27</v>
      </c>
      <c r="L131">
        <v>27</v>
      </c>
      <c r="M131">
        <v>27</v>
      </c>
      <c r="N131">
        <v>27</v>
      </c>
      <c r="O131">
        <v>27</v>
      </c>
      <c r="P131">
        <v>27</v>
      </c>
      <c r="Q131">
        <v>27</v>
      </c>
    </row>
    <row r="132" spans="1:17" x14ac:dyDescent="0.25">
      <c r="A132" t="s">
        <v>249</v>
      </c>
      <c r="B132" t="s">
        <v>248</v>
      </c>
      <c r="C132" t="s">
        <v>19</v>
      </c>
      <c r="D132">
        <v>0</v>
      </c>
      <c r="E132" t="s">
        <v>19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</row>
    <row r="133" spans="1:17" x14ac:dyDescent="0.25">
      <c r="A133" t="s">
        <v>247</v>
      </c>
      <c r="B133" t="s">
        <v>246</v>
      </c>
      <c r="C133" t="s">
        <v>19</v>
      </c>
      <c r="D133">
        <v>0</v>
      </c>
      <c r="E133" t="s">
        <v>19</v>
      </c>
      <c r="F133">
        <v>32.07</v>
      </c>
      <c r="G133">
        <v>32.07</v>
      </c>
      <c r="H133">
        <v>32.07</v>
      </c>
      <c r="I133">
        <v>32.07</v>
      </c>
      <c r="J133">
        <v>32.07</v>
      </c>
      <c r="K133">
        <v>32.07</v>
      </c>
      <c r="L133">
        <v>32.07</v>
      </c>
      <c r="M133">
        <v>32.07</v>
      </c>
      <c r="N133">
        <v>32.07</v>
      </c>
      <c r="O133">
        <v>32.07</v>
      </c>
      <c r="P133">
        <v>32.07</v>
      </c>
      <c r="Q133">
        <v>32.07</v>
      </c>
    </row>
    <row r="134" spans="1:17" x14ac:dyDescent="0.25">
      <c r="A134" t="s">
        <v>245</v>
      </c>
      <c r="B134" t="s">
        <v>244</v>
      </c>
      <c r="C134" t="s">
        <v>243</v>
      </c>
      <c r="D134">
        <v>0</v>
      </c>
      <c r="E134" t="s">
        <v>242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5" spans="1:17" x14ac:dyDescent="0.25">
      <c r="A135" t="s">
        <v>241</v>
      </c>
      <c r="B135" t="s">
        <v>240</v>
      </c>
      <c r="C135" t="s">
        <v>239</v>
      </c>
      <c r="D135">
        <v>0</v>
      </c>
      <c r="E135" t="s">
        <v>239</v>
      </c>
      <c r="F135">
        <v>15.61</v>
      </c>
      <c r="G135">
        <v>15.64</v>
      </c>
      <c r="H135">
        <v>15.71</v>
      </c>
      <c r="I135">
        <v>16.559999999999999</v>
      </c>
      <c r="J135">
        <v>18.12</v>
      </c>
      <c r="K135">
        <v>18.95</v>
      </c>
      <c r="L135">
        <v>19.68</v>
      </c>
      <c r="M135">
        <v>19.55</v>
      </c>
      <c r="N135">
        <v>18.190000000000001</v>
      </c>
      <c r="O135">
        <v>16.66</v>
      </c>
      <c r="P135">
        <v>15.69</v>
      </c>
      <c r="Q135">
        <v>15.61</v>
      </c>
    </row>
    <row r="136" spans="1:17" x14ac:dyDescent="0.25">
      <c r="A136" t="s">
        <v>238</v>
      </c>
      <c r="B136" t="s">
        <v>237</v>
      </c>
      <c r="C136" t="s">
        <v>236</v>
      </c>
      <c r="D136">
        <v>0</v>
      </c>
      <c r="E136" t="s">
        <v>235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</row>
    <row r="137" spans="1:17" x14ac:dyDescent="0.25">
      <c r="A137" t="s">
        <v>234</v>
      </c>
      <c r="B137" t="s">
        <v>233</v>
      </c>
      <c r="C137" t="s">
        <v>224</v>
      </c>
      <c r="D137">
        <v>7.55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</row>
    <row r="138" spans="1:17" x14ac:dyDescent="0.25">
      <c r="A138" t="s">
        <v>232</v>
      </c>
      <c r="B138" t="s">
        <v>231</v>
      </c>
      <c r="C138" t="s">
        <v>224</v>
      </c>
      <c r="D138">
        <v>7.55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</row>
    <row r="139" spans="1:17" x14ac:dyDescent="0.25">
      <c r="A139" t="s">
        <v>230</v>
      </c>
      <c r="B139" t="s">
        <v>229</v>
      </c>
      <c r="C139" t="s">
        <v>224</v>
      </c>
      <c r="D139">
        <v>6.02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</row>
    <row r="140" spans="1:17" x14ac:dyDescent="0.25">
      <c r="A140" t="s">
        <v>228</v>
      </c>
      <c r="B140" t="s">
        <v>227</v>
      </c>
      <c r="C140" t="s">
        <v>224</v>
      </c>
      <c r="D140">
        <v>1.08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</row>
    <row r="141" spans="1:17" x14ac:dyDescent="0.25">
      <c r="A141" t="s">
        <v>226</v>
      </c>
      <c r="B141" t="s">
        <v>225</v>
      </c>
      <c r="C141" t="s">
        <v>224</v>
      </c>
      <c r="D141">
        <v>0.45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</row>
    <row r="143" spans="1:17" s="93" customFormat="1" x14ac:dyDescent="0.25">
      <c r="A143" s="93" t="s">
        <v>26</v>
      </c>
      <c r="F143" s="93">
        <f>F55+F57+F59</f>
        <v>0.5</v>
      </c>
      <c r="G143" s="93">
        <f t="shared" ref="G143:Q143" si="0">G55+G57+G59</f>
        <v>0.51</v>
      </c>
      <c r="H143" s="93">
        <f t="shared" si="0"/>
        <v>0.52</v>
      </c>
      <c r="I143" s="93">
        <f t="shared" si="0"/>
        <v>0.54</v>
      </c>
      <c r="J143" s="93">
        <f t="shared" si="0"/>
        <v>0.56000000000000005</v>
      </c>
      <c r="K143" s="93">
        <f t="shared" si="0"/>
        <v>0.56999999999999995</v>
      </c>
      <c r="L143" s="93">
        <f t="shared" si="0"/>
        <v>0.57999999999999996</v>
      </c>
      <c r="M143" s="93">
        <f t="shared" si="0"/>
        <v>0.56999999999999995</v>
      </c>
      <c r="N143" s="93">
        <f t="shared" si="0"/>
        <v>0.56000000000000005</v>
      </c>
      <c r="O143" s="93">
        <f t="shared" si="0"/>
        <v>0.54</v>
      </c>
      <c r="P143" s="93">
        <f t="shared" si="0"/>
        <v>0.52</v>
      </c>
      <c r="Q143" s="93">
        <f t="shared" si="0"/>
        <v>0.5</v>
      </c>
    </row>
    <row r="144" spans="1:17" s="93" customFormat="1" x14ac:dyDescent="0.25">
      <c r="A144" s="93" t="s">
        <v>26</v>
      </c>
      <c r="F144" s="93">
        <f>F122+F124+F126</f>
        <v>7.0000000000000007E-2</v>
      </c>
      <c r="G144" s="93">
        <f t="shared" ref="G144:Q144" si="1">G122+G124+G126</f>
        <v>7.0000000000000007E-2</v>
      </c>
      <c r="H144" s="93">
        <f t="shared" si="1"/>
        <v>7.0000000000000007E-2</v>
      </c>
      <c r="I144" s="93">
        <f t="shared" si="1"/>
        <v>7.0000000000000007E-2</v>
      </c>
      <c r="J144" s="93">
        <f t="shared" si="1"/>
        <v>7.0000000000000007E-2</v>
      </c>
      <c r="K144" s="93">
        <f t="shared" si="1"/>
        <v>7.0000000000000007E-2</v>
      </c>
      <c r="L144" s="93">
        <f t="shared" si="1"/>
        <v>7.0000000000000007E-2</v>
      </c>
      <c r="M144" s="93">
        <f t="shared" si="1"/>
        <v>7.0000000000000007E-2</v>
      </c>
      <c r="N144" s="93">
        <f t="shared" si="1"/>
        <v>7.0000000000000007E-2</v>
      </c>
      <c r="O144" s="93">
        <f t="shared" si="1"/>
        <v>7.0000000000000007E-2</v>
      </c>
      <c r="P144" s="93">
        <f t="shared" si="1"/>
        <v>7.0000000000000007E-2</v>
      </c>
      <c r="Q144" s="93">
        <f t="shared" si="1"/>
        <v>7.0000000000000007E-2</v>
      </c>
    </row>
    <row r="149" spans="1:17" s="93" customFormat="1" x14ac:dyDescent="0.25">
      <c r="A149" s="93" t="s">
        <v>1266</v>
      </c>
      <c r="F149" s="93">
        <v>1</v>
      </c>
      <c r="G149" s="93">
        <v>1.9</v>
      </c>
      <c r="H149" s="93">
        <v>4.7</v>
      </c>
      <c r="I149" s="93">
        <v>9.1999999999999993</v>
      </c>
      <c r="J149" s="93">
        <v>14.1</v>
      </c>
      <c r="K149" s="93">
        <v>16.7</v>
      </c>
      <c r="L149" s="93">
        <v>19</v>
      </c>
      <c r="M149" s="93">
        <v>18.600000000000001</v>
      </c>
      <c r="N149" s="93">
        <v>14.3</v>
      </c>
      <c r="O149" s="93">
        <v>9.5</v>
      </c>
      <c r="P149" s="93">
        <v>4.0999999999999996</v>
      </c>
      <c r="Q149" s="93">
        <v>0.9</v>
      </c>
    </row>
    <row r="150" spans="1:17" s="93" customFormat="1" x14ac:dyDescent="0.25">
      <c r="A150" s="93" t="s">
        <v>1267</v>
      </c>
      <c r="F150" s="93">
        <v>6.05</v>
      </c>
      <c r="G150" s="93">
        <v>6.69</v>
      </c>
      <c r="H150" s="93">
        <v>8.69</v>
      </c>
      <c r="I150" s="93">
        <v>11.98</v>
      </c>
      <c r="J150" s="93">
        <v>15.68</v>
      </c>
      <c r="K150" s="93">
        <v>17.68</v>
      </c>
      <c r="L150" s="93">
        <v>19.46</v>
      </c>
      <c r="M150" s="93">
        <v>19.149999999999999</v>
      </c>
      <c r="N150" s="93">
        <v>15.85</v>
      </c>
      <c r="O150" s="93">
        <v>12.24</v>
      </c>
      <c r="P150" s="93">
        <v>8.2899999999999991</v>
      </c>
      <c r="Q150" s="93">
        <v>5.99</v>
      </c>
    </row>
    <row r="151" spans="1:17" s="93" customFormat="1" x14ac:dyDescent="0.25">
      <c r="A151" s="93" t="s">
        <v>1268</v>
      </c>
      <c r="C151" s="93" t="s">
        <v>1269</v>
      </c>
      <c r="D151" s="94">
        <f>SUM(F151:Q151)</f>
        <v>71173.459900000016</v>
      </c>
      <c r="E151" s="93" t="s">
        <v>1270</v>
      </c>
      <c r="F151" s="93">
        <f>(F68-F149)*F69+(F135-F149)*F136</f>
        <v>13042.320000000002</v>
      </c>
      <c r="G151" s="93">
        <f t="shared" ref="G151:Q151" si="2">(G68-G149)*G69+(G135-G149)*G136</f>
        <v>11222.400000000001</v>
      </c>
      <c r="H151" s="93">
        <f t="shared" si="2"/>
        <v>10505.28</v>
      </c>
      <c r="I151" s="93">
        <f t="shared" si="2"/>
        <v>5274.2297000000008</v>
      </c>
      <c r="J151" s="93">
        <f t="shared" si="2"/>
        <v>0</v>
      </c>
      <c r="K151" s="93">
        <f t="shared" si="2"/>
        <v>0</v>
      </c>
      <c r="L151" s="93">
        <f t="shared" si="2"/>
        <v>0</v>
      </c>
      <c r="M151" s="93">
        <f t="shared" si="2"/>
        <v>0</v>
      </c>
      <c r="N151" s="93">
        <f t="shared" si="2"/>
        <v>240.75019999999992</v>
      </c>
      <c r="O151" s="93">
        <f t="shared" si="2"/>
        <v>7209.3600000000006</v>
      </c>
      <c r="P151" s="93">
        <f t="shared" si="2"/>
        <v>10562.4</v>
      </c>
      <c r="Q151" s="93">
        <f t="shared" si="2"/>
        <v>13116.720000000001</v>
      </c>
    </row>
    <row r="152" spans="1:17" s="93" customFormat="1" x14ac:dyDescent="0.25">
      <c r="A152" s="93" t="s">
        <v>1271</v>
      </c>
      <c r="C152" s="93" t="s">
        <v>1269</v>
      </c>
      <c r="D152" s="94">
        <f>SUM(F152:Q152)</f>
        <v>50844.908600000002</v>
      </c>
      <c r="E152" s="93" t="s">
        <v>1270</v>
      </c>
      <c r="F152" s="93">
        <f t="shared" ref="F152:Q152" si="3">(F68-F150)*F69+(F135-F150)*F136</f>
        <v>9285.1200000000008</v>
      </c>
      <c r="G152" s="93">
        <f t="shared" si="3"/>
        <v>8003.52</v>
      </c>
      <c r="H152" s="93">
        <f t="shared" si="3"/>
        <v>7536.72</v>
      </c>
      <c r="I152" s="93">
        <f t="shared" si="3"/>
        <v>3803.5819000000006</v>
      </c>
      <c r="J152" s="93">
        <f t="shared" si="3"/>
        <v>0</v>
      </c>
      <c r="K152" s="93">
        <f t="shared" si="3"/>
        <v>0</v>
      </c>
      <c r="L152" s="93">
        <f t="shared" si="3"/>
        <v>0</v>
      </c>
      <c r="M152" s="93">
        <f t="shared" si="3"/>
        <v>0</v>
      </c>
      <c r="N152" s="93">
        <f t="shared" si="3"/>
        <v>169.80669999999998</v>
      </c>
      <c r="O152" s="93">
        <f t="shared" si="3"/>
        <v>5170.8000000000011</v>
      </c>
      <c r="P152" s="93">
        <f t="shared" si="3"/>
        <v>7545.6</v>
      </c>
      <c r="Q152" s="93">
        <f t="shared" si="3"/>
        <v>9329.76</v>
      </c>
    </row>
    <row r="153" spans="1:17" s="93" customFormat="1" x14ac:dyDescent="0.25">
      <c r="A153" s="93" t="s">
        <v>1272</v>
      </c>
      <c r="C153" s="93" t="s">
        <v>30</v>
      </c>
      <c r="D153" s="95">
        <f>D152/D151</f>
        <v>0.71438017305099411</v>
      </c>
      <c r="E153" s="93" t="s">
        <v>30</v>
      </c>
      <c r="F153" s="93">
        <f>F152/F151</f>
        <v>0.71192241871078155</v>
      </c>
      <c r="G153" s="93">
        <f t="shared" ref="G153:Q153" si="4">G152/G151</f>
        <v>0.71317365269461075</v>
      </c>
      <c r="H153" s="93">
        <f t="shared" si="4"/>
        <v>0.71742209631728038</v>
      </c>
      <c r="I153" s="93">
        <f t="shared" si="4"/>
        <v>0.72116349047141426</v>
      </c>
      <c r="J153" s="93" t="e">
        <f t="shared" si="4"/>
        <v>#DIV/0!</v>
      </c>
      <c r="K153" s="93" t="e">
        <f t="shared" si="4"/>
        <v>#DIV/0!</v>
      </c>
      <c r="L153" s="93" t="e">
        <f t="shared" si="4"/>
        <v>#DIV/0!</v>
      </c>
      <c r="M153" s="93" t="e">
        <f t="shared" si="4"/>
        <v>#DIV/0!</v>
      </c>
      <c r="N153" s="93">
        <f t="shared" si="4"/>
        <v>0.7053231939163499</v>
      </c>
      <c r="O153" s="93">
        <f t="shared" si="4"/>
        <v>0.71723426212590313</v>
      </c>
      <c r="P153" s="93">
        <f t="shared" si="4"/>
        <v>0.71438309475119299</v>
      </c>
      <c r="Q153" s="93">
        <f t="shared" si="4"/>
        <v>0.71128757799205899</v>
      </c>
    </row>
    <row r="155" spans="1:17" s="93" customFormat="1" x14ac:dyDescent="0.25">
      <c r="A155" s="93" t="s">
        <v>1273</v>
      </c>
      <c r="C155" s="93" t="s">
        <v>1274</v>
      </c>
      <c r="D155" s="96">
        <f>SUM(F155:Q155)/(D136+D69)</f>
        <v>18.795508377876423</v>
      </c>
      <c r="F155" s="93">
        <f>F68*F69+F135*F136</f>
        <v>13786.320000000002</v>
      </c>
      <c r="G155" s="93">
        <f t="shared" ref="G155:Q155" si="5">G68*G69+G135*G136</f>
        <v>12499.2</v>
      </c>
      <c r="H155" s="93">
        <f t="shared" si="5"/>
        <v>14002.08</v>
      </c>
      <c r="I155" s="93">
        <f t="shared" si="5"/>
        <v>10141.121700000002</v>
      </c>
      <c r="J155" s="93">
        <f t="shared" si="5"/>
        <v>0</v>
      </c>
      <c r="K155" s="93">
        <f t="shared" si="5"/>
        <v>0</v>
      </c>
      <c r="L155" s="93">
        <f t="shared" si="5"/>
        <v>0</v>
      </c>
      <c r="M155" s="93">
        <f t="shared" si="5"/>
        <v>0</v>
      </c>
      <c r="N155" s="93">
        <f t="shared" si="5"/>
        <v>895.26120000000003</v>
      </c>
      <c r="O155" s="93">
        <f t="shared" si="5"/>
        <v>14277.36</v>
      </c>
      <c r="P155" s="93">
        <f t="shared" si="5"/>
        <v>13514.4</v>
      </c>
      <c r="Q155" s="93">
        <f t="shared" si="5"/>
        <v>13786.320000000002</v>
      </c>
    </row>
    <row r="156" spans="1:17" s="93" customFormat="1" x14ac:dyDescent="0.25">
      <c r="A156" s="93" t="s">
        <v>1275</v>
      </c>
      <c r="C156" s="93" t="s">
        <v>1274</v>
      </c>
      <c r="D156" s="96">
        <f>SUM(F156:Q156)/(D136+D69)</f>
        <v>4.3960287530499027</v>
      </c>
      <c r="F156" s="93">
        <f>F149*F69+F149*F136</f>
        <v>744</v>
      </c>
      <c r="G156" s="93">
        <f t="shared" ref="G156:Q156" si="6">G149*G69+G149*G136</f>
        <v>1276.8</v>
      </c>
      <c r="H156" s="93">
        <f t="shared" si="6"/>
        <v>3496.8</v>
      </c>
      <c r="I156" s="93">
        <f t="shared" si="6"/>
        <v>4866.8919999999998</v>
      </c>
      <c r="J156" s="93">
        <f t="shared" si="6"/>
        <v>0</v>
      </c>
      <c r="K156" s="93">
        <f t="shared" si="6"/>
        <v>0</v>
      </c>
      <c r="L156" s="93">
        <f t="shared" si="6"/>
        <v>0</v>
      </c>
      <c r="M156" s="93">
        <f t="shared" si="6"/>
        <v>0</v>
      </c>
      <c r="N156" s="93">
        <f t="shared" si="6"/>
        <v>654.51100000000008</v>
      </c>
      <c r="O156" s="93">
        <f t="shared" si="6"/>
        <v>7068</v>
      </c>
      <c r="P156" s="93">
        <f t="shared" si="6"/>
        <v>2951.9999999999995</v>
      </c>
      <c r="Q156" s="93">
        <f t="shared" si="6"/>
        <v>669.6</v>
      </c>
    </row>
    <row r="157" spans="1:17" x14ac:dyDescent="0.25">
      <c r="D157" s="112"/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-0.249977111117893"/>
  </sheetPr>
  <dimension ref="A1:Q74"/>
  <sheetViews>
    <sheetView topLeftCell="A52" workbookViewId="0">
      <selection activeCell="D66" sqref="D66"/>
    </sheetView>
  </sheetViews>
  <sheetFormatPr baseColWidth="10" defaultRowHeight="15" x14ac:dyDescent="0.25"/>
  <cols>
    <col min="1" max="1" width="38.5703125" bestFit="1" customWidth="1"/>
    <col min="2" max="2" width="18.42578125" bestFit="1" customWidth="1"/>
    <col min="3" max="3" width="6.5703125" bestFit="1" customWidth="1"/>
    <col min="4" max="4" width="7.85546875" bestFit="1" customWidth="1"/>
    <col min="5" max="5" width="12.85546875" bestFit="1" customWidth="1"/>
    <col min="6" max="8" width="7.85546875" bestFit="1" customWidth="1"/>
    <col min="9" max="9" width="6.85546875" bestFit="1" customWidth="1"/>
    <col min="10" max="12" width="5.85546875" bestFit="1" customWidth="1"/>
    <col min="13" max="13" width="6.570312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188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187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71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t="s">
        <v>186</v>
      </c>
      <c r="B5" t="s">
        <v>185</v>
      </c>
      <c r="C5" t="s">
        <v>56</v>
      </c>
      <c r="D5" s="114">
        <v>8008.06</v>
      </c>
      <c r="E5" t="s">
        <v>55</v>
      </c>
      <c r="F5" s="1">
        <v>1744.02</v>
      </c>
      <c r="G5" s="1">
        <v>1431.88</v>
      </c>
      <c r="H5" s="1">
        <v>1002.55</v>
      </c>
      <c r="I5">
        <v>217.74</v>
      </c>
      <c r="J5">
        <v>0</v>
      </c>
      <c r="K5">
        <v>0</v>
      </c>
      <c r="L5">
        <v>0</v>
      </c>
      <c r="M5">
        <v>0</v>
      </c>
      <c r="N5">
        <v>15.8</v>
      </c>
      <c r="O5">
        <v>466.63</v>
      </c>
      <c r="P5" s="1">
        <v>1304.43</v>
      </c>
      <c r="Q5" s="1">
        <v>1825.02</v>
      </c>
    </row>
    <row r="6" spans="1:17" x14ac:dyDescent="0.25">
      <c r="A6" t="s">
        <v>154</v>
      </c>
      <c r="B6" t="s">
        <v>184</v>
      </c>
      <c r="C6" t="s">
        <v>56</v>
      </c>
      <c r="D6" s="93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152</v>
      </c>
      <c r="B7" t="s">
        <v>183</v>
      </c>
      <c r="C7" t="s">
        <v>56</v>
      </c>
      <c r="D7" s="94">
        <v>226.75</v>
      </c>
      <c r="E7" t="s">
        <v>55</v>
      </c>
      <c r="F7">
        <v>45.98</v>
      </c>
      <c r="G7">
        <v>38.68</v>
      </c>
      <c r="H7">
        <v>30.6</v>
      </c>
      <c r="I7">
        <v>9.2200000000000006</v>
      </c>
      <c r="J7">
        <v>0</v>
      </c>
      <c r="K7">
        <v>0</v>
      </c>
      <c r="L7">
        <v>0</v>
      </c>
      <c r="M7">
        <v>0</v>
      </c>
      <c r="N7">
        <v>1.24</v>
      </c>
      <c r="O7">
        <v>17.170000000000002</v>
      </c>
      <c r="P7">
        <v>36.5</v>
      </c>
      <c r="Q7">
        <v>47.35</v>
      </c>
    </row>
    <row r="8" spans="1:17" x14ac:dyDescent="0.25">
      <c r="A8" t="s">
        <v>150</v>
      </c>
      <c r="B8" t="s">
        <v>182</v>
      </c>
      <c r="C8" t="s">
        <v>56</v>
      </c>
      <c r="D8" s="93">
        <v>0</v>
      </c>
      <c r="E8" t="s">
        <v>55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t="s">
        <v>148</v>
      </c>
      <c r="B9" t="s">
        <v>181</v>
      </c>
      <c r="C9" t="s">
        <v>56</v>
      </c>
      <c r="D9" s="98">
        <v>9056.65</v>
      </c>
      <c r="E9" t="s">
        <v>55</v>
      </c>
      <c r="F9" s="1">
        <v>1925.72</v>
      </c>
      <c r="G9" s="1">
        <v>1590.24</v>
      </c>
      <c r="H9" s="1">
        <v>1153.68</v>
      </c>
      <c r="I9">
        <v>303.37</v>
      </c>
      <c r="J9">
        <v>0</v>
      </c>
      <c r="K9">
        <v>0</v>
      </c>
      <c r="L9">
        <v>0</v>
      </c>
      <c r="M9">
        <v>0</v>
      </c>
      <c r="N9">
        <v>24.8</v>
      </c>
      <c r="O9">
        <v>585.23</v>
      </c>
      <c r="P9" s="1">
        <v>1463.86</v>
      </c>
      <c r="Q9" s="1">
        <v>2009.76</v>
      </c>
    </row>
    <row r="10" spans="1:17" x14ac:dyDescent="0.25">
      <c r="A10" t="s">
        <v>146</v>
      </c>
      <c r="B10" t="s">
        <v>180</v>
      </c>
      <c r="C10" t="s">
        <v>56</v>
      </c>
      <c r="D10" s="93">
        <v>0</v>
      </c>
      <c r="E10" t="s">
        <v>55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t="s">
        <v>144</v>
      </c>
      <c r="B11" t="s">
        <v>179</v>
      </c>
      <c r="C11" t="s">
        <v>56</v>
      </c>
      <c r="D11" s="98">
        <v>2509.69</v>
      </c>
      <c r="E11" t="s">
        <v>55</v>
      </c>
      <c r="F11">
        <v>503.07</v>
      </c>
      <c r="G11">
        <v>423.64</v>
      </c>
      <c r="H11">
        <v>340.05</v>
      </c>
      <c r="I11">
        <v>115.3</v>
      </c>
      <c r="J11">
        <v>0</v>
      </c>
      <c r="K11">
        <v>0</v>
      </c>
      <c r="L11">
        <v>0</v>
      </c>
      <c r="M11">
        <v>0</v>
      </c>
      <c r="N11">
        <v>8.59</v>
      </c>
      <c r="O11">
        <v>199.64</v>
      </c>
      <c r="P11">
        <v>400.48</v>
      </c>
      <c r="Q11">
        <v>518.92999999999995</v>
      </c>
    </row>
    <row r="12" spans="1:17" x14ac:dyDescent="0.25">
      <c r="A12" t="s">
        <v>142</v>
      </c>
      <c r="B12" t="s">
        <v>178</v>
      </c>
      <c r="C12" t="s">
        <v>56</v>
      </c>
      <c r="D12" s="94">
        <v>962.53</v>
      </c>
      <c r="E12" t="s">
        <v>55</v>
      </c>
      <c r="F12">
        <v>209.16</v>
      </c>
      <c r="G12">
        <v>171.51</v>
      </c>
      <c r="H12">
        <v>119.62</v>
      </c>
      <c r="I12">
        <v>27.65</v>
      </c>
      <c r="J12">
        <v>0</v>
      </c>
      <c r="K12">
        <v>0</v>
      </c>
      <c r="L12">
        <v>0</v>
      </c>
      <c r="M12">
        <v>0</v>
      </c>
      <c r="N12">
        <v>2.38</v>
      </c>
      <c r="O12">
        <v>56.69</v>
      </c>
      <c r="P12">
        <v>156.34</v>
      </c>
      <c r="Q12">
        <v>219.18</v>
      </c>
    </row>
    <row r="13" spans="1:17" x14ac:dyDescent="0.25">
      <c r="A13" t="s">
        <v>140</v>
      </c>
      <c r="B13" t="s">
        <v>177</v>
      </c>
      <c r="C13" t="s">
        <v>56</v>
      </c>
      <c r="D13" s="98">
        <v>5584.43</v>
      </c>
      <c r="E13" t="s">
        <v>55</v>
      </c>
      <c r="F13" s="1">
        <v>1213.49</v>
      </c>
      <c r="G13">
        <v>995.09</v>
      </c>
      <c r="H13">
        <v>694.01</v>
      </c>
      <c r="I13">
        <v>160.41999999999999</v>
      </c>
      <c r="J13">
        <v>0</v>
      </c>
      <c r="K13">
        <v>0</v>
      </c>
      <c r="L13">
        <v>0</v>
      </c>
      <c r="M13">
        <v>0</v>
      </c>
      <c r="N13">
        <v>13.83</v>
      </c>
      <c r="O13">
        <v>328.9</v>
      </c>
      <c r="P13">
        <v>907.04</v>
      </c>
      <c r="Q13" s="1">
        <v>1271.6500000000001</v>
      </c>
    </row>
    <row r="14" spans="1:17" x14ac:dyDescent="0.25">
      <c r="A14" t="s">
        <v>74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x14ac:dyDescent="0.25">
      <c r="A15" t="s">
        <v>176</v>
      </c>
      <c r="B15" t="s">
        <v>175</v>
      </c>
      <c r="C15" t="s">
        <v>56</v>
      </c>
      <c r="D15">
        <v>0</v>
      </c>
      <c r="E15" t="s">
        <v>55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t="s">
        <v>154</v>
      </c>
      <c r="B16" t="s">
        <v>174</v>
      </c>
      <c r="C16" t="s">
        <v>56</v>
      </c>
      <c r="D16">
        <v>0</v>
      </c>
      <c r="E16" t="s">
        <v>55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t="s">
        <v>152</v>
      </c>
      <c r="B17" t="s">
        <v>173</v>
      </c>
      <c r="C17" t="s">
        <v>56</v>
      </c>
      <c r="D17">
        <v>0</v>
      </c>
      <c r="E17" t="s">
        <v>55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x14ac:dyDescent="0.25">
      <c r="A18" t="s">
        <v>150</v>
      </c>
      <c r="B18" t="s">
        <v>172</v>
      </c>
      <c r="C18" t="s">
        <v>56</v>
      </c>
      <c r="D18">
        <v>0</v>
      </c>
      <c r="E18" t="s">
        <v>55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25">
      <c r="A19" t="s">
        <v>148</v>
      </c>
      <c r="B19" t="s">
        <v>171</v>
      </c>
      <c r="C19" t="s">
        <v>56</v>
      </c>
      <c r="D19">
        <v>0</v>
      </c>
      <c r="E19" t="s">
        <v>55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x14ac:dyDescent="0.25">
      <c r="A20" t="s">
        <v>146</v>
      </c>
      <c r="B20" t="s">
        <v>170</v>
      </c>
      <c r="C20" t="s">
        <v>56</v>
      </c>
      <c r="D20">
        <v>0</v>
      </c>
      <c r="E20" t="s">
        <v>55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x14ac:dyDescent="0.25">
      <c r="A21" t="s">
        <v>144</v>
      </c>
      <c r="B21" t="s">
        <v>169</v>
      </c>
      <c r="C21" t="s">
        <v>56</v>
      </c>
      <c r="D21">
        <v>0</v>
      </c>
      <c r="E21" t="s">
        <v>55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x14ac:dyDescent="0.25">
      <c r="A22" t="s">
        <v>142</v>
      </c>
      <c r="B22" t="s">
        <v>168</v>
      </c>
      <c r="C22" t="s">
        <v>56</v>
      </c>
      <c r="D22">
        <v>0</v>
      </c>
      <c r="E22" t="s">
        <v>55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 x14ac:dyDescent="0.25">
      <c r="A23" t="s">
        <v>140</v>
      </c>
      <c r="B23" t="s">
        <v>167</v>
      </c>
      <c r="C23" t="s">
        <v>56</v>
      </c>
      <c r="D23">
        <v>0</v>
      </c>
      <c r="E23" t="s">
        <v>55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 x14ac:dyDescent="0.25">
      <c r="A24" t="s">
        <v>125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 x14ac:dyDescent="0.25">
      <c r="A25" t="s">
        <v>166</v>
      </c>
      <c r="B25" t="s">
        <v>165</v>
      </c>
      <c r="C25" t="s">
        <v>56</v>
      </c>
      <c r="D25">
        <v>0</v>
      </c>
      <c r="E25" t="s">
        <v>55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 x14ac:dyDescent="0.25">
      <c r="A26" t="s">
        <v>154</v>
      </c>
      <c r="B26" t="s">
        <v>164</v>
      </c>
      <c r="C26" t="s">
        <v>56</v>
      </c>
      <c r="D26">
        <v>0</v>
      </c>
      <c r="E26" t="s">
        <v>55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 x14ac:dyDescent="0.25">
      <c r="A27" t="s">
        <v>152</v>
      </c>
      <c r="B27" t="s">
        <v>163</v>
      </c>
      <c r="C27" t="s">
        <v>56</v>
      </c>
      <c r="D27">
        <v>0</v>
      </c>
      <c r="E27" t="s">
        <v>55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x14ac:dyDescent="0.25">
      <c r="A28" t="s">
        <v>150</v>
      </c>
      <c r="B28" t="s">
        <v>162</v>
      </c>
      <c r="C28" t="s">
        <v>56</v>
      </c>
      <c r="D28">
        <v>0</v>
      </c>
      <c r="E28" t="s">
        <v>55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x14ac:dyDescent="0.25">
      <c r="A29" t="s">
        <v>148</v>
      </c>
      <c r="B29" t="s">
        <v>161</v>
      </c>
      <c r="C29" t="s">
        <v>56</v>
      </c>
      <c r="D29">
        <v>0</v>
      </c>
      <c r="E29" t="s">
        <v>55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x14ac:dyDescent="0.25">
      <c r="A30" t="s">
        <v>146</v>
      </c>
      <c r="B30" t="s">
        <v>160</v>
      </c>
      <c r="C30" t="s">
        <v>56</v>
      </c>
      <c r="D30">
        <v>0</v>
      </c>
      <c r="E30" t="s">
        <v>55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x14ac:dyDescent="0.25">
      <c r="A31" t="s">
        <v>144</v>
      </c>
      <c r="B31" t="s">
        <v>159</v>
      </c>
      <c r="C31" t="s">
        <v>56</v>
      </c>
      <c r="D31">
        <v>0</v>
      </c>
      <c r="E31" t="s">
        <v>55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x14ac:dyDescent="0.25">
      <c r="A32" t="s">
        <v>142</v>
      </c>
      <c r="B32" t="s">
        <v>158</v>
      </c>
      <c r="C32" t="s">
        <v>56</v>
      </c>
      <c r="D32">
        <v>0</v>
      </c>
      <c r="E32" t="s">
        <v>55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x14ac:dyDescent="0.25">
      <c r="A33" t="s">
        <v>140</v>
      </c>
      <c r="B33" t="s">
        <v>157</v>
      </c>
      <c r="C33" t="s">
        <v>56</v>
      </c>
      <c r="D33">
        <v>0</v>
      </c>
      <c r="E33" t="s">
        <v>55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 x14ac:dyDescent="0.25">
      <c r="A34" t="s">
        <v>118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 x14ac:dyDescent="0.25">
      <c r="A35" t="s">
        <v>156</v>
      </c>
      <c r="B35" t="s">
        <v>155</v>
      </c>
      <c r="C35" t="s">
        <v>56</v>
      </c>
      <c r="D35" s="114">
        <v>2149.7199999999998</v>
      </c>
      <c r="E35" t="s">
        <v>55</v>
      </c>
      <c r="F35">
        <v>455.33</v>
      </c>
      <c r="G35">
        <v>375.78</v>
      </c>
      <c r="H35">
        <v>272.07</v>
      </c>
      <c r="I35">
        <v>74</v>
      </c>
      <c r="J35">
        <v>0</v>
      </c>
      <c r="K35">
        <v>0</v>
      </c>
      <c r="L35">
        <v>0</v>
      </c>
      <c r="M35">
        <v>0</v>
      </c>
      <c r="N35">
        <v>12.91</v>
      </c>
      <c r="O35">
        <v>138.78</v>
      </c>
      <c r="P35">
        <v>345.55</v>
      </c>
      <c r="Q35">
        <v>475.3</v>
      </c>
    </row>
    <row r="36" spans="1:17" x14ac:dyDescent="0.25">
      <c r="A36" t="s">
        <v>154</v>
      </c>
      <c r="B36" t="s">
        <v>153</v>
      </c>
      <c r="C36" t="s">
        <v>56</v>
      </c>
      <c r="D36" s="98">
        <v>0</v>
      </c>
      <c r="E36" t="s">
        <v>55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 x14ac:dyDescent="0.25">
      <c r="A37" t="s">
        <v>152</v>
      </c>
      <c r="B37" t="s">
        <v>151</v>
      </c>
      <c r="C37" t="s">
        <v>56</v>
      </c>
      <c r="D37" s="114">
        <v>40.090000000000003</v>
      </c>
      <c r="E37" t="s">
        <v>55</v>
      </c>
      <c r="F37">
        <v>8.01</v>
      </c>
      <c r="G37">
        <v>6.73</v>
      </c>
      <c r="H37">
        <v>5.31</v>
      </c>
      <c r="I37">
        <v>1.77</v>
      </c>
      <c r="J37">
        <v>0</v>
      </c>
      <c r="K37">
        <v>0</v>
      </c>
      <c r="L37">
        <v>0</v>
      </c>
      <c r="M37">
        <v>0</v>
      </c>
      <c r="N37">
        <v>0.6</v>
      </c>
      <c r="O37">
        <v>3.06</v>
      </c>
      <c r="P37">
        <v>6.35</v>
      </c>
      <c r="Q37">
        <v>8.26</v>
      </c>
    </row>
    <row r="38" spans="1:17" x14ac:dyDescent="0.25">
      <c r="A38" t="s">
        <v>150</v>
      </c>
      <c r="B38" t="s">
        <v>149</v>
      </c>
      <c r="C38" t="s">
        <v>56</v>
      </c>
      <c r="D38" s="98">
        <v>0</v>
      </c>
      <c r="E38" t="s">
        <v>55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 x14ac:dyDescent="0.25">
      <c r="A39" t="s">
        <v>148</v>
      </c>
      <c r="B39" t="s">
        <v>147</v>
      </c>
      <c r="C39" t="s">
        <v>56</v>
      </c>
      <c r="D39" s="98">
        <v>5715.01</v>
      </c>
      <c r="E39" t="s">
        <v>55</v>
      </c>
      <c r="F39">
        <v>985.89</v>
      </c>
      <c r="G39">
        <v>838.95</v>
      </c>
      <c r="H39">
        <v>720.86</v>
      </c>
      <c r="I39">
        <v>435.05</v>
      </c>
      <c r="J39">
        <v>0</v>
      </c>
      <c r="K39">
        <v>0</v>
      </c>
      <c r="L39">
        <v>0</v>
      </c>
      <c r="M39">
        <v>0</v>
      </c>
      <c r="N39">
        <v>366.05</v>
      </c>
      <c r="O39">
        <v>535.41999999999996</v>
      </c>
      <c r="P39">
        <v>817.36</v>
      </c>
      <c r="Q39" s="1">
        <v>1015.44</v>
      </c>
    </row>
    <row r="40" spans="1:17" x14ac:dyDescent="0.25">
      <c r="A40" t="s">
        <v>146</v>
      </c>
      <c r="B40" t="s">
        <v>145</v>
      </c>
      <c r="C40" t="s">
        <v>56</v>
      </c>
      <c r="D40" s="98">
        <v>0</v>
      </c>
      <c r="E40" t="s">
        <v>55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 x14ac:dyDescent="0.25">
      <c r="A41" t="s">
        <v>144</v>
      </c>
      <c r="B41" t="s">
        <v>143</v>
      </c>
      <c r="C41" t="s">
        <v>56</v>
      </c>
      <c r="D41" s="114">
        <v>2922.8</v>
      </c>
      <c r="E41" t="s">
        <v>55</v>
      </c>
      <c r="F41">
        <v>379.14</v>
      </c>
      <c r="G41">
        <v>341.41</v>
      </c>
      <c r="H41">
        <v>373.85</v>
      </c>
      <c r="I41">
        <v>354.84</v>
      </c>
      <c r="J41">
        <v>0</v>
      </c>
      <c r="K41">
        <v>0</v>
      </c>
      <c r="L41">
        <v>0</v>
      </c>
      <c r="M41">
        <v>0</v>
      </c>
      <c r="N41">
        <v>359.13</v>
      </c>
      <c r="O41">
        <v>370.97</v>
      </c>
      <c r="P41">
        <v>363.84</v>
      </c>
      <c r="Q41">
        <v>379.61</v>
      </c>
    </row>
    <row r="42" spans="1:17" x14ac:dyDescent="0.25">
      <c r="A42" t="s">
        <v>142</v>
      </c>
      <c r="B42" t="s">
        <v>141</v>
      </c>
      <c r="C42" t="s">
        <v>56</v>
      </c>
      <c r="D42" s="98">
        <v>0</v>
      </c>
      <c r="E42" t="s">
        <v>55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 x14ac:dyDescent="0.25">
      <c r="A43" t="s">
        <v>140</v>
      </c>
      <c r="B43" t="s">
        <v>139</v>
      </c>
      <c r="C43" t="s">
        <v>56</v>
      </c>
      <c r="D43" s="114">
        <v>2792.22</v>
      </c>
      <c r="E43" t="s">
        <v>55</v>
      </c>
      <c r="F43">
        <v>606.75</v>
      </c>
      <c r="G43">
        <v>497.54</v>
      </c>
      <c r="H43">
        <v>347</v>
      </c>
      <c r="I43">
        <v>80.209999999999994</v>
      </c>
      <c r="J43">
        <v>0</v>
      </c>
      <c r="K43">
        <v>0</v>
      </c>
      <c r="L43">
        <v>0</v>
      </c>
      <c r="M43">
        <v>0</v>
      </c>
      <c r="N43">
        <v>6.91</v>
      </c>
      <c r="O43">
        <v>164.45</v>
      </c>
      <c r="P43">
        <v>453.52</v>
      </c>
      <c r="Q43">
        <v>635.83000000000004</v>
      </c>
    </row>
    <row r="44" spans="1:17" x14ac:dyDescent="0.25">
      <c r="A44" t="s">
        <v>138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 x14ac:dyDescent="0.25">
      <c r="A45" t="s">
        <v>137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 x14ac:dyDescent="0.25">
      <c r="A46" t="s">
        <v>71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 x14ac:dyDescent="0.25">
      <c r="A47" t="s">
        <v>136</v>
      </c>
      <c r="B47" t="s">
        <v>135</v>
      </c>
      <c r="C47" t="s">
        <v>56</v>
      </c>
      <c r="D47">
        <v>156.66</v>
      </c>
      <c r="E47" t="s">
        <v>55</v>
      </c>
      <c r="F47">
        <v>26.98</v>
      </c>
      <c r="G47">
        <v>23.52</v>
      </c>
      <c r="H47">
        <v>22.42</v>
      </c>
      <c r="I47">
        <v>12.77</v>
      </c>
      <c r="J47">
        <v>0</v>
      </c>
      <c r="K47">
        <v>0</v>
      </c>
      <c r="L47">
        <v>0</v>
      </c>
      <c r="M47">
        <v>0</v>
      </c>
      <c r="N47">
        <v>1.38</v>
      </c>
      <c r="O47">
        <v>18.350000000000001</v>
      </c>
      <c r="P47">
        <v>23.8</v>
      </c>
      <c r="Q47">
        <v>27.44</v>
      </c>
    </row>
    <row r="48" spans="1:17" x14ac:dyDescent="0.25">
      <c r="A48" t="s">
        <v>115</v>
      </c>
      <c r="B48" t="s">
        <v>134</v>
      </c>
      <c r="C48" t="s">
        <v>56</v>
      </c>
      <c r="D48">
        <v>59.5</v>
      </c>
      <c r="E48" t="s">
        <v>55</v>
      </c>
      <c r="F48">
        <v>10.119999999999999</v>
      </c>
      <c r="G48">
        <v>8.9</v>
      </c>
      <c r="H48">
        <v>8.67</v>
      </c>
      <c r="I48">
        <v>4.99</v>
      </c>
      <c r="J48">
        <v>0</v>
      </c>
      <c r="K48">
        <v>0</v>
      </c>
      <c r="L48">
        <v>0</v>
      </c>
      <c r="M48">
        <v>0</v>
      </c>
      <c r="N48">
        <v>0.71</v>
      </c>
      <c r="O48">
        <v>6.8</v>
      </c>
      <c r="P48">
        <v>9.09</v>
      </c>
      <c r="Q48">
        <v>10.220000000000001</v>
      </c>
    </row>
    <row r="49" spans="1:17" x14ac:dyDescent="0.25">
      <c r="A49" t="s">
        <v>113</v>
      </c>
      <c r="B49" t="s">
        <v>133</v>
      </c>
      <c r="C49" t="s">
        <v>56</v>
      </c>
      <c r="D49">
        <v>0</v>
      </c>
      <c r="E49" t="s">
        <v>55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 x14ac:dyDescent="0.25">
      <c r="A50" t="s">
        <v>111</v>
      </c>
      <c r="B50" t="s">
        <v>132</v>
      </c>
      <c r="C50" t="s">
        <v>56</v>
      </c>
      <c r="D50">
        <v>97.16</v>
      </c>
      <c r="E50" t="s">
        <v>55</v>
      </c>
      <c r="F50">
        <v>16.86</v>
      </c>
      <c r="G50">
        <v>14.62</v>
      </c>
      <c r="H50">
        <v>13.75</v>
      </c>
      <c r="I50">
        <v>7.77</v>
      </c>
      <c r="J50">
        <v>0</v>
      </c>
      <c r="K50">
        <v>0</v>
      </c>
      <c r="L50">
        <v>0</v>
      </c>
      <c r="M50">
        <v>0</v>
      </c>
      <c r="N50">
        <v>0.67</v>
      </c>
      <c r="O50">
        <v>11.55</v>
      </c>
      <c r="P50">
        <v>14.71</v>
      </c>
      <c r="Q50">
        <v>17.21</v>
      </c>
    </row>
    <row r="51" spans="1:17" x14ac:dyDescent="0.25">
      <c r="A51" t="s">
        <v>109</v>
      </c>
      <c r="B51" t="s">
        <v>131</v>
      </c>
      <c r="C51" t="s">
        <v>56</v>
      </c>
      <c r="D51">
        <v>0</v>
      </c>
      <c r="E51" t="s">
        <v>55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 x14ac:dyDescent="0.25">
      <c r="A52" t="s">
        <v>74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 x14ac:dyDescent="0.25">
      <c r="A53" t="s">
        <v>76</v>
      </c>
      <c r="B53" t="s">
        <v>130</v>
      </c>
      <c r="C53" t="s">
        <v>56</v>
      </c>
      <c r="D53">
        <v>0</v>
      </c>
      <c r="E53" t="s">
        <v>55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 x14ac:dyDescent="0.25">
      <c r="A54" t="s">
        <v>115</v>
      </c>
      <c r="B54" t="s">
        <v>129</v>
      </c>
      <c r="C54" t="s">
        <v>56</v>
      </c>
      <c r="D54">
        <v>0</v>
      </c>
      <c r="E54" t="s">
        <v>55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1:17" x14ac:dyDescent="0.25">
      <c r="A55" t="s">
        <v>113</v>
      </c>
      <c r="B55" t="s">
        <v>128</v>
      </c>
      <c r="C55" t="s">
        <v>56</v>
      </c>
      <c r="D55">
        <v>0</v>
      </c>
      <c r="E55" t="s">
        <v>55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 x14ac:dyDescent="0.25">
      <c r="A56" t="s">
        <v>111</v>
      </c>
      <c r="B56" t="s">
        <v>127</v>
      </c>
      <c r="C56" t="s">
        <v>56</v>
      </c>
      <c r="D56">
        <v>0</v>
      </c>
      <c r="E56" t="s">
        <v>55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 x14ac:dyDescent="0.25">
      <c r="A57" t="s">
        <v>109</v>
      </c>
      <c r="B57" t="s">
        <v>126</v>
      </c>
      <c r="C57" t="s">
        <v>56</v>
      </c>
      <c r="D57">
        <v>0</v>
      </c>
      <c r="E57" t="s">
        <v>55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 x14ac:dyDescent="0.25">
      <c r="A58" t="s">
        <v>125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 x14ac:dyDescent="0.25">
      <c r="A59" t="s">
        <v>124</v>
      </c>
      <c r="B59" t="s">
        <v>123</v>
      </c>
      <c r="C59" t="s">
        <v>56</v>
      </c>
      <c r="D59">
        <v>0</v>
      </c>
      <c r="E59" t="s">
        <v>55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 x14ac:dyDescent="0.25">
      <c r="A60" t="s">
        <v>115</v>
      </c>
      <c r="B60" t="s">
        <v>122</v>
      </c>
      <c r="C60" t="s">
        <v>56</v>
      </c>
      <c r="D60">
        <v>0</v>
      </c>
      <c r="E60" t="s">
        <v>55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 x14ac:dyDescent="0.25">
      <c r="A61" t="s">
        <v>113</v>
      </c>
      <c r="B61" t="s">
        <v>121</v>
      </c>
      <c r="C61" t="s">
        <v>56</v>
      </c>
      <c r="D61">
        <v>0</v>
      </c>
      <c r="E61" t="s">
        <v>55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 x14ac:dyDescent="0.25">
      <c r="A62" t="s">
        <v>111</v>
      </c>
      <c r="B62" t="s">
        <v>120</v>
      </c>
      <c r="C62" t="s">
        <v>56</v>
      </c>
      <c r="D62">
        <v>0</v>
      </c>
      <c r="E62" t="s">
        <v>55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 x14ac:dyDescent="0.25">
      <c r="A63" t="s">
        <v>109</v>
      </c>
      <c r="B63" t="s">
        <v>119</v>
      </c>
      <c r="C63" t="s">
        <v>56</v>
      </c>
      <c r="D63">
        <v>0</v>
      </c>
      <c r="E63" t="s">
        <v>55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 x14ac:dyDescent="0.25">
      <c r="A64" t="s">
        <v>118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 x14ac:dyDescent="0.25">
      <c r="A65" t="s">
        <v>117</v>
      </c>
      <c r="B65" t="s">
        <v>116</v>
      </c>
      <c r="C65" t="s">
        <v>56</v>
      </c>
      <c r="D65" s="1">
        <v>1030.8399999999999</v>
      </c>
      <c r="E65" t="s">
        <v>55</v>
      </c>
      <c r="F65">
        <v>90.73</v>
      </c>
      <c r="G65">
        <v>81.8</v>
      </c>
      <c r="H65">
        <v>89.94</v>
      </c>
      <c r="I65">
        <v>85.38</v>
      </c>
      <c r="J65">
        <v>83.79</v>
      </c>
      <c r="K65">
        <v>81.09</v>
      </c>
      <c r="L65">
        <v>83.79</v>
      </c>
      <c r="M65">
        <v>83.79</v>
      </c>
      <c r="N65">
        <v>83.02</v>
      </c>
      <c r="O65">
        <v>89.29</v>
      </c>
      <c r="P65">
        <v>87.41</v>
      </c>
      <c r="Q65">
        <v>90.81</v>
      </c>
    </row>
    <row r="66" spans="1:17" x14ac:dyDescent="0.25">
      <c r="A66" t="s">
        <v>115</v>
      </c>
      <c r="B66" t="s">
        <v>114</v>
      </c>
      <c r="C66" t="s">
        <v>56</v>
      </c>
      <c r="D66">
        <v>997.26</v>
      </c>
      <c r="E66" t="s">
        <v>55</v>
      </c>
      <c r="F66">
        <v>85.55</v>
      </c>
      <c r="G66">
        <v>77.23</v>
      </c>
      <c r="H66">
        <v>85.3</v>
      </c>
      <c r="I66">
        <v>82.05</v>
      </c>
      <c r="J66">
        <v>83.79</v>
      </c>
      <c r="K66">
        <v>81.09</v>
      </c>
      <c r="L66">
        <v>83.79</v>
      </c>
      <c r="M66">
        <v>83.79</v>
      </c>
      <c r="N66">
        <v>81.430000000000007</v>
      </c>
      <c r="O66">
        <v>85</v>
      </c>
      <c r="P66">
        <v>82.67</v>
      </c>
      <c r="Q66">
        <v>85.57</v>
      </c>
    </row>
    <row r="67" spans="1:17" x14ac:dyDescent="0.25">
      <c r="A67" t="s">
        <v>113</v>
      </c>
      <c r="B67" t="s">
        <v>112</v>
      </c>
      <c r="C67" t="s">
        <v>56</v>
      </c>
      <c r="D67">
        <v>0</v>
      </c>
      <c r="E67" t="s">
        <v>55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 x14ac:dyDescent="0.25">
      <c r="A68" t="s">
        <v>111</v>
      </c>
      <c r="B68" t="s">
        <v>110</v>
      </c>
      <c r="C68" t="s">
        <v>56</v>
      </c>
      <c r="D68">
        <v>33.58</v>
      </c>
      <c r="E68" t="s">
        <v>55</v>
      </c>
      <c r="F68">
        <v>5.18</v>
      </c>
      <c r="G68">
        <v>4.57</v>
      </c>
      <c r="H68">
        <v>4.6500000000000004</v>
      </c>
      <c r="I68">
        <v>3.33</v>
      </c>
      <c r="J68">
        <v>0</v>
      </c>
      <c r="K68">
        <v>0</v>
      </c>
      <c r="L68">
        <v>0</v>
      </c>
      <c r="M68">
        <v>0</v>
      </c>
      <c r="N68">
        <v>1.59</v>
      </c>
      <c r="O68">
        <v>4.28</v>
      </c>
      <c r="P68">
        <v>4.74</v>
      </c>
      <c r="Q68">
        <v>5.23</v>
      </c>
    </row>
    <row r="69" spans="1:17" x14ac:dyDescent="0.25">
      <c r="A69" t="s">
        <v>109</v>
      </c>
      <c r="B69" t="s">
        <v>108</v>
      </c>
      <c r="C69" t="s">
        <v>56</v>
      </c>
      <c r="D69">
        <v>0</v>
      </c>
      <c r="E69" t="s">
        <v>55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2" spans="1:17" x14ac:dyDescent="0.25">
      <c r="B72" s="111"/>
      <c r="D72" s="111"/>
    </row>
    <row r="73" spans="1:17" x14ac:dyDescent="0.25">
      <c r="D73" s="111"/>
    </row>
    <row r="74" spans="1:17" x14ac:dyDescent="0.25">
      <c r="D74" s="111"/>
      <c r="E74" s="111"/>
    </row>
  </sheetData>
  <pageMargins left="0.7" right="0.7" top="0.78740157499999996" bottom="0.78740157499999996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 tint="-0.249977111117893"/>
  </sheetPr>
  <dimension ref="A1:Q18"/>
  <sheetViews>
    <sheetView showGridLines="0" workbookViewId="0"/>
  </sheetViews>
  <sheetFormatPr baseColWidth="10" defaultRowHeight="15" x14ac:dyDescent="0.25"/>
  <cols>
    <col min="1" max="1" width="31.42578125" bestFit="1" customWidth="1"/>
    <col min="2" max="2" width="16.14062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85546875" bestFit="1" customWidth="1"/>
    <col min="7" max="7" width="7.42578125" bestFit="1" customWidth="1"/>
    <col min="8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363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82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362</v>
      </c>
      <c r="B4" t="s">
        <v>361</v>
      </c>
      <c r="C4" t="s">
        <v>56</v>
      </c>
      <c r="D4" s="1">
        <v>7552.11</v>
      </c>
      <c r="E4" t="s">
        <v>55</v>
      </c>
      <c r="F4">
        <v>606.79999999999995</v>
      </c>
      <c r="G4">
        <v>547</v>
      </c>
      <c r="H4">
        <v>601.83000000000004</v>
      </c>
      <c r="I4">
        <v>576.82000000000005</v>
      </c>
      <c r="J4">
        <v>700.72</v>
      </c>
      <c r="K4">
        <v>674.8</v>
      </c>
      <c r="L4">
        <v>694.09</v>
      </c>
      <c r="M4">
        <v>694.27</v>
      </c>
      <c r="N4">
        <v>668.16</v>
      </c>
      <c r="O4">
        <v>596.5</v>
      </c>
      <c r="P4">
        <v>583.74</v>
      </c>
      <c r="Q4">
        <v>607.39</v>
      </c>
    </row>
    <row r="5" spans="1:17" x14ac:dyDescent="0.25">
      <c r="A5" t="s">
        <v>154</v>
      </c>
      <c r="B5" t="s">
        <v>360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152</v>
      </c>
      <c r="B6" t="s">
        <v>359</v>
      </c>
      <c r="C6" t="s">
        <v>56</v>
      </c>
      <c r="D6">
        <v>539.69000000000005</v>
      </c>
      <c r="E6" t="s">
        <v>55</v>
      </c>
      <c r="F6">
        <v>1.81</v>
      </c>
      <c r="G6">
        <v>1.45</v>
      </c>
      <c r="H6">
        <v>0.92</v>
      </c>
      <c r="I6">
        <v>0.09</v>
      </c>
      <c r="J6">
        <v>110.17</v>
      </c>
      <c r="K6">
        <v>106.06</v>
      </c>
      <c r="L6">
        <v>108.93</v>
      </c>
      <c r="M6">
        <v>108.67</v>
      </c>
      <c r="N6">
        <v>96.86</v>
      </c>
      <c r="O6">
        <v>0.88</v>
      </c>
      <c r="P6">
        <v>1.57</v>
      </c>
      <c r="Q6">
        <v>2.29</v>
      </c>
    </row>
    <row r="7" spans="1:17" x14ac:dyDescent="0.25">
      <c r="A7" t="s">
        <v>150</v>
      </c>
      <c r="B7" t="s">
        <v>358</v>
      </c>
      <c r="C7" t="s">
        <v>56</v>
      </c>
      <c r="D7" s="1">
        <v>3400.46</v>
      </c>
      <c r="E7" t="s">
        <v>55</v>
      </c>
      <c r="F7">
        <v>91.81</v>
      </c>
      <c r="G7">
        <v>108.81</v>
      </c>
      <c r="H7">
        <v>234.63</v>
      </c>
      <c r="I7">
        <v>465.86</v>
      </c>
      <c r="J7">
        <v>418.26</v>
      </c>
      <c r="K7">
        <v>455.66</v>
      </c>
      <c r="L7">
        <v>482.87</v>
      </c>
      <c r="M7">
        <v>401.25</v>
      </c>
      <c r="N7">
        <v>363.85</v>
      </c>
      <c r="O7">
        <v>238.03</v>
      </c>
      <c r="P7">
        <v>112.22</v>
      </c>
      <c r="Q7">
        <v>27.2</v>
      </c>
    </row>
    <row r="8" spans="1:17" x14ac:dyDescent="0.25">
      <c r="A8" t="s">
        <v>148</v>
      </c>
      <c r="B8" t="s">
        <v>357</v>
      </c>
      <c r="C8" t="s">
        <v>56</v>
      </c>
      <c r="D8" s="1">
        <v>3611.96</v>
      </c>
      <c r="E8" t="s">
        <v>55</v>
      </c>
      <c r="F8">
        <v>513.17999999999995</v>
      </c>
      <c r="G8">
        <v>436.73</v>
      </c>
      <c r="H8">
        <v>366.28</v>
      </c>
      <c r="I8">
        <v>110.87</v>
      </c>
      <c r="J8">
        <v>172.3</v>
      </c>
      <c r="K8">
        <v>113.07</v>
      </c>
      <c r="L8">
        <v>102.29</v>
      </c>
      <c r="M8">
        <v>184.35</v>
      </c>
      <c r="N8">
        <v>207.44</v>
      </c>
      <c r="O8">
        <v>357.59</v>
      </c>
      <c r="P8">
        <v>469.95</v>
      </c>
      <c r="Q8">
        <v>577.9</v>
      </c>
    </row>
    <row r="9" spans="1:17" x14ac:dyDescent="0.25">
      <c r="A9" t="s">
        <v>146</v>
      </c>
      <c r="B9" t="s">
        <v>356</v>
      </c>
      <c r="C9" t="s">
        <v>56</v>
      </c>
      <c r="D9">
        <v>327.14</v>
      </c>
      <c r="E9" t="s">
        <v>55</v>
      </c>
      <c r="F9">
        <v>28.38</v>
      </c>
      <c r="G9">
        <v>25.58</v>
      </c>
      <c r="H9">
        <v>28.12</v>
      </c>
      <c r="I9">
        <v>26.91</v>
      </c>
      <c r="J9">
        <v>27.47</v>
      </c>
      <c r="K9">
        <v>26.41</v>
      </c>
      <c r="L9">
        <v>27.13</v>
      </c>
      <c r="M9">
        <v>27.15</v>
      </c>
      <c r="N9">
        <v>26.57</v>
      </c>
      <c r="O9">
        <v>27.79</v>
      </c>
      <c r="P9">
        <v>27.25</v>
      </c>
      <c r="Q9">
        <v>28.39</v>
      </c>
    </row>
    <row r="10" spans="1:17" x14ac:dyDescent="0.25">
      <c r="A10" t="s">
        <v>144</v>
      </c>
      <c r="B10" t="s">
        <v>355</v>
      </c>
      <c r="C10" t="s">
        <v>56</v>
      </c>
      <c r="D10" s="1">
        <v>3432.03</v>
      </c>
      <c r="E10" t="s">
        <v>55</v>
      </c>
      <c r="F10">
        <v>300.31</v>
      </c>
      <c r="G10">
        <v>270.41000000000003</v>
      </c>
      <c r="H10">
        <v>296.49</v>
      </c>
      <c r="I10">
        <v>282.43</v>
      </c>
      <c r="J10">
        <v>286.79000000000002</v>
      </c>
      <c r="K10">
        <v>274.94</v>
      </c>
      <c r="L10">
        <v>281.73</v>
      </c>
      <c r="M10">
        <v>282.14</v>
      </c>
      <c r="N10">
        <v>277.33999999999997</v>
      </c>
      <c r="O10">
        <v>291.52999999999997</v>
      </c>
      <c r="P10">
        <v>287.52</v>
      </c>
      <c r="Q10">
        <v>300.41000000000003</v>
      </c>
    </row>
    <row r="11" spans="1:17" x14ac:dyDescent="0.25">
      <c r="A11" t="s">
        <v>142</v>
      </c>
      <c r="B11" t="s">
        <v>354</v>
      </c>
      <c r="C11" t="s">
        <v>56</v>
      </c>
      <c r="D11">
        <v>0</v>
      </c>
      <c r="E11" t="s">
        <v>55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t="s">
        <v>140</v>
      </c>
      <c r="B12" t="s">
        <v>353</v>
      </c>
      <c r="C12" t="s">
        <v>56</v>
      </c>
      <c r="D12" s="1">
        <v>3253.25</v>
      </c>
      <c r="E12" t="s">
        <v>55</v>
      </c>
      <c r="F12">
        <v>276.3</v>
      </c>
      <c r="G12">
        <v>249.56</v>
      </c>
      <c r="H12">
        <v>276.3</v>
      </c>
      <c r="I12">
        <v>267.39</v>
      </c>
      <c r="J12">
        <v>276.3</v>
      </c>
      <c r="K12">
        <v>267.39</v>
      </c>
      <c r="L12">
        <v>276.3</v>
      </c>
      <c r="M12">
        <v>276.3</v>
      </c>
      <c r="N12">
        <v>267.39</v>
      </c>
      <c r="O12">
        <v>276.3</v>
      </c>
      <c r="P12">
        <v>267.39</v>
      </c>
      <c r="Q12">
        <v>276.3</v>
      </c>
    </row>
    <row r="13" spans="1:17" x14ac:dyDescent="0.25">
      <c r="A13" t="s">
        <v>137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t="s">
        <v>81</v>
      </c>
      <c r="B14" t="s">
        <v>130</v>
      </c>
      <c r="C14" t="s">
        <v>56</v>
      </c>
      <c r="D14">
        <v>289.63</v>
      </c>
      <c r="E14" t="s">
        <v>55</v>
      </c>
      <c r="F14">
        <v>10.65</v>
      </c>
      <c r="G14">
        <v>10.85</v>
      </c>
      <c r="H14">
        <v>17.47</v>
      </c>
      <c r="I14">
        <v>28.31</v>
      </c>
      <c r="J14">
        <v>37.270000000000003</v>
      </c>
      <c r="K14">
        <v>38.53</v>
      </c>
      <c r="L14">
        <v>40.39</v>
      </c>
      <c r="M14">
        <v>36.44</v>
      </c>
      <c r="N14">
        <v>33.130000000000003</v>
      </c>
      <c r="O14">
        <v>17.62</v>
      </c>
      <c r="P14">
        <v>11.41</v>
      </c>
      <c r="Q14">
        <v>7.56</v>
      </c>
    </row>
    <row r="15" spans="1:17" x14ac:dyDescent="0.25">
      <c r="A15" t="s">
        <v>115</v>
      </c>
      <c r="B15" t="s">
        <v>352</v>
      </c>
      <c r="C15" t="s">
        <v>56</v>
      </c>
      <c r="D15">
        <v>231.48</v>
      </c>
      <c r="E15" t="s">
        <v>55</v>
      </c>
      <c r="F15">
        <v>5.71</v>
      </c>
      <c r="G15">
        <v>6.39</v>
      </c>
      <c r="H15">
        <v>12.53</v>
      </c>
      <c r="I15">
        <v>23.53</v>
      </c>
      <c r="J15">
        <v>32.33</v>
      </c>
      <c r="K15">
        <v>33.75</v>
      </c>
      <c r="L15">
        <v>35.46</v>
      </c>
      <c r="M15">
        <v>31.5</v>
      </c>
      <c r="N15">
        <v>28.35</v>
      </c>
      <c r="O15">
        <v>12.68</v>
      </c>
      <c r="P15">
        <v>6.63</v>
      </c>
      <c r="Q15">
        <v>2.62</v>
      </c>
    </row>
    <row r="16" spans="1:17" x14ac:dyDescent="0.25">
      <c r="A16" t="s">
        <v>113</v>
      </c>
      <c r="B16" t="s">
        <v>351</v>
      </c>
      <c r="C16" t="s">
        <v>56</v>
      </c>
      <c r="D16">
        <v>0</v>
      </c>
      <c r="E16" t="s">
        <v>55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t="s">
        <v>111</v>
      </c>
      <c r="B17" t="s">
        <v>350</v>
      </c>
      <c r="C17" t="s">
        <v>56</v>
      </c>
      <c r="D17">
        <v>58.15</v>
      </c>
      <c r="E17" t="s">
        <v>55</v>
      </c>
      <c r="F17">
        <v>4.9400000000000004</v>
      </c>
      <c r="G17">
        <v>4.46</v>
      </c>
      <c r="H17">
        <v>4.9400000000000004</v>
      </c>
      <c r="I17">
        <v>4.78</v>
      </c>
      <c r="J17">
        <v>4.9400000000000004</v>
      </c>
      <c r="K17">
        <v>4.78</v>
      </c>
      <c r="L17">
        <v>4.9400000000000004</v>
      </c>
      <c r="M17">
        <v>4.9400000000000004</v>
      </c>
      <c r="N17">
        <v>4.78</v>
      </c>
      <c r="O17">
        <v>4.9400000000000004</v>
      </c>
      <c r="P17">
        <v>4.78</v>
      </c>
      <c r="Q17">
        <v>4.9400000000000004</v>
      </c>
    </row>
    <row r="18" spans="1:17" x14ac:dyDescent="0.25">
      <c r="A18" t="s">
        <v>109</v>
      </c>
      <c r="B18" t="s">
        <v>349</v>
      </c>
      <c r="C18" t="s">
        <v>56</v>
      </c>
      <c r="D18">
        <v>0</v>
      </c>
      <c r="E18" t="s">
        <v>55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E14"/>
  <sheetViews>
    <sheetView showGridLines="0" workbookViewId="0"/>
  </sheetViews>
  <sheetFormatPr baseColWidth="10" defaultRowHeight="15" x14ac:dyDescent="0.25"/>
  <cols>
    <col min="1" max="1" width="18.140625" bestFit="1" customWidth="1"/>
    <col min="2" max="2" width="34.5703125" bestFit="1" customWidth="1"/>
    <col min="3" max="3" width="12.85546875" bestFit="1" customWidth="1"/>
    <col min="4" max="4" width="8.85546875" bestFit="1" customWidth="1"/>
    <col min="5" max="5" width="6.5703125" bestFit="1" customWidth="1"/>
  </cols>
  <sheetData>
    <row r="1" spans="1:5" x14ac:dyDescent="0.25">
      <c r="A1" t="s">
        <v>0</v>
      </c>
      <c r="C1" t="s">
        <v>1</v>
      </c>
      <c r="D1" t="s">
        <v>3</v>
      </c>
      <c r="E1" t="s">
        <v>2</v>
      </c>
    </row>
    <row r="2" spans="1:5" x14ac:dyDescent="0.25">
      <c r="A2" t="s">
        <v>387</v>
      </c>
    </row>
    <row r="3" spans="1:5" x14ac:dyDescent="0.25">
      <c r="B3" t="s">
        <v>416</v>
      </c>
      <c r="D3">
        <v>531.08000000000004</v>
      </c>
      <c r="E3" t="s">
        <v>385</v>
      </c>
    </row>
    <row r="4" spans="1:5" x14ac:dyDescent="0.25">
      <c r="A4" t="s">
        <v>415</v>
      </c>
    </row>
    <row r="5" spans="1:5" x14ac:dyDescent="0.25">
      <c r="B5" t="s">
        <v>414</v>
      </c>
      <c r="D5">
        <v>191.81</v>
      </c>
      <c r="E5" t="s">
        <v>19</v>
      </c>
    </row>
    <row r="6" spans="1:5" x14ac:dyDescent="0.25">
      <c r="B6" t="s">
        <v>413</v>
      </c>
      <c r="D6">
        <v>0.36</v>
      </c>
      <c r="E6" t="s">
        <v>19</v>
      </c>
    </row>
    <row r="7" spans="1:5" x14ac:dyDescent="0.25">
      <c r="A7" t="s">
        <v>412</v>
      </c>
    </row>
    <row r="8" spans="1:5" x14ac:dyDescent="0.25">
      <c r="B8" t="s">
        <v>380</v>
      </c>
      <c r="D8" s="1">
        <v>16272.38</v>
      </c>
      <c r="E8" t="s">
        <v>56</v>
      </c>
    </row>
    <row r="9" spans="1:5" x14ac:dyDescent="0.25">
      <c r="B9" t="s">
        <v>68</v>
      </c>
      <c r="D9" s="1">
        <v>13465.04</v>
      </c>
      <c r="E9" t="s">
        <v>56</v>
      </c>
    </row>
    <row r="10" spans="1:5" x14ac:dyDescent="0.25">
      <c r="B10" t="s">
        <v>82</v>
      </c>
      <c r="D10" s="1">
        <v>4829.6400000000003</v>
      </c>
      <c r="E10" t="s">
        <v>56</v>
      </c>
    </row>
    <row r="11" spans="1:5" x14ac:dyDescent="0.25">
      <c r="B11" t="s">
        <v>60</v>
      </c>
      <c r="D11">
        <v>0</v>
      </c>
      <c r="E11" t="s">
        <v>56</v>
      </c>
    </row>
    <row r="12" spans="1:5" x14ac:dyDescent="0.25">
      <c r="B12" t="s">
        <v>379</v>
      </c>
      <c r="D12">
        <v>0</v>
      </c>
      <c r="E12" t="s">
        <v>56</v>
      </c>
    </row>
    <row r="13" spans="1:5" x14ac:dyDescent="0.25">
      <c r="B13" t="s">
        <v>378</v>
      </c>
      <c r="D13">
        <v>0</v>
      </c>
      <c r="E13" t="s">
        <v>56</v>
      </c>
    </row>
    <row r="14" spans="1:5" x14ac:dyDescent="0.25">
      <c r="B14" t="s">
        <v>377</v>
      </c>
      <c r="D14" s="1">
        <v>2022.3</v>
      </c>
      <c r="E14" t="s">
        <v>56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Q19"/>
  <sheetViews>
    <sheetView showGridLines="0" workbookViewId="0"/>
  </sheetViews>
  <sheetFormatPr baseColWidth="10" defaultRowHeight="15" x14ac:dyDescent="0.25"/>
  <cols>
    <col min="1" max="1" width="64.28515625" bestFit="1" customWidth="1"/>
    <col min="2" max="2" width="15.140625" bestFit="1" customWidth="1"/>
    <col min="3" max="3" width="6.5703125" bestFit="1" customWidth="1"/>
    <col min="4" max="4" width="5" bestFit="1" customWidth="1"/>
    <col min="5" max="5" width="12.85546875" bestFit="1" customWidth="1"/>
    <col min="6" max="6" width="6.85546875" bestFit="1" customWidth="1"/>
    <col min="7" max="7" width="7.42578125" bestFit="1" customWidth="1"/>
    <col min="8" max="8" width="5.85546875" bestFit="1" customWidth="1"/>
    <col min="9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17</v>
      </c>
      <c r="B2" t="s">
        <v>18</v>
      </c>
      <c r="C2" t="s">
        <v>19</v>
      </c>
      <c r="D2">
        <v>0</v>
      </c>
      <c r="E2" t="s">
        <v>19</v>
      </c>
      <c r="F2">
        <v>100.25</v>
      </c>
      <c r="G2">
        <v>100.97</v>
      </c>
      <c r="H2">
        <v>103.2</v>
      </c>
      <c r="I2">
        <v>106.78</v>
      </c>
      <c r="J2">
        <v>110.68</v>
      </c>
      <c r="K2">
        <v>112.75</v>
      </c>
      <c r="L2">
        <v>114.58</v>
      </c>
      <c r="M2">
        <v>114.26</v>
      </c>
      <c r="N2">
        <v>110.84</v>
      </c>
      <c r="O2">
        <v>107.02</v>
      </c>
      <c r="P2">
        <v>102.72</v>
      </c>
      <c r="Q2">
        <v>100.17</v>
      </c>
    </row>
    <row r="3" spans="1:17" x14ac:dyDescent="0.25">
      <c r="A3" t="s">
        <v>20</v>
      </c>
      <c r="B3" t="s">
        <v>21</v>
      </c>
      <c r="C3" t="s">
        <v>19</v>
      </c>
      <c r="D3">
        <v>0</v>
      </c>
      <c r="E3" t="s">
        <v>19</v>
      </c>
      <c r="F3">
        <v>13.92</v>
      </c>
      <c r="G3">
        <v>13.92</v>
      </c>
      <c r="H3">
        <v>13.92</v>
      </c>
      <c r="I3">
        <v>13.92</v>
      </c>
      <c r="J3">
        <v>13.92</v>
      </c>
      <c r="K3">
        <v>13.92</v>
      </c>
      <c r="L3">
        <v>13.92</v>
      </c>
      <c r="M3">
        <v>13.92</v>
      </c>
      <c r="N3">
        <v>13.92</v>
      </c>
      <c r="O3">
        <v>13.92</v>
      </c>
      <c r="P3">
        <v>13.92</v>
      </c>
      <c r="Q3">
        <v>13.92</v>
      </c>
    </row>
    <row r="4" spans="1:17" x14ac:dyDescent="0.25">
      <c r="A4" t="s">
        <v>22</v>
      </c>
      <c r="B4" t="s">
        <v>23</v>
      </c>
      <c r="C4" t="s">
        <v>24</v>
      </c>
      <c r="D4">
        <v>0</v>
      </c>
      <c r="E4" t="s">
        <v>24</v>
      </c>
      <c r="F4">
        <v>7.0000000000000007E-2</v>
      </c>
      <c r="G4">
        <v>7.0000000000000007E-2</v>
      </c>
      <c r="H4">
        <v>7.0000000000000007E-2</v>
      </c>
      <c r="I4">
        <v>7.0000000000000007E-2</v>
      </c>
      <c r="J4">
        <v>7.0000000000000007E-2</v>
      </c>
      <c r="K4">
        <v>7.0000000000000007E-2</v>
      </c>
      <c r="L4">
        <v>7.0000000000000007E-2</v>
      </c>
      <c r="M4">
        <v>7.0000000000000007E-2</v>
      </c>
      <c r="N4">
        <v>7.0000000000000007E-2</v>
      </c>
      <c r="O4">
        <v>7.0000000000000007E-2</v>
      </c>
      <c r="P4">
        <v>7.0000000000000007E-2</v>
      </c>
      <c r="Q4">
        <v>7.0000000000000007E-2</v>
      </c>
    </row>
    <row r="5" spans="1:17" x14ac:dyDescent="0.25">
      <c r="A5" t="s">
        <v>25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26</v>
      </c>
      <c r="B6" t="s">
        <v>27</v>
      </c>
      <c r="C6" t="s">
        <v>24</v>
      </c>
      <c r="D6">
        <v>1</v>
      </c>
      <c r="E6" t="s">
        <v>24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28</v>
      </c>
      <c r="B7" t="s">
        <v>29</v>
      </c>
      <c r="C7" t="s">
        <v>30</v>
      </c>
      <c r="D7">
        <v>1</v>
      </c>
      <c r="E7" t="s">
        <v>30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t="s">
        <v>31</v>
      </c>
      <c r="B8" t="s">
        <v>32</v>
      </c>
      <c r="C8" t="s">
        <v>30</v>
      </c>
      <c r="D8">
        <v>1</v>
      </c>
      <c r="E8" t="s">
        <v>30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t="s">
        <v>33</v>
      </c>
      <c r="B9" t="s">
        <v>34</v>
      </c>
      <c r="C9" t="s">
        <v>19</v>
      </c>
      <c r="D9">
        <v>0</v>
      </c>
      <c r="E9" t="s">
        <v>19</v>
      </c>
      <c r="F9">
        <v>16.71</v>
      </c>
      <c r="G9">
        <v>17.43</v>
      </c>
      <c r="H9">
        <v>19.649999999999999</v>
      </c>
      <c r="I9">
        <v>23.23</v>
      </c>
      <c r="J9">
        <v>27.13</v>
      </c>
      <c r="K9">
        <v>29.2</v>
      </c>
      <c r="L9">
        <v>31.03</v>
      </c>
      <c r="M9">
        <v>30.71</v>
      </c>
      <c r="N9">
        <v>27.29</v>
      </c>
      <c r="O9">
        <v>23.47</v>
      </c>
      <c r="P9">
        <v>19.18</v>
      </c>
      <c r="Q9">
        <v>16.63</v>
      </c>
    </row>
    <row r="10" spans="1:17" x14ac:dyDescent="0.25">
      <c r="A10" t="s">
        <v>35</v>
      </c>
      <c r="B10" t="s">
        <v>36</v>
      </c>
      <c r="C10" t="s">
        <v>24</v>
      </c>
      <c r="D10">
        <v>0</v>
      </c>
      <c r="E10" t="s">
        <v>24</v>
      </c>
      <c r="F10">
        <v>0.08</v>
      </c>
      <c r="G10">
        <v>0.09</v>
      </c>
      <c r="H10">
        <v>0.1</v>
      </c>
      <c r="I10">
        <v>0.12</v>
      </c>
      <c r="J10">
        <v>0.14000000000000001</v>
      </c>
      <c r="K10">
        <v>0.15</v>
      </c>
      <c r="L10">
        <v>0.16</v>
      </c>
      <c r="M10">
        <v>0.15</v>
      </c>
      <c r="N10">
        <v>0.14000000000000001</v>
      </c>
      <c r="O10">
        <v>0.12</v>
      </c>
      <c r="P10">
        <v>0.1</v>
      </c>
      <c r="Q10">
        <v>0.08</v>
      </c>
    </row>
    <row r="11" spans="1:17" x14ac:dyDescent="0.25">
      <c r="A11" t="s">
        <v>37</v>
      </c>
      <c r="B11" t="s">
        <v>38</v>
      </c>
      <c r="C11" t="s">
        <v>30</v>
      </c>
      <c r="D11">
        <v>0</v>
      </c>
      <c r="E11" t="s">
        <v>30</v>
      </c>
      <c r="F11">
        <v>0.84</v>
      </c>
      <c r="G11">
        <v>0.88</v>
      </c>
      <c r="H11">
        <v>0.99</v>
      </c>
      <c r="I11">
        <v>1.17</v>
      </c>
      <c r="J11">
        <v>1.36</v>
      </c>
      <c r="K11">
        <v>1.47</v>
      </c>
      <c r="L11">
        <v>1.56</v>
      </c>
      <c r="M11">
        <v>1.54</v>
      </c>
      <c r="N11">
        <v>1.37</v>
      </c>
      <c r="O11">
        <v>1.18</v>
      </c>
      <c r="P11">
        <v>0.96</v>
      </c>
      <c r="Q11">
        <v>0.84</v>
      </c>
    </row>
    <row r="12" spans="1:17" x14ac:dyDescent="0.25">
      <c r="A12" t="s">
        <v>39</v>
      </c>
      <c r="B12" t="s">
        <v>40</v>
      </c>
      <c r="C12" t="s">
        <v>24</v>
      </c>
      <c r="D12">
        <v>0</v>
      </c>
      <c r="E12" t="s">
        <v>24</v>
      </c>
      <c r="F12">
        <v>0.08</v>
      </c>
      <c r="G12">
        <v>0.09</v>
      </c>
      <c r="H12">
        <v>0.1</v>
      </c>
      <c r="I12">
        <v>0.12</v>
      </c>
      <c r="J12">
        <v>0.14000000000000001</v>
      </c>
      <c r="K12">
        <v>0.15</v>
      </c>
      <c r="L12">
        <v>0.16</v>
      </c>
      <c r="M12">
        <v>0.15</v>
      </c>
      <c r="N12">
        <v>0.14000000000000001</v>
      </c>
      <c r="O12">
        <v>0.12</v>
      </c>
      <c r="P12">
        <v>0.1</v>
      </c>
      <c r="Q12">
        <v>0.08</v>
      </c>
    </row>
    <row r="13" spans="1:17" x14ac:dyDescent="0.25">
      <c r="A13" t="s">
        <v>41</v>
      </c>
      <c r="B13" t="s">
        <v>42</v>
      </c>
      <c r="C13" t="s">
        <v>19</v>
      </c>
      <c r="D13">
        <v>0</v>
      </c>
      <c r="E13" t="s">
        <v>19</v>
      </c>
      <c r="F13">
        <v>69.62</v>
      </c>
      <c r="G13">
        <v>69.62</v>
      </c>
      <c r="H13">
        <v>69.62</v>
      </c>
      <c r="I13">
        <v>69.62</v>
      </c>
      <c r="J13">
        <v>69.62</v>
      </c>
      <c r="K13">
        <v>69.62</v>
      </c>
      <c r="L13">
        <v>69.62</v>
      </c>
      <c r="M13">
        <v>69.62</v>
      </c>
      <c r="N13">
        <v>69.62</v>
      </c>
      <c r="O13">
        <v>69.62</v>
      </c>
      <c r="P13">
        <v>69.62</v>
      </c>
      <c r="Q13">
        <v>69.62</v>
      </c>
    </row>
    <row r="14" spans="1:17" x14ac:dyDescent="0.25">
      <c r="A14" t="s">
        <v>43</v>
      </c>
      <c r="B14" t="s">
        <v>44</v>
      </c>
      <c r="C14" t="s">
        <v>24</v>
      </c>
      <c r="D14">
        <v>0</v>
      </c>
      <c r="E14" t="s">
        <v>24</v>
      </c>
      <c r="F14">
        <v>0.35</v>
      </c>
      <c r="G14">
        <v>0.35</v>
      </c>
      <c r="H14">
        <v>0.35</v>
      </c>
      <c r="I14">
        <v>0.35</v>
      </c>
      <c r="J14">
        <v>0.35</v>
      </c>
      <c r="K14">
        <v>0.35</v>
      </c>
      <c r="L14">
        <v>0.35</v>
      </c>
      <c r="M14">
        <v>0.35</v>
      </c>
      <c r="N14">
        <v>0.35</v>
      </c>
      <c r="O14">
        <v>0.35</v>
      </c>
      <c r="P14">
        <v>0.35</v>
      </c>
      <c r="Q14">
        <v>0.35</v>
      </c>
    </row>
    <row r="15" spans="1:17" x14ac:dyDescent="0.25">
      <c r="A15" t="s">
        <v>45</v>
      </c>
      <c r="B15" t="s">
        <v>46</v>
      </c>
      <c r="C15" t="s">
        <v>24</v>
      </c>
      <c r="D15">
        <v>0</v>
      </c>
      <c r="E15" t="s">
        <v>24</v>
      </c>
      <c r="F15">
        <v>0.35</v>
      </c>
      <c r="G15">
        <v>0.35</v>
      </c>
      <c r="H15">
        <v>0.35</v>
      </c>
      <c r="I15">
        <v>0.35</v>
      </c>
      <c r="J15">
        <v>0.35</v>
      </c>
      <c r="K15">
        <v>0.35</v>
      </c>
      <c r="L15">
        <v>0.35</v>
      </c>
      <c r="M15">
        <v>0.35</v>
      </c>
      <c r="N15">
        <v>0.35</v>
      </c>
      <c r="O15">
        <v>0.35</v>
      </c>
      <c r="P15">
        <v>0.35</v>
      </c>
      <c r="Q15">
        <v>0.35</v>
      </c>
    </row>
    <row r="16" spans="1:17" x14ac:dyDescent="0.25">
      <c r="A16" t="s">
        <v>47</v>
      </c>
      <c r="B16" t="s">
        <v>48</v>
      </c>
      <c r="C16" t="s">
        <v>24</v>
      </c>
      <c r="D16">
        <v>0</v>
      </c>
      <c r="E16" t="s">
        <v>24</v>
      </c>
      <c r="F16">
        <v>0.35</v>
      </c>
      <c r="G16">
        <v>0.35</v>
      </c>
      <c r="H16">
        <v>0.35</v>
      </c>
      <c r="I16">
        <v>0.35</v>
      </c>
      <c r="J16">
        <v>0.35</v>
      </c>
      <c r="K16">
        <v>0.35</v>
      </c>
      <c r="L16">
        <v>0.35</v>
      </c>
      <c r="M16">
        <v>0.35</v>
      </c>
      <c r="N16">
        <v>0.35</v>
      </c>
      <c r="O16">
        <v>0.35</v>
      </c>
      <c r="P16">
        <v>0.35</v>
      </c>
      <c r="Q16">
        <v>0.35</v>
      </c>
    </row>
    <row r="17" spans="1:17" x14ac:dyDescent="0.25">
      <c r="A17" t="s">
        <v>49</v>
      </c>
      <c r="B17" t="s">
        <v>50</v>
      </c>
      <c r="C17" t="s">
        <v>19</v>
      </c>
      <c r="D17">
        <v>0</v>
      </c>
      <c r="E17" t="s">
        <v>19</v>
      </c>
      <c r="F17">
        <v>69.62</v>
      </c>
      <c r="G17">
        <v>69.62</v>
      </c>
      <c r="H17">
        <v>69.62</v>
      </c>
      <c r="I17">
        <v>69.62</v>
      </c>
      <c r="J17">
        <v>69.62</v>
      </c>
      <c r="K17">
        <v>69.62</v>
      </c>
      <c r="L17">
        <v>69.62</v>
      </c>
      <c r="M17">
        <v>69.62</v>
      </c>
      <c r="N17">
        <v>69.62</v>
      </c>
      <c r="O17">
        <v>69.62</v>
      </c>
      <c r="P17">
        <v>69.62</v>
      </c>
      <c r="Q17">
        <v>69.62</v>
      </c>
    </row>
    <row r="18" spans="1:17" x14ac:dyDescent="0.25">
      <c r="A18" t="s">
        <v>51</v>
      </c>
      <c r="B18" t="s">
        <v>52</v>
      </c>
      <c r="C18" t="s">
        <v>19</v>
      </c>
      <c r="D18">
        <v>0</v>
      </c>
      <c r="E18" t="s">
        <v>19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x14ac:dyDescent="0.25">
      <c r="A19" t="s">
        <v>53</v>
      </c>
      <c r="B19" t="s">
        <v>54</v>
      </c>
      <c r="C19" t="s">
        <v>24</v>
      </c>
      <c r="D19">
        <v>0.45</v>
      </c>
      <c r="E19" t="s">
        <v>24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3" tint="0.39997558519241921"/>
  </sheetPr>
  <dimension ref="A1:S98"/>
  <sheetViews>
    <sheetView topLeftCell="A82" workbookViewId="0">
      <selection activeCell="A10" sqref="A10"/>
    </sheetView>
  </sheetViews>
  <sheetFormatPr baseColWidth="10" defaultRowHeight="15" x14ac:dyDescent="0.25"/>
  <cols>
    <col min="1" max="1" width="38.5703125" bestFit="1" customWidth="1"/>
    <col min="2" max="2" width="18.42578125" bestFit="1" customWidth="1"/>
    <col min="3" max="3" width="6.5703125" bestFit="1" customWidth="1"/>
    <col min="4" max="4" width="6.5703125" customWidth="1"/>
    <col min="5" max="5" width="7.85546875" bestFit="1" customWidth="1"/>
    <col min="6" max="6" width="7.85546875" customWidth="1"/>
    <col min="7" max="7" width="12.85546875" bestFit="1" customWidth="1"/>
    <col min="8" max="10" width="7.85546875" bestFit="1" customWidth="1"/>
    <col min="11" max="15" width="6.85546875" bestFit="1" customWidth="1"/>
    <col min="16" max="16" width="9.85546875" bestFit="1" customWidth="1"/>
    <col min="17" max="17" width="7.5703125" bestFit="1" customWidth="1"/>
    <col min="18" max="18" width="9.5703125" bestFit="1" customWidth="1"/>
    <col min="19" max="19" width="9.42578125" bestFit="1" customWidth="1"/>
  </cols>
  <sheetData>
    <row r="1" spans="1:19" x14ac:dyDescent="0.25">
      <c r="A1" t="s">
        <v>0</v>
      </c>
      <c r="B1" t="s">
        <v>1</v>
      </c>
      <c r="C1" t="s">
        <v>2</v>
      </c>
      <c r="E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</row>
    <row r="2" spans="1:19" x14ac:dyDescent="0.25">
      <c r="A2" t="s">
        <v>188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</row>
    <row r="3" spans="1:19" x14ac:dyDescent="0.25">
      <c r="A3" t="s">
        <v>187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  <row r="4" spans="1:19" x14ac:dyDescent="0.25">
      <c r="A4" t="s">
        <v>71</v>
      </c>
      <c r="F4" t="s">
        <v>1350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 x14ac:dyDescent="0.25">
      <c r="A5" t="s">
        <v>186</v>
      </c>
      <c r="B5" t="s">
        <v>185</v>
      </c>
      <c r="C5" t="s">
        <v>56</v>
      </c>
      <c r="D5" s="113">
        <f>D7+D9</f>
        <v>9283.3799999999992</v>
      </c>
      <c r="E5" s="114">
        <v>8008.06</v>
      </c>
      <c r="F5" s="114">
        <f>GEB_Erg_Norm_T5!D5</f>
        <v>8008.06</v>
      </c>
      <c r="G5" t="s">
        <v>55</v>
      </c>
      <c r="H5" s="1">
        <v>1744.02</v>
      </c>
      <c r="I5" s="1">
        <v>1431.88</v>
      </c>
      <c r="J5" s="1">
        <v>1002.55</v>
      </c>
      <c r="K5">
        <v>217.74</v>
      </c>
      <c r="L5">
        <v>0</v>
      </c>
      <c r="M5">
        <v>0</v>
      </c>
      <c r="N5">
        <v>0</v>
      </c>
      <c r="O5">
        <v>0</v>
      </c>
      <c r="P5">
        <v>15.8</v>
      </c>
      <c r="Q5">
        <v>466.63</v>
      </c>
      <c r="R5" s="1">
        <v>1304.43</v>
      </c>
      <c r="S5" s="1">
        <v>1825.02</v>
      </c>
    </row>
    <row r="6" spans="1:19" x14ac:dyDescent="0.25">
      <c r="A6" t="s">
        <v>154</v>
      </c>
      <c r="B6" t="s">
        <v>184</v>
      </c>
      <c r="C6" t="s">
        <v>56</v>
      </c>
      <c r="E6" s="93">
        <v>0</v>
      </c>
      <c r="F6" s="93">
        <f>GEB_Erg_Norm_T5!D6</f>
        <v>0</v>
      </c>
      <c r="G6" t="s">
        <v>55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</row>
    <row r="7" spans="1:19" x14ac:dyDescent="0.25">
      <c r="A7" t="s">
        <v>152</v>
      </c>
      <c r="B7" t="s">
        <v>183</v>
      </c>
      <c r="C7" t="s">
        <v>56</v>
      </c>
      <c r="D7" s="113">
        <f>E7</f>
        <v>226.74</v>
      </c>
      <c r="E7" s="94">
        <v>226.74</v>
      </c>
      <c r="F7" s="94">
        <f>GEB_Erg_Norm_T5!D7</f>
        <v>226.75</v>
      </c>
      <c r="G7" t="s">
        <v>55</v>
      </c>
      <c r="H7">
        <v>45.98</v>
      </c>
      <c r="I7">
        <v>38.68</v>
      </c>
      <c r="J7">
        <v>30.6</v>
      </c>
      <c r="K7">
        <v>9.2200000000000006</v>
      </c>
      <c r="L7">
        <v>0</v>
      </c>
      <c r="M7">
        <v>0</v>
      </c>
      <c r="N7">
        <v>0</v>
      </c>
      <c r="O7">
        <v>0</v>
      </c>
      <c r="P7">
        <v>1.24</v>
      </c>
      <c r="Q7">
        <v>17.170000000000002</v>
      </c>
      <c r="R7">
        <v>36.5</v>
      </c>
      <c r="S7">
        <v>47.35</v>
      </c>
    </row>
    <row r="8" spans="1:19" x14ac:dyDescent="0.25">
      <c r="A8" t="s">
        <v>150</v>
      </c>
      <c r="B8" t="s">
        <v>182</v>
      </c>
      <c r="C8" t="s">
        <v>56</v>
      </c>
      <c r="E8" s="93">
        <v>0</v>
      </c>
      <c r="F8" s="93">
        <f>GEB_Erg_Norm_T5!D8</f>
        <v>0</v>
      </c>
      <c r="G8" t="s">
        <v>55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</row>
    <row r="9" spans="1:19" x14ac:dyDescent="0.25">
      <c r="A9" t="s">
        <v>148</v>
      </c>
      <c r="B9" t="s">
        <v>181</v>
      </c>
      <c r="C9" t="s">
        <v>56</v>
      </c>
      <c r="D9" s="111">
        <f>D11+D12+D13</f>
        <v>9056.64</v>
      </c>
      <c r="E9" s="98">
        <v>9056.64</v>
      </c>
      <c r="F9" s="98">
        <f>GEB_Erg_Norm_T5!D9</f>
        <v>9056.65</v>
      </c>
      <c r="G9" t="s">
        <v>55</v>
      </c>
      <c r="H9" s="1">
        <v>1925.72</v>
      </c>
      <c r="I9" s="1">
        <v>1590.24</v>
      </c>
      <c r="J9" s="1">
        <v>1153.68</v>
      </c>
      <c r="K9">
        <v>303.37</v>
      </c>
      <c r="L9">
        <v>0</v>
      </c>
      <c r="M9">
        <v>0</v>
      </c>
      <c r="N9">
        <v>0</v>
      </c>
      <c r="O9">
        <v>0</v>
      </c>
      <c r="P9">
        <v>24.8</v>
      </c>
      <c r="Q9">
        <v>585.23</v>
      </c>
      <c r="R9" s="1">
        <v>1463.85</v>
      </c>
      <c r="S9" s="1">
        <v>2009.76</v>
      </c>
    </row>
    <row r="10" spans="1:19" x14ac:dyDescent="0.25">
      <c r="A10" t="s">
        <v>146</v>
      </c>
      <c r="B10" t="s">
        <v>180</v>
      </c>
      <c r="C10" t="s">
        <v>56</v>
      </c>
      <c r="E10" s="93">
        <v>0</v>
      </c>
      <c r="F10" s="93">
        <f>GEB_Erg_Norm_T5!D10</f>
        <v>0</v>
      </c>
      <c r="G10" t="s">
        <v>55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</row>
    <row r="11" spans="1:19" x14ac:dyDescent="0.25">
      <c r="A11" t="s">
        <v>144</v>
      </c>
      <c r="B11" t="s">
        <v>179</v>
      </c>
      <c r="C11" t="s">
        <v>56</v>
      </c>
      <c r="D11" s="111">
        <f t="shared" ref="D11:D12" si="0">E11</f>
        <v>2509.69</v>
      </c>
      <c r="E11" s="98">
        <v>2509.69</v>
      </c>
      <c r="F11" s="98">
        <f>GEB_Erg_Norm_T5!D11</f>
        <v>2509.69</v>
      </c>
      <c r="G11" t="s">
        <v>55</v>
      </c>
      <c r="H11">
        <v>503.07</v>
      </c>
      <c r="I11">
        <v>423.64</v>
      </c>
      <c r="J11">
        <v>340.05</v>
      </c>
      <c r="K11">
        <v>115.3</v>
      </c>
      <c r="L11">
        <v>0</v>
      </c>
      <c r="M11">
        <v>0</v>
      </c>
      <c r="N11">
        <v>0</v>
      </c>
      <c r="O11">
        <v>0</v>
      </c>
      <c r="P11">
        <v>8.59</v>
      </c>
      <c r="Q11">
        <v>199.64</v>
      </c>
      <c r="R11">
        <v>400.48</v>
      </c>
      <c r="S11">
        <v>518.92999999999995</v>
      </c>
    </row>
    <row r="12" spans="1:19" x14ac:dyDescent="0.25">
      <c r="A12" t="s">
        <v>142</v>
      </c>
      <c r="B12" t="s">
        <v>178</v>
      </c>
      <c r="C12" t="s">
        <v>56</v>
      </c>
      <c r="D12" s="111">
        <f t="shared" si="0"/>
        <v>962.53</v>
      </c>
      <c r="E12" s="94">
        <v>962.53</v>
      </c>
      <c r="F12" s="94">
        <f>GEB_Erg_Norm_T5!D12</f>
        <v>962.53</v>
      </c>
      <c r="G12" t="s">
        <v>55</v>
      </c>
      <c r="H12">
        <v>209.16</v>
      </c>
      <c r="I12">
        <v>171.51</v>
      </c>
      <c r="J12">
        <v>119.62</v>
      </c>
      <c r="K12">
        <v>27.65</v>
      </c>
      <c r="L12">
        <v>0</v>
      </c>
      <c r="M12">
        <v>0</v>
      </c>
      <c r="N12">
        <v>0</v>
      </c>
      <c r="O12">
        <v>0</v>
      </c>
      <c r="P12">
        <v>2.38</v>
      </c>
      <c r="Q12">
        <v>56.69</v>
      </c>
      <c r="R12">
        <v>156.34</v>
      </c>
      <c r="S12">
        <v>219.18</v>
      </c>
    </row>
    <row r="13" spans="1:19" x14ac:dyDescent="0.25">
      <c r="A13" t="s">
        <v>140</v>
      </c>
      <c r="B13" t="s">
        <v>177</v>
      </c>
      <c r="C13" t="s">
        <v>56</v>
      </c>
      <c r="D13" s="111">
        <f>E13</f>
        <v>5584.42</v>
      </c>
      <c r="E13" s="98">
        <v>5584.42</v>
      </c>
      <c r="F13" s="98">
        <f>GEB_Erg_Norm_T5!D13</f>
        <v>5584.43</v>
      </c>
      <c r="G13" t="s">
        <v>55</v>
      </c>
      <c r="H13" s="1">
        <v>1213.49</v>
      </c>
      <c r="I13">
        <v>995.09</v>
      </c>
      <c r="J13">
        <v>694.01</v>
      </c>
      <c r="K13">
        <v>160.41999999999999</v>
      </c>
      <c r="L13">
        <v>0</v>
      </c>
      <c r="M13">
        <v>0</v>
      </c>
      <c r="N13">
        <v>0</v>
      </c>
      <c r="O13">
        <v>0</v>
      </c>
      <c r="P13">
        <v>13.83</v>
      </c>
      <c r="Q13">
        <v>328.9</v>
      </c>
      <c r="R13">
        <v>907.04</v>
      </c>
      <c r="S13" s="1">
        <v>1271.6500000000001</v>
      </c>
    </row>
    <row r="14" spans="1:19" hidden="1" x14ac:dyDescent="0.25">
      <c r="A14" t="s">
        <v>74</v>
      </c>
      <c r="F14" s="114">
        <f>GEB_Erg_Norm_T5!D14</f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</row>
    <row r="15" spans="1:19" hidden="1" x14ac:dyDescent="0.25">
      <c r="A15" t="s">
        <v>176</v>
      </c>
      <c r="B15" t="s">
        <v>175</v>
      </c>
      <c r="C15" t="s">
        <v>56</v>
      </c>
      <c r="E15">
        <v>0</v>
      </c>
      <c r="F15" s="114">
        <f>GEB_Erg_Norm_T5!D15</f>
        <v>0</v>
      </c>
      <c r="G15" t="s">
        <v>55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</row>
    <row r="16" spans="1:19" hidden="1" x14ac:dyDescent="0.25">
      <c r="A16" t="s">
        <v>154</v>
      </c>
      <c r="B16" t="s">
        <v>174</v>
      </c>
      <c r="C16" t="s">
        <v>56</v>
      </c>
      <c r="E16">
        <v>0</v>
      </c>
      <c r="F16" s="114">
        <f>GEB_Erg_Norm_T5!D16</f>
        <v>0</v>
      </c>
      <c r="G16" t="s">
        <v>55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</row>
    <row r="17" spans="1:19" hidden="1" x14ac:dyDescent="0.25">
      <c r="A17" t="s">
        <v>152</v>
      </c>
      <c r="B17" t="s">
        <v>173</v>
      </c>
      <c r="C17" t="s">
        <v>56</v>
      </c>
      <c r="E17">
        <v>0</v>
      </c>
      <c r="F17" s="114">
        <f>GEB_Erg_Norm_T5!D17</f>
        <v>0</v>
      </c>
      <c r="G17" t="s">
        <v>55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</row>
    <row r="18" spans="1:19" hidden="1" x14ac:dyDescent="0.25">
      <c r="A18" t="s">
        <v>150</v>
      </c>
      <c r="B18" t="s">
        <v>172</v>
      </c>
      <c r="C18" t="s">
        <v>56</v>
      </c>
      <c r="E18">
        <v>0</v>
      </c>
      <c r="F18" s="114">
        <f>GEB_Erg_Norm_T5!D18</f>
        <v>0</v>
      </c>
      <c r="G18" t="s">
        <v>55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</row>
    <row r="19" spans="1:19" hidden="1" x14ac:dyDescent="0.25">
      <c r="A19" t="s">
        <v>148</v>
      </c>
      <c r="B19" t="s">
        <v>171</v>
      </c>
      <c r="C19" t="s">
        <v>56</v>
      </c>
      <c r="E19">
        <v>0</v>
      </c>
      <c r="F19" s="114">
        <f>GEB_Erg_Norm_T5!D19</f>
        <v>0</v>
      </c>
      <c r="G19" t="s">
        <v>55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</row>
    <row r="20" spans="1:19" hidden="1" x14ac:dyDescent="0.25">
      <c r="A20" t="s">
        <v>146</v>
      </c>
      <c r="B20" t="s">
        <v>170</v>
      </c>
      <c r="C20" t="s">
        <v>56</v>
      </c>
      <c r="E20">
        <v>0</v>
      </c>
      <c r="F20" s="114">
        <f>GEB_Erg_Norm_T5!D20</f>
        <v>0</v>
      </c>
      <c r="G20" t="s">
        <v>55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</row>
    <row r="21" spans="1:19" hidden="1" x14ac:dyDescent="0.25">
      <c r="A21" t="s">
        <v>144</v>
      </c>
      <c r="B21" t="s">
        <v>169</v>
      </c>
      <c r="C21" t="s">
        <v>56</v>
      </c>
      <c r="E21">
        <v>0</v>
      </c>
      <c r="F21" s="114">
        <f>GEB_Erg_Norm_T5!D21</f>
        <v>0</v>
      </c>
      <c r="G21" t="s">
        <v>55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</row>
    <row r="22" spans="1:19" hidden="1" x14ac:dyDescent="0.25">
      <c r="A22" t="s">
        <v>142</v>
      </c>
      <c r="B22" t="s">
        <v>168</v>
      </c>
      <c r="C22" t="s">
        <v>56</v>
      </c>
      <c r="E22">
        <v>0</v>
      </c>
      <c r="F22" s="114">
        <f>GEB_Erg_Norm_T5!D22</f>
        <v>0</v>
      </c>
      <c r="G22" t="s">
        <v>55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</row>
    <row r="23" spans="1:19" hidden="1" x14ac:dyDescent="0.25">
      <c r="A23" t="s">
        <v>140</v>
      </c>
      <c r="B23" t="s">
        <v>167</v>
      </c>
      <c r="C23" t="s">
        <v>56</v>
      </c>
      <c r="E23">
        <v>0</v>
      </c>
      <c r="F23" s="114">
        <f>GEB_Erg_Norm_T5!D23</f>
        <v>0</v>
      </c>
      <c r="G23" t="s">
        <v>55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</row>
    <row r="24" spans="1:19" hidden="1" x14ac:dyDescent="0.25">
      <c r="A24" t="s">
        <v>125</v>
      </c>
      <c r="F24" s="114">
        <f>GEB_Erg_Norm_T5!D24</f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</row>
    <row r="25" spans="1:19" hidden="1" x14ac:dyDescent="0.25">
      <c r="A25" t="s">
        <v>166</v>
      </c>
      <c r="B25" t="s">
        <v>165</v>
      </c>
      <c r="C25" t="s">
        <v>56</v>
      </c>
      <c r="E25">
        <v>0</v>
      </c>
      <c r="F25" s="114">
        <f>GEB_Erg_Norm_T5!D25</f>
        <v>0</v>
      </c>
      <c r="G25" t="s">
        <v>55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</row>
    <row r="26" spans="1:19" hidden="1" x14ac:dyDescent="0.25">
      <c r="A26" t="s">
        <v>154</v>
      </c>
      <c r="B26" t="s">
        <v>164</v>
      </c>
      <c r="C26" t="s">
        <v>56</v>
      </c>
      <c r="E26">
        <v>0</v>
      </c>
      <c r="F26" s="114">
        <f>GEB_Erg_Norm_T5!D26</f>
        <v>0</v>
      </c>
      <c r="G26" t="s">
        <v>55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</row>
    <row r="27" spans="1:19" hidden="1" x14ac:dyDescent="0.25">
      <c r="A27" t="s">
        <v>152</v>
      </c>
      <c r="B27" t="s">
        <v>163</v>
      </c>
      <c r="C27" t="s">
        <v>56</v>
      </c>
      <c r="E27">
        <v>0</v>
      </c>
      <c r="F27" s="114">
        <f>GEB_Erg_Norm_T5!D27</f>
        <v>0</v>
      </c>
      <c r="G27" t="s">
        <v>55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</row>
    <row r="28" spans="1:19" hidden="1" x14ac:dyDescent="0.25">
      <c r="A28" t="s">
        <v>150</v>
      </c>
      <c r="B28" t="s">
        <v>162</v>
      </c>
      <c r="C28" t="s">
        <v>56</v>
      </c>
      <c r="E28">
        <v>0</v>
      </c>
      <c r="F28" s="114">
        <f>GEB_Erg_Norm_T5!D28</f>
        <v>0</v>
      </c>
      <c r="G28" t="s">
        <v>55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</row>
    <row r="29" spans="1:19" hidden="1" x14ac:dyDescent="0.25">
      <c r="A29" t="s">
        <v>148</v>
      </c>
      <c r="B29" t="s">
        <v>161</v>
      </c>
      <c r="C29" t="s">
        <v>56</v>
      </c>
      <c r="E29">
        <v>0</v>
      </c>
      <c r="F29" s="114">
        <f>GEB_Erg_Norm_T5!D29</f>
        <v>0</v>
      </c>
      <c r="G29" t="s">
        <v>55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</row>
    <row r="30" spans="1:19" hidden="1" x14ac:dyDescent="0.25">
      <c r="A30" t="s">
        <v>146</v>
      </c>
      <c r="B30" t="s">
        <v>160</v>
      </c>
      <c r="C30" t="s">
        <v>56</v>
      </c>
      <c r="E30">
        <v>0</v>
      </c>
      <c r="F30" s="114">
        <f>GEB_Erg_Norm_T5!D30</f>
        <v>0</v>
      </c>
      <c r="G30" t="s">
        <v>55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</row>
    <row r="31" spans="1:19" hidden="1" x14ac:dyDescent="0.25">
      <c r="A31" t="s">
        <v>144</v>
      </c>
      <c r="B31" t="s">
        <v>159</v>
      </c>
      <c r="C31" t="s">
        <v>56</v>
      </c>
      <c r="E31">
        <v>0</v>
      </c>
      <c r="F31" s="114">
        <f>GEB_Erg_Norm_T5!D31</f>
        <v>0</v>
      </c>
      <c r="G31" t="s">
        <v>55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</row>
    <row r="32" spans="1:19" hidden="1" x14ac:dyDescent="0.25">
      <c r="A32" t="s">
        <v>142</v>
      </c>
      <c r="B32" t="s">
        <v>158</v>
      </c>
      <c r="C32" t="s">
        <v>56</v>
      </c>
      <c r="E32">
        <v>0</v>
      </c>
      <c r="F32" s="114">
        <f>GEB_Erg_Norm_T5!D32</f>
        <v>0</v>
      </c>
      <c r="G32" t="s">
        <v>55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</row>
    <row r="33" spans="1:19" hidden="1" x14ac:dyDescent="0.25">
      <c r="A33" t="s">
        <v>140</v>
      </c>
      <c r="B33" t="s">
        <v>157</v>
      </c>
      <c r="C33" t="s">
        <v>56</v>
      </c>
      <c r="E33">
        <v>0</v>
      </c>
      <c r="F33" s="114">
        <f>GEB_Erg_Norm_T5!D33</f>
        <v>0</v>
      </c>
      <c r="G33" t="s">
        <v>55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</row>
    <row r="34" spans="1:19" x14ac:dyDescent="0.25">
      <c r="A34" t="s">
        <v>118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</row>
    <row r="35" spans="1:19" x14ac:dyDescent="0.25">
      <c r="A35" t="s">
        <v>156</v>
      </c>
      <c r="B35" t="s">
        <v>155</v>
      </c>
      <c r="C35" t="s">
        <v>56</v>
      </c>
      <c r="D35" s="113">
        <f>D37+D39</f>
        <v>5171.3900000000003</v>
      </c>
      <c r="E35" s="98">
        <v>6526.37</v>
      </c>
      <c r="F35" s="114">
        <f>GEB_Erg_Norm_T5!D35</f>
        <v>2149.7199999999998</v>
      </c>
      <c r="G35" t="s">
        <v>55</v>
      </c>
      <c r="H35">
        <v>926.49</v>
      </c>
      <c r="I35">
        <v>801.58</v>
      </c>
      <c r="J35">
        <v>743.6</v>
      </c>
      <c r="K35">
        <v>501.79</v>
      </c>
      <c r="L35">
        <v>361.74</v>
      </c>
      <c r="M35">
        <v>146.94999999999999</v>
      </c>
      <c r="N35">
        <v>151.85</v>
      </c>
      <c r="O35">
        <v>151.85</v>
      </c>
      <c r="P35">
        <v>390.95</v>
      </c>
      <c r="Q35">
        <v>602.27</v>
      </c>
      <c r="R35">
        <v>801.25</v>
      </c>
      <c r="S35">
        <v>946.05</v>
      </c>
    </row>
    <row r="36" spans="1:19" x14ac:dyDescent="0.25">
      <c r="A36" t="s">
        <v>154</v>
      </c>
      <c r="B36" t="s">
        <v>153</v>
      </c>
      <c r="C36" t="s">
        <v>56</v>
      </c>
      <c r="E36" s="93">
        <v>0</v>
      </c>
      <c r="F36" s="98">
        <f>GEB_Erg_Norm_T5!D36</f>
        <v>0</v>
      </c>
      <c r="G36" t="s">
        <v>55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</row>
    <row r="37" spans="1:19" x14ac:dyDescent="0.25">
      <c r="A37" t="s">
        <v>152</v>
      </c>
      <c r="B37" t="s">
        <v>151</v>
      </c>
      <c r="C37" t="s">
        <v>56</v>
      </c>
      <c r="D37" s="113">
        <f>F37</f>
        <v>40.090000000000003</v>
      </c>
      <c r="E37" s="94">
        <v>119.75</v>
      </c>
      <c r="F37" s="114">
        <f>GEB_Erg_Norm_T5!D37</f>
        <v>40.090000000000003</v>
      </c>
      <c r="G37" t="s">
        <v>55</v>
      </c>
      <c r="H37">
        <v>16.3</v>
      </c>
      <c r="I37">
        <v>14.36</v>
      </c>
      <c r="J37">
        <v>14.52</v>
      </c>
      <c r="K37">
        <v>12</v>
      </c>
      <c r="L37">
        <v>0</v>
      </c>
      <c r="M37">
        <v>0</v>
      </c>
      <c r="N37">
        <v>0</v>
      </c>
      <c r="O37">
        <v>0</v>
      </c>
      <c r="P37">
        <v>18.11</v>
      </c>
      <c r="Q37">
        <v>13.3</v>
      </c>
      <c r="R37">
        <v>14.73</v>
      </c>
      <c r="S37">
        <v>16.43</v>
      </c>
    </row>
    <row r="38" spans="1:19" x14ac:dyDescent="0.25">
      <c r="A38" t="s">
        <v>150</v>
      </c>
      <c r="B38" t="s">
        <v>149</v>
      </c>
      <c r="C38" t="s">
        <v>56</v>
      </c>
      <c r="E38" s="93">
        <v>0</v>
      </c>
      <c r="F38" s="98">
        <f>GEB_Erg_Norm_T5!D38</f>
        <v>0</v>
      </c>
      <c r="G38" t="s">
        <v>55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</row>
    <row r="39" spans="1:19" x14ac:dyDescent="0.25">
      <c r="A39" t="s">
        <v>148</v>
      </c>
      <c r="B39" t="s">
        <v>147</v>
      </c>
      <c r="C39" t="s">
        <v>56</v>
      </c>
      <c r="D39" s="113">
        <f>D41+D43</f>
        <v>5131.3</v>
      </c>
      <c r="E39" s="114">
        <v>6406.63</v>
      </c>
      <c r="F39" s="98">
        <f>GEB_Erg_Norm_T5!D39</f>
        <v>5715.01</v>
      </c>
      <c r="G39" t="s">
        <v>55</v>
      </c>
      <c r="H39">
        <v>910.19</v>
      </c>
      <c r="I39">
        <v>787.22</v>
      </c>
      <c r="J39">
        <v>729.08</v>
      </c>
      <c r="K39">
        <v>489.79</v>
      </c>
      <c r="L39">
        <v>361.74</v>
      </c>
      <c r="M39">
        <v>146.94999999999999</v>
      </c>
      <c r="N39">
        <v>151.85</v>
      </c>
      <c r="O39">
        <v>151.85</v>
      </c>
      <c r="P39">
        <v>372.84</v>
      </c>
      <c r="Q39">
        <v>588.97</v>
      </c>
      <c r="R39">
        <v>786.52</v>
      </c>
      <c r="S39">
        <v>929.62</v>
      </c>
    </row>
    <row r="40" spans="1:19" x14ac:dyDescent="0.25">
      <c r="A40" t="s">
        <v>146</v>
      </c>
      <c r="B40" t="s">
        <v>145</v>
      </c>
      <c r="C40" t="s">
        <v>56</v>
      </c>
      <c r="E40" s="93">
        <v>0</v>
      </c>
      <c r="F40" s="98">
        <f>GEB_Erg_Norm_T5!D40</f>
        <v>0</v>
      </c>
      <c r="G40" t="s">
        <v>55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</row>
    <row r="41" spans="1:19" x14ac:dyDescent="0.25">
      <c r="A41" t="s">
        <v>144</v>
      </c>
      <c r="B41" t="s">
        <v>143</v>
      </c>
      <c r="C41" t="s">
        <v>56</v>
      </c>
      <c r="D41" s="113">
        <f>E41</f>
        <v>196.05</v>
      </c>
      <c r="E41" s="94">
        <v>196.05</v>
      </c>
      <c r="F41" s="114">
        <f>GEB_Erg_Norm_T5!D41</f>
        <v>2922.8</v>
      </c>
      <c r="G41" t="s">
        <v>55</v>
      </c>
      <c r="H41">
        <v>32.049999999999997</v>
      </c>
      <c r="I41">
        <v>27.91</v>
      </c>
      <c r="J41">
        <v>26.76</v>
      </c>
      <c r="K41">
        <v>18.14</v>
      </c>
      <c r="L41">
        <v>0</v>
      </c>
      <c r="M41">
        <v>0</v>
      </c>
      <c r="N41">
        <v>0</v>
      </c>
      <c r="O41">
        <v>0</v>
      </c>
      <c r="P41">
        <v>8.52</v>
      </c>
      <c r="Q41">
        <v>22.2</v>
      </c>
      <c r="R41">
        <v>27.94</v>
      </c>
      <c r="S41">
        <v>32.53</v>
      </c>
    </row>
    <row r="42" spans="1:19" x14ac:dyDescent="0.25">
      <c r="A42" t="s">
        <v>142</v>
      </c>
      <c r="B42" t="s">
        <v>141</v>
      </c>
      <c r="C42" t="s">
        <v>56</v>
      </c>
      <c r="E42" s="94">
        <v>0</v>
      </c>
      <c r="F42" s="114">
        <f>GEB_Erg_Norm_T5!D42</f>
        <v>0</v>
      </c>
      <c r="G42" t="s">
        <v>55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</row>
    <row r="43" spans="1:19" x14ac:dyDescent="0.25">
      <c r="A43" t="s">
        <v>140</v>
      </c>
      <c r="B43" t="s">
        <v>139</v>
      </c>
      <c r="C43" t="s">
        <v>56</v>
      </c>
      <c r="D43" s="111">
        <f>E43</f>
        <v>4935.25</v>
      </c>
      <c r="E43" s="98">
        <v>4935.25</v>
      </c>
      <c r="F43" s="114">
        <f>GEB_Erg_Norm_T5!D43</f>
        <v>2792.22</v>
      </c>
      <c r="G43" t="s">
        <v>55</v>
      </c>
      <c r="H43">
        <v>650.46</v>
      </c>
      <c r="I43">
        <v>562.27</v>
      </c>
      <c r="J43">
        <v>520.59</v>
      </c>
      <c r="K43">
        <v>376.8</v>
      </c>
      <c r="L43">
        <v>361.74</v>
      </c>
      <c r="M43">
        <v>146.94999999999999</v>
      </c>
      <c r="N43">
        <v>151.85</v>
      </c>
      <c r="O43">
        <v>151.85</v>
      </c>
      <c r="P43">
        <v>354.07</v>
      </c>
      <c r="Q43">
        <v>430.99</v>
      </c>
      <c r="R43">
        <v>562.65</v>
      </c>
      <c r="S43">
        <v>665</v>
      </c>
    </row>
    <row r="44" spans="1:19" hidden="1" x14ac:dyDescent="0.25">
      <c r="A44" t="s">
        <v>138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</row>
    <row r="45" spans="1:19" hidden="1" x14ac:dyDescent="0.25">
      <c r="A45" t="s">
        <v>137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</row>
    <row r="46" spans="1:19" hidden="1" x14ac:dyDescent="0.25">
      <c r="A46" t="s">
        <v>71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</row>
    <row r="47" spans="1:19" hidden="1" x14ac:dyDescent="0.25">
      <c r="A47" t="s">
        <v>136</v>
      </c>
      <c r="B47" t="s">
        <v>135</v>
      </c>
      <c r="C47" t="s">
        <v>56</v>
      </c>
      <c r="E47">
        <v>156.66</v>
      </c>
      <c r="G47" t="s">
        <v>55</v>
      </c>
      <c r="H47">
        <v>26.98</v>
      </c>
      <c r="I47">
        <v>23.52</v>
      </c>
      <c r="J47">
        <v>22.42</v>
      </c>
      <c r="K47">
        <v>12.77</v>
      </c>
      <c r="L47">
        <v>0</v>
      </c>
      <c r="M47">
        <v>0</v>
      </c>
      <c r="N47">
        <v>0</v>
      </c>
      <c r="O47">
        <v>0</v>
      </c>
      <c r="P47">
        <v>1.38</v>
      </c>
      <c r="Q47">
        <v>18.350000000000001</v>
      </c>
      <c r="R47">
        <v>23.8</v>
      </c>
      <c r="S47">
        <v>27.44</v>
      </c>
    </row>
    <row r="48" spans="1:19" hidden="1" x14ac:dyDescent="0.25">
      <c r="A48" t="s">
        <v>115</v>
      </c>
      <c r="B48" t="s">
        <v>134</v>
      </c>
      <c r="C48" t="s">
        <v>56</v>
      </c>
      <c r="E48">
        <v>59.5</v>
      </c>
      <c r="G48" t="s">
        <v>55</v>
      </c>
      <c r="H48">
        <v>10.119999999999999</v>
      </c>
      <c r="I48">
        <v>8.9</v>
      </c>
      <c r="J48">
        <v>8.67</v>
      </c>
      <c r="K48">
        <v>4.99</v>
      </c>
      <c r="L48">
        <v>0</v>
      </c>
      <c r="M48">
        <v>0</v>
      </c>
      <c r="N48">
        <v>0</v>
      </c>
      <c r="O48">
        <v>0</v>
      </c>
      <c r="P48">
        <v>0.71</v>
      </c>
      <c r="Q48">
        <v>6.8</v>
      </c>
      <c r="R48">
        <v>9.09</v>
      </c>
      <c r="S48">
        <v>10.220000000000001</v>
      </c>
    </row>
    <row r="49" spans="1:19" hidden="1" x14ac:dyDescent="0.25">
      <c r="A49" t="s">
        <v>113</v>
      </c>
      <c r="B49" t="s">
        <v>133</v>
      </c>
      <c r="C49" t="s">
        <v>56</v>
      </c>
      <c r="E49">
        <v>0</v>
      </c>
      <c r="G49" t="s">
        <v>55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</row>
    <row r="50" spans="1:19" hidden="1" x14ac:dyDescent="0.25">
      <c r="A50" t="s">
        <v>111</v>
      </c>
      <c r="B50" t="s">
        <v>132</v>
      </c>
      <c r="C50" t="s">
        <v>56</v>
      </c>
      <c r="E50">
        <v>97.16</v>
      </c>
      <c r="G50" t="s">
        <v>55</v>
      </c>
      <c r="H50">
        <v>16.86</v>
      </c>
      <c r="I50">
        <v>14.62</v>
      </c>
      <c r="J50">
        <v>13.75</v>
      </c>
      <c r="K50">
        <v>7.78</v>
      </c>
      <c r="L50">
        <v>0</v>
      </c>
      <c r="M50">
        <v>0</v>
      </c>
      <c r="N50">
        <v>0</v>
      </c>
      <c r="O50">
        <v>0</v>
      </c>
      <c r="P50">
        <v>0.67</v>
      </c>
      <c r="Q50">
        <v>11.55</v>
      </c>
      <c r="R50">
        <v>14.71</v>
      </c>
      <c r="S50">
        <v>17.21</v>
      </c>
    </row>
    <row r="51" spans="1:19" hidden="1" x14ac:dyDescent="0.25">
      <c r="A51" t="s">
        <v>109</v>
      </c>
      <c r="B51" t="s">
        <v>131</v>
      </c>
      <c r="C51" t="s">
        <v>56</v>
      </c>
      <c r="E51">
        <v>0</v>
      </c>
      <c r="G51" t="s">
        <v>55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</row>
    <row r="52" spans="1:19" hidden="1" x14ac:dyDescent="0.25">
      <c r="A52" t="s">
        <v>74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</row>
    <row r="53" spans="1:19" hidden="1" x14ac:dyDescent="0.25">
      <c r="A53" t="s">
        <v>76</v>
      </c>
      <c r="B53" t="s">
        <v>130</v>
      </c>
      <c r="C53" t="s">
        <v>56</v>
      </c>
      <c r="E53">
        <v>0</v>
      </c>
      <c r="G53" t="s">
        <v>55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</row>
    <row r="54" spans="1:19" hidden="1" x14ac:dyDescent="0.25">
      <c r="A54" t="s">
        <v>115</v>
      </c>
      <c r="B54" t="s">
        <v>129</v>
      </c>
      <c r="C54" t="s">
        <v>56</v>
      </c>
      <c r="E54">
        <v>0</v>
      </c>
      <c r="G54" t="s">
        <v>55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</row>
    <row r="55" spans="1:19" hidden="1" x14ac:dyDescent="0.25">
      <c r="A55" t="s">
        <v>113</v>
      </c>
      <c r="B55" t="s">
        <v>128</v>
      </c>
      <c r="C55" t="s">
        <v>56</v>
      </c>
      <c r="E55">
        <v>0</v>
      </c>
      <c r="G55" t="s">
        <v>55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</row>
    <row r="56" spans="1:19" hidden="1" x14ac:dyDescent="0.25">
      <c r="A56" t="s">
        <v>111</v>
      </c>
      <c r="B56" t="s">
        <v>127</v>
      </c>
      <c r="C56" t="s">
        <v>56</v>
      </c>
      <c r="E56">
        <v>0</v>
      </c>
      <c r="G56" t="s">
        <v>55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</row>
    <row r="57" spans="1:19" hidden="1" x14ac:dyDescent="0.25">
      <c r="A57" t="s">
        <v>109</v>
      </c>
      <c r="B57" t="s">
        <v>126</v>
      </c>
      <c r="C57" t="s">
        <v>56</v>
      </c>
      <c r="E57">
        <v>0</v>
      </c>
      <c r="G57" t="s">
        <v>55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</row>
    <row r="58" spans="1:19" hidden="1" x14ac:dyDescent="0.25">
      <c r="A58" t="s">
        <v>125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</row>
    <row r="59" spans="1:19" hidden="1" x14ac:dyDescent="0.25">
      <c r="A59" t="s">
        <v>124</v>
      </c>
      <c r="B59" t="s">
        <v>123</v>
      </c>
      <c r="C59" t="s">
        <v>56</v>
      </c>
      <c r="E59">
        <v>0</v>
      </c>
      <c r="G59" t="s">
        <v>55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</row>
    <row r="60" spans="1:19" hidden="1" x14ac:dyDescent="0.25">
      <c r="A60" t="s">
        <v>115</v>
      </c>
      <c r="B60" t="s">
        <v>122</v>
      </c>
      <c r="C60" t="s">
        <v>56</v>
      </c>
      <c r="E60">
        <v>0</v>
      </c>
      <c r="G60" t="s">
        <v>55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</row>
    <row r="61" spans="1:19" hidden="1" x14ac:dyDescent="0.25">
      <c r="A61" t="s">
        <v>113</v>
      </c>
      <c r="B61" t="s">
        <v>121</v>
      </c>
      <c r="C61" t="s">
        <v>56</v>
      </c>
      <c r="E61">
        <v>0</v>
      </c>
      <c r="G61" t="s">
        <v>55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</row>
    <row r="62" spans="1:19" hidden="1" x14ac:dyDescent="0.25">
      <c r="A62" t="s">
        <v>111</v>
      </c>
      <c r="B62" t="s">
        <v>120</v>
      </c>
      <c r="C62" t="s">
        <v>56</v>
      </c>
      <c r="E62">
        <v>0</v>
      </c>
      <c r="G62" t="s">
        <v>55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</row>
    <row r="63" spans="1:19" hidden="1" x14ac:dyDescent="0.25">
      <c r="A63" t="s">
        <v>109</v>
      </c>
      <c r="B63" t="s">
        <v>119</v>
      </c>
      <c r="C63" t="s">
        <v>56</v>
      </c>
      <c r="E63">
        <v>0</v>
      </c>
      <c r="G63" t="s">
        <v>55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</row>
    <row r="64" spans="1:19" hidden="1" x14ac:dyDescent="0.25">
      <c r="A64" t="s">
        <v>118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</row>
    <row r="65" spans="1:19" hidden="1" x14ac:dyDescent="0.25">
      <c r="A65" t="s">
        <v>117</v>
      </c>
      <c r="B65" t="s">
        <v>116</v>
      </c>
      <c r="C65" t="s">
        <v>56</v>
      </c>
      <c r="E65">
        <v>118.18</v>
      </c>
      <c r="G65" t="s">
        <v>55</v>
      </c>
      <c r="H65">
        <v>8.76</v>
      </c>
      <c r="I65">
        <v>7.87</v>
      </c>
      <c r="J65">
        <v>8.76</v>
      </c>
      <c r="K65">
        <v>9.83</v>
      </c>
      <c r="L65">
        <v>11.16</v>
      </c>
      <c r="M65">
        <v>10.8</v>
      </c>
      <c r="N65">
        <v>11.16</v>
      </c>
      <c r="O65">
        <v>11.16</v>
      </c>
      <c r="P65">
        <v>11.93</v>
      </c>
      <c r="Q65">
        <v>9.5500000000000007</v>
      </c>
      <c r="R65">
        <v>8.4</v>
      </c>
      <c r="S65">
        <v>8.7799999999999994</v>
      </c>
    </row>
    <row r="66" spans="1:19" hidden="1" x14ac:dyDescent="0.25">
      <c r="A66" t="s">
        <v>115</v>
      </c>
      <c r="B66" t="s">
        <v>114</v>
      </c>
      <c r="C66" t="s">
        <v>56</v>
      </c>
      <c r="E66">
        <v>84.6</v>
      </c>
      <c r="G66" t="s">
        <v>55</v>
      </c>
      <c r="H66">
        <v>3.59</v>
      </c>
      <c r="I66">
        <v>3.3</v>
      </c>
      <c r="J66">
        <v>4.12</v>
      </c>
      <c r="K66">
        <v>6.5</v>
      </c>
      <c r="L66">
        <v>11.16</v>
      </c>
      <c r="M66">
        <v>10.8</v>
      </c>
      <c r="N66">
        <v>11.16</v>
      </c>
      <c r="O66">
        <v>11.16</v>
      </c>
      <c r="P66">
        <v>10.34</v>
      </c>
      <c r="Q66">
        <v>5.26</v>
      </c>
      <c r="R66">
        <v>3.67</v>
      </c>
      <c r="S66">
        <v>3.55</v>
      </c>
    </row>
    <row r="67" spans="1:19" hidden="1" x14ac:dyDescent="0.25">
      <c r="A67" t="s">
        <v>113</v>
      </c>
      <c r="B67" t="s">
        <v>112</v>
      </c>
      <c r="C67" t="s">
        <v>56</v>
      </c>
      <c r="E67">
        <v>0</v>
      </c>
      <c r="G67" t="s">
        <v>55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</row>
    <row r="68" spans="1:19" hidden="1" x14ac:dyDescent="0.25">
      <c r="A68" t="s">
        <v>111</v>
      </c>
      <c r="B68" t="s">
        <v>110</v>
      </c>
      <c r="C68" t="s">
        <v>56</v>
      </c>
      <c r="E68">
        <v>33.58</v>
      </c>
      <c r="G68" t="s">
        <v>55</v>
      </c>
      <c r="H68">
        <v>5.18</v>
      </c>
      <c r="I68">
        <v>4.57</v>
      </c>
      <c r="J68">
        <v>4.6500000000000004</v>
      </c>
      <c r="K68">
        <v>3.33</v>
      </c>
      <c r="L68">
        <v>0</v>
      </c>
      <c r="M68">
        <v>0</v>
      </c>
      <c r="N68">
        <v>0</v>
      </c>
      <c r="O68">
        <v>0</v>
      </c>
      <c r="P68">
        <v>1.59</v>
      </c>
      <c r="Q68">
        <v>4.28</v>
      </c>
      <c r="R68">
        <v>4.74</v>
      </c>
      <c r="S68">
        <v>5.23</v>
      </c>
    </row>
    <row r="69" spans="1:19" hidden="1" x14ac:dyDescent="0.25">
      <c r="A69" t="s">
        <v>109</v>
      </c>
      <c r="B69" t="s">
        <v>108</v>
      </c>
      <c r="C69" t="s">
        <v>56</v>
      </c>
      <c r="E69">
        <v>0</v>
      </c>
      <c r="G69" t="s">
        <v>55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</row>
    <row r="71" spans="1:19" x14ac:dyDescent="0.25">
      <c r="C71" t="s">
        <v>1349</v>
      </c>
      <c r="D71" s="111">
        <f>D5+D35</f>
        <v>14454.77</v>
      </c>
      <c r="E71" s="111">
        <f>E5+E35</f>
        <v>14534.43</v>
      </c>
      <c r="F71" s="111">
        <f>F5+F35</f>
        <v>10157.780000000001</v>
      </c>
      <c r="G71" s="111"/>
    </row>
    <row r="72" spans="1:19" x14ac:dyDescent="0.25">
      <c r="C72" t="s">
        <v>1351</v>
      </c>
      <c r="D72" s="111">
        <f>D9+D39</f>
        <v>14187.939999999999</v>
      </c>
      <c r="E72" s="111">
        <f>E9+E39</f>
        <v>15463.27</v>
      </c>
      <c r="F72" s="111">
        <f>F9+F39</f>
        <v>14771.66</v>
      </c>
      <c r="G72" s="111"/>
      <c r="I72" s="111"/>
      <c r="J72" s="111"/>
    </row>
    <row r="73" spans="1:19" x14ac:dyDescent="0.25">
      <c r="C73" t="s">
        <v>1352</v>
      </c>
      <c r="D73" s="111">
        <f>D13+D43</f>
        <v>10519.67</v>
      </c>
      <c r="E73" s="111">
        <f>E13+E43</f>
        <v>10519.67</v>
      </c>
      <c r="F73" s="111">
        <f>F13+F43</f>
        <v>8376.65</v>
      </c>
      <c r="G73" s="111"/>
      <c r="I73" s="111"/>
      <c r="J73" s="111"/>
    </row>
    <row r="74" spans="1:19" x14ac:dyDescent="0.25">
      <c r="I74" s="111"/>
    </row>
    <row r="75" spans="1:19" x14ac:dyDescent="0.25">
      <c r="B75" t="s">
        <v>1352</v>
      </c>
      <c r="C75" s="111">
        <f>D73-6981</f>
        <v>3538.67</v>
      </c>
      <c r="D75" t="s">
        <v>1356</v>
      </c>
    </row>
    <row r="76" spans="1:19" x14ac:dyDescent="0.25">
      <c r="D76" t="s">
        <v>1357</v>
      </c>
    </row>
    <row r="78" spans="1:19" x14ac:dyDescent="0.25">
      <c r="B78" t="s">
        <v>1349</v>
      </c>
      <c r="C78" s="111">
        <f>D71-10916</f>
        <v>3538.7700000000004</v>
      </c>
      <c r="D78" t="s">
        <v>1353</v>
      </c>
    </row>
    <row r="79" spans="1:19" x14ac:dyDescent="0.25">
      <c r="D79" t="s">
        <v>1354</v>
      </c>
    </row>
    <row r="80" spans="1:19" x14ac:dyDescent="0.25">
      <c r="C80" s="111"/>
    </row>
    <row r="81" spans="2:12" s="120" customFormat="1" x14ac:dyDescent="0.25">
      <c r="B81" s="120" t="s">
        <v>1358</v>
      </c>
      <c r="C81" s="121" t="s">
        <v>1359</v>
      </c>
    </row>
    <row r="82" spans="2:12" s="120" customFormat="1" x14ac:dyDescent="0.25">
      <c r="C82" s="120" t="s">
        <v>1360</v>
      </c>
    </row>
    <row r="84" spans="2:12" x14ac:dyDescent="0.25">
      <c r="D84" s="120" t="s">
        <v>1348</v>
      </c>
      <c r="E84" s="120"/>
      <c r="J84" s="120" t="s">
        <v>1372</v>
      </c>
      <c r="K84" s="120"/>
    </row>
    <row r="85" spans="2:12" x14ac:dyDescent="0.25">
      <c r="B85" t="s">
        <v>1361</v>
      </c>
      <c r="D85" t="s">
        <v>1362</v>
      </c>
      <c r="E85" s="98">
        <f>GEB_Erg_Det_Nutz_All_Abs!C11</f>
        <v>1396.1099999999997</v>
      </c>
      <c r="G85" t="s">
        <v>1370</v>
      </c>
      <c r="J85" s="98">
        <f>E85</f>
        <v>1396.1099999999997</v>
      </c>
    </row>
    <row r="86" spans="2:12" x14ac:dyDescent="0.25">
      <c r="D86" t="s">
        <v>1363</v>
      </c>
      <c r="E86" s="116">
        <v>0</v>
      </c>
      <c r="G86" t="s">
        <v>1371</v>
      </c>
      <c r="J86" s="124">
        <f>1.2/(GEB_Erg_Norm_T2_HZG!D155-GEB_Erg_Norm_T2_HZG!D156)*J85</f>
        <v>116.34670444003517</v>
      </c>
      <c r="L86" t="s">
        <v>1374</v>
      </c>
    </row>
    <row r="87" spans="2:12" x14ac:dyDescent="0.25">
      <c r="D87" t="s">
        <v>1364</v>
      </c>
      <c r="E87" s="116">
        <v>0</v>
      </c>
      <c r="G87" t="s">
        <v>1371</v>
      </c>
      <c r="J87" s="94">
        <f>E87</f>
        <v>0</v>
      </c>
    </row>
    <row r="89" spans="2:12" x14ac:dyDescent="0.25">
      <c r="B89" t="s">
        <v>1366</v>
      </c>
      <c r="D89" t="s">
        <v>1362</v>
      </c>
      <c r="E89" s="98">
        <f>E92-E91-E90</f>
        <v>1396.1200000000001</v>
      </c>
      <c r="J89" s="123">
        <f>J85+J86+J87</f>
        <v>1512.4567044400349</v>
      </c>
    </row>
    <row r="90" spans="2:12" x14ac:dyDescent="0.25">
      <c r="D90" t="s">
        <v>1363</v>
      </c>
      <c r="E90" s="115">
        <v>0</v>
      </c>
      <c r="G90" t="s">
        <v>1371</v>
      </c>
      <c r="J90" s="93">
        <f>E90</f>
        <v>0</v>
      </c>
    </row>
    <row r="91" spans="2:12" x14ac:dyDescent="0.25">
      <c r="D91" t="s">
        <v>1364</v>
      </c>
      <c r="E91" s="98">
        <f>E41</f>
        <v>196.05</v>
      </c>
      <c r="J91" s="114">
        <f>J92-J89</f>
        <v>79.713295559965218</v>
      </c>
      <c r="L91" t="s">
        <v>1375</v>
      </c>
    </row>
    <row r="92" spans="2:12" x14ac:dyDescent="0.25">
      <c r="D92" t="s">
        <v>1365</v>
      </c>
      <c r="E92" s="118">
        <f>E94-E93</f>
        <v>1592.17</v>
      </c>
      <c r="F92" s="122">
        <f>E92/E94</f>
        <v>0.97543896193008472</v>
      </c>
      <c r="G92" t="s">
        <v>1373</v>
      </c>
      <c r="J92" s="98">
        <f>E92</f>
        <v>1592.17</v>
      </c>
    </row>
    <row r="93" spans="2:12" x14ac:dyDescent="0.25">
      <c r="D93" t="s">
        <v>1367</v>
      </c>
      <c r="E93" s="98">
        <f>F37</f>
        <v>40.090000000000003</v>
      </c>
      <c r="J93" s="98">
        <f>E93</f>
        <v>40.090000000000003</v>
      </c>
    </row>
    <row r="94" spans="2:12" x14ac:dyDescent="0.25">
      <c r="D94" t="s">
        <v>1368</v>
      </c>
      <c r="E94" s="98">
        <f>GEB_Erg_Det_End_All_Abs!B14-E9-E7</f>
        <v>1632.26</v>
      </c>
      <c r="G94" t="s">
        <v>1369</v>
      </c>
      <c r="J94" s="98">
        <f>E94</f>
        <v>1632.26</v>
      </c>
    </row>
    <row r="96" spans="2:12" x14ac:dyDescent="0.25">
      <c r="G96" t="s">
        <v>1090</v>
      </c>
      <c r="H96" t="s">
        <v>115</v>
      </c>
      <c r="J96" s="93">
        <f>E66</f>
        <v>84.6</v>
      </c>
      <c r="L96" t="s">
        <v>1366</v>
      </c>
    </row>
    <row r="97" spans="8:12" x14ac:dyDescent="0.25">
      <c r="H97" t="s">
        <v>111</v>
      </c>
      <c r="J97" s="93">
        <f>E68</f>
        <v>33.58</v>
      </c>
    </row>
    <row r="98" spans="8:12" x14ac:dyDescent="0.25">
      <c r="H98" t="s">
        <v>111</v>
      </c>
      <c r="J98" s="115">
        <f>GEB_Erg_Norm_T5!D66-J96</f>
        <v>912.66</v>
      </c>
      <c r="L98" t="s">
        <v>1397</v>
      </c>
    </row>
  </sheetData>
  <pageMargins left="0.7" right="0.7" top="0.78740157499999996" bottom="0.78740157499999996" header="0.3" footer="0.3"/>
  <pageSetup paperSize="9" orientation="landscape" horizontalDpi="72" verticalDpi="0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3" tint="0.39997558519241921"/>
  </sheetPr>
  <dimension ref="A1:Q11"/>
  <sheetViews>
    <sheetView showGridLines="0" workbookViewId="0">
      <selection activeCell="A10" sqref="A10"/>
    </sheetView>
  </sheetViews>
  <sheetFormatPr baseColWidth="10" defaultRowHeight="15" x14ac:dyDescent="0.25"/>
  <cols>
    <col min="1" max="1" width="46.140625" bestFit="1" customWidth="1"/>
    <col min="2" max="2" width="12.85546875" bestFit="1" customWidth="1"/>
    <col min="3" max="3" width="6.5703125" bestFit="1" customWidth="1"/>
    <col min="4" max="4" width="8.85546875" bestFit="1" customWidth="1"/>
    <col min="5" max="5" width="12.85546875" bestFit="1" customWidth="1"/>
    <col min="6" max="8" width="7.85546875" bestFit="1" customWidth="1"/>
    <col min="9" max="13" width="6.85546875" bestFit="1" customWidth="1"/>
    <col min="14" max="14" width="9.85546875" bestFit="1" customWidth="1"/>
    <col min="15" max="15" width="7.8554687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188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410</v>
      </c>
      <c r="C3" t="s">
        <v>409</v>
      </c>
      <c r="D3">
        <v>100</v>
      </c>
      <c r="E3" t="s">
        <v>409</v>
      </c>
      <c r="F3">
        <v>100</v>
      </c>
      <c r="G3">
        <v>100</v>
      </c>
      <c r="H3">
        <v>100</v>
      </c>
      <c r="I3">
        <v>100</v>
      </c>
      <c r="J3">
        <v>100</v>
      </c>
      <c r="K3">
        <v>100</v>
      </c>
      <c r="L3">
        <v>100</v>
      </c>
      <c r="M3">
        <v>100</v>
      </c>
      <c r="N3">
        <v>100</v>
      </c>
      <c r="O3">
        <v>100</v>
      </c>
      <c r="P3">
        <v>100</v>
      </c>
      <c r="Q3">
        <v>100</v>
      </c>
    </row>
    <row r="4" spans="1:17" x14ac:dyDescent="0.25">
      <c r="A4" t="s">
        <v>148</v>
      </c>
      <c r="B4" t="s">
        <v>181</v>
      </c>
      <c r="C4" t="s">
        <v>56</v>
      </c>
      <c r="D4" s="98">
        <v>14187.94</v>
      </c>
      <c r="E4" t="s">
        <v>55</v>
      </c>
      <c r="F4" s="1">
        <v>2608.23</v>
      </c>
      <c r="G4" s="1">
        <v>2180.41</v>
      </c>
      <c r="H4" s="1">
        <v>1701.03</v>
      </c>
      <c r="I4">
        <v>698.31</v>
      </c>
      <c r="J4">
        <v>361.74</v>
      </c>
      <c r="K4">
        <v>146.94999999999999</v>
      </c>
      <c r="L4">
        <v>151.85</v>
      </c>
      <c r="M4">
        <v>151.85</v>
      </c>
      <c r="N4">
        <v>387.39</v>
      </c>
      <c r="O4" s="1">
        <v>1038.43</v>
      </c>
      <c r="P4" s="1">
        <v>2054.4499999999998</v>
      </c>
      <c r="Q4" s="1">
        <v>2707.29</v>
      </c>
    </row>
    <row r="5" spans="1:17" x14ac:dyDescent="0.25">
      <c r="A5" t="s">
        <v>419</v>
      </c>
      <c r="B5" t="s">
        <v>183</v>
      </c>
      <c r="C5" t="s">
        <v>56</v>
      </c>
      <c r="D5" s="98">
        <v>346.49</v>
      </c>
      <c r="E5" t="s">
        <v>55</v>
      </c>
      <c r="F5">
        <v>62.27</v>
      </c>
      <c r="G5">
        <v>53.04</v>
      </c>
      <c r="H5">
        <v>45.12</v>
      </c>
      <c r="I5">
        <v>21.22</v>
      </c>
      <c r="J5">
        <v>0</v>
      </c>
      <c r="K5">
        <v>0</v>
      </c>
      <c r="L5">
        <v>0</v>
      </c>
      <c r="M5">
        <v>0</v>
      </c>
      <c r="N5">
        <v>19.350000000000001</v>
      </c>
      <c r="O5">
        <v>30.47</v>
      </c>
      <c r="P5">
        <v>51.23</v>
      </c>
      <c r="Q5">
        <v>63.78</v>
      </c>
    </row>
    <row r="6" spans="1:17" x14ac:dyDescent="0.25">
      <c r="A6" t="s">
        <v>408</v>
      </c>
      <c r="B6" t="s">
        <v>185</v>
      </c>
      <c r="C6" t="s">
        <v>56</v>
      </c>
      <c r="D6" s="98">
        <v>14534.43</v>
      </c>
      <c r="E6" t="s">
        <v>55</v>
      </c>
      <c r="F6" s="1">
        <v>2670.5</v>
      </c>
      <c r="G6" s="1">
        <v>2233.4499999999998</v>
      </c>
      <c r="H6" s="1">
        <v>1746.15</v>
      </c>
      <c r="I6">
        <v>719.53</v>
      </c>
      <c r="J6">
        <v>361.74</v>
      </c>
      <c r="K6">
        <v>146.94999999999999</v>
      </c>
      <c r="L6">
        <v>151.85</v>
      </c>
      <c r="M6">
        <v>151.85</v>
      </c>
      <c r="N6">
        <v>406.75</v>
      </c>
      <c r="O6" s="1">
        <v>1068.9000000000001</v>
      </c>
      <c r="P6" s="1">
        <v>2105.6799999999998</v>
      </c>
      <c r="Q6" s="1">
        <v>2771.07</v>
      </c>
    </row>
    <row r="8" spans="1:17" x14ac:dyDescent="0.25">
      <c r="D8" s="111"/>
    </row>
    <row r="9" spans="1:17" x14ac:dyDescent="0.25">
      <c r="D9" s="111"/>
    </row>
    <row r="11" spans="1:17" x14ac:dyDescent="0.25">
      <c r="D11" s="1"/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3" tint="0.39997558519241921"/>
  </sheetPr>
  <dimension ref="A1:Q18"/>
  <sheetViews>
    <sheetView showGridLines="0" workbookViewId="0"/>
  </sheetViews>
  <sheetFormatPr baseColWidth="10" defaultRowHeight="15" x14ac:dyDescent="0.25"/>
  <cols>
    <col min="1" max="1" width="31.42578125" bestFit="1" customWidth="1"/>
    <col min="2" max="2" width="16.14062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85546875" bestFit="1" customWidth="1"/>
    <col min="7" max="7" width="7.42578125" bestFit="1" customWidth="1"/>
    <col min="8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363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82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362</v>
      </c>
      <c r="B4" t="s">
        <v>361</v>
      </c>
      <c r="C4" t="s">
        <v>56</v>
      </c>
      <c r="D4" s="1">
        <v>7552.11</v>
      </c>
      <c r="E4" t="s">
        <v>55</v>
      </c>
      <c r="F4">
        <v>606.79999999999995</v>
      </c>
      <c r="G4">
        <v>547</v>
      </c>
      <c r="H4">
        <v>601.83000000000004</v>
      </c>
      <c r="I4">
        <v>576.82000000000005</v>
      </c>
      <c r="J4">
        <v>700.72</v>
      </c>
      <c r="K4">
        <v>674.8</v>
      </c>
      <c r="L4">
        <v>694.09</v>
      </c>
      <c r="M4">
        <v>694.27</v>
      </c>
      <c r="N4">
        <v>668.16</v>
      </c>
      <c r="O4">
        <v>596.5</v>
      </c>
      <c r="P4">
        <v>583.74</v>
      </c>
      <c r="Q4">
        <v>607.39</v>
      </c>
    </row>
    <row r="5" spans="1:17" x14ac:dyDescent="0.25">
      <c r="A5" t="s">
        <v>154</v>
      </c>
      <c r="B5" t="s">
        <v>360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152</v>
      </c>
      <c r="B6" t="s">
        <v>359</v>
      </c>
      <c r="C6" t="s">
        <v>56</v>
      </c>
      <c r="D6">
        <v>539.69000000000005</v>
      </c>
      <c r="E6" t="s">
        <v>55</v>
      </c>
      <c r="F6">
        <v>1.81</v>
      </c>
      <c r="G6">
        <v>1.45</v>
      </c>
      <c r="H6">
        <v>0.92</v>
      </c>
      <c r="I6">
        <v>0.09</v>
      </c>
      <c r="J6">
        <v>110.17</v>
      </c>
      <c r="K6">
        <v>106.06</v>
      </c>
      <c r="L6">
        <v>108.93</v>
      </c>
      <c r="M6">
        <v>108.67</v>
      </c>
      <c r="N6">
        <v>96.86</v>
      </c>
      <c r="O6">
        <v>0.88</v>
      </c>
      <c r="P6">
        <v>1.57</v>
      </c>
      <c r="Q6">
        <v>2.29</v>
      </c>
    </row>
    <row r="7" spans="1:17" x14ac:dyDescent="0.25">
      <c r="A7" t="s">
        <v>150</v>
      </c>
      <c r="B7" t="s">
        <v>358</v>
      </c>
      <c r="C7" t="s">
        <v>56</v>
      </c>
      <c r="D7" s="1">
        <v>3400.46</v>
      </c>
      <c r="E7" t="s">
        <v>55</v>
      </c>
      <c r="F7">
        <v>91.81</v>
      </c>
      <c r="G7">
        <v>108.81</v>
      </c>
      <c r="H7">
        <v>234.63</v>
      </c>
      <c r="I7">
        <v>465.86</v>
      </c>
      <c r="J7">
        <v>418.26</v>
      </c>
      <c r="K7">
        <v>455.66</v>
      </c>
      <c r="L7">
        <v>482.87</v>
      </c>
      <c r="M7">
        <v>401.25</v>
      </c>
      <c r="N7">
        <v>363.85</v>
      </c>
      <c r="O7">
        <v>238.03</v>
      </c>
      <c r="P7">
        <v>112.22</v>
      </c>
      <c r="Q7">
        <v>27.2</v>
      </c>
    </row>
    <row r="8" spans="1:17" x14ac:dyDescent="0.25">
      <c r="A8" t="s">
        <v>148</v>
      </c>
      <c r="B8" t="s">
        <v>357</v>
      </c>
      <c r="C8" t="s">
        <v>56</v>
      </c>
      <c r="D8" s="1">
        <v>7012.42</v>
      </c>
      <c r="E8" t="s">
        <v>55</v>
      </c>
      <c r="F8">
        <v>604.99</v>
      </c>
      <c r="G8">
        <v>545.54999999999995</v>
      </c>
      <c r="H8">
        <v>600.91</v>
      </c>
      <c r="I8">
        <v>576.73</v>
      </c>
      <c r="J8">
        <v>590.55999999999995</v>
      </c>
      <c r="K8">
        <v>568.74</v>
      </c>
      <c r="L8">
        <v>585.16</v>
      </c>
      <c r="M8">
        <v>585.6</v>
      </c>
      <c r="N8">
        <v>571.29</v>
      </c>
      <c r="O8">
        <v>595.63</v>
      </c>
      <c r="P8">
        <v>582.16999999999996</v>
      </c>
      <c r="Q8">
        <v>605.1</v>
      </c>
    </row>
    <row r="9" spans="1:17" x14ac:dyDescent="0.25">
      <c r="A9" t="s">
        <v>146</v>
      </c>
      <c r="B9" t="s">
        <v>356</v>
      </c>
      <c r="C9" t="s">
        <v>56</v>
      </c>
      <c r="D9">
        <v>327.14</v>
      </c>
      <c r="E9" t="s">
        <v>55</v>
      </c>
      <c r="F9">
        <v>28.38</v>
      </c>
      <c r="G9">
        <v>25.58</v>
      </c>
      <c r="H9">
        <v>28.12</v>
      </c>
      <c r="I9">
        <v>26.91</v>
      </c>
      <c r="J9">
        <v>27.47</v>
      </c>
      <c r="K9">
        <v>26.41</v>
      </c>
      <c r="L9">
        <v>27.13</v>
      </c>
      <c r="M9">
        <v>27.15</v>
      </c>
      <c r="N9">
        <v>26.57</v>
      </c>
      <c r="O9">
        <v>27.79</v>
      </c>
      <c r="P9">
        <v>27.25</v>
      </c>
      <c r="Q9">
        <v>28.39</v>
      </c>
    </row>
    <row r="10" spans="1:17" x14ac:dyDescent="0.25">
      <c r="A10" t="s">
        <v>144</v>
      </c>
      <c r="B10" t="s">
        <v>355</v>
      </c>
      <c r="C10" t="s">
        <v>56</v>
      </c>
      <c r="D10" s="1">
        <v>3432.03</v>
      </c>
      <c r="E10" t="s">
        <v>55</v>
      </c>
      <c r="F10">
        <v>300.31</v>
      </c>
      <c r="G10">
        <v>270.41000000000003</v>
      </c>
      <c r="H10">
        <v>296.49</v>
      </c>
      <c r="I10">
        <v>282.43</v>
      </c>
      <c r="J10">
        <v>286.79000000000002</v>
      </c>
      <c r="K10">
        <v>274.94</v>
      </c>
      <c r="L10">
        <v>281.73</v>
      </c>
      <c r="M10">
        <v>282.14</v>
      </c>
      <c r="N10">
        <v>277.33999999999997</v>
      </c>
      <c r="O10">
        <v>291.52999999999997</v>
      </c>
      <c r="P10">
        <v>287.52</v>
      </c>
      <c r="Q10">
        <v>300.41000000000003</v>
      </c>
    </row>
    <row r="11" spans="1:17" x14ac:dyDescent="0.25">
      <c r="A11" t="s">
        <v>142</v>
      </c>
      <c r="B11" t="s">
        <v>354</v>
      </c>
      <c r="C11" t="s">
        <v>56</v>
      </c>
      <c r="D11">
        <v>0</v>
      </c>
      <c r="E11" t="s">
        <v>55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t="s">
        <v>140</v>
      </c>
      <c r="B12" t="s">
        <v>353</v>
      </c>
      <c r="C12" t="s">
        <v>56</v>
      </c>
      <c r="D12" s="1">
        <v>3253.25</v>
      </c>
      <c r="E12" t="s">
        <v>55</v>
      </c>
      <c r="F12">
        <v>276.3</v>
      </c>
      <c r="G12">
        <v>249.56</v>
      </c>
      <c r="H12">
        <v>276.3</v>
      </c>
      <c r="I12">
        <v>267.39</v>
      </c>
      <c r="J12">
        <v>276.3</v>
      </c>
      <c r="K12">
        <v>267.39</v>
      </c>
      <c r="L12">
        <v>276.3</v>
      </c>
      <c r="M12">
        <v>276.3</v>
      </c>
      <c r="N12">
        <v>267.39</v>
      </c>
      <c r="O12">
        <v>276.3</v>
      </c>
      <c r="P12">
        <v>267.39</v>
      </c>
      <c r="Q12">
        <v>276.3</v>
      </c>
    </row>
    <row r="13" spans="1:17" x14ac:dyDescent="0.25">
      <c r="A13" t="s">
        <v>137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t="s">
        <v>81</v>
      </c>
      <c r="B14" t="s">
        <v>130</v>
      </c>
      <c r="C14" t="s">
        <v>56</v>
      </c>
      <c r="D14">
        <v>289.63</v>
      </c>
      <c r="E14" t="s">
        <v>55</v>
      </c>
      <c r="F14">
        <v>10.65</v>
      </c>
      <c r="G14">
        <v>10.85</v>
      </c>
      <c r="H14">
        <v>17.47</v>
      </c>
      <c r="I14">
        <v>28.31</v>
      </c>
      <c r="J14">
        <v>37.270000000000003</v>
      </c>
      <c r="K14">
        <v>38.53</v>
      </c>
      <c r="L14">
        <v>40.39</v>
      </c>
      <c r="M14">
        <v>36.44</v>
      </c>
      <c r="N14">
        <v>33.130000000000003</v>
      </c>
      <c r="O14">
        <v>17.62</v>
      </c>
      <c r="P14">
        <v>11.41</v>
      </c>
      <c r="Q14">
        <v>7.56</v>
      </c>
    </row>
    <row r="15" spans="1:17" x14ac:dyDescent="0.25">
      <c r="A15" t="s">
        <v>115</v>
      </c>
      <c r="B15" t="s">
        <v>352</v>
      </c>
      <c r="C15" t="s">
        <v>56</v>
      </c>
      <c r="D15">
        <v>231.48</v>
      </c>
      <c r="E15" t="s">
        <v>55</v>
      </c>
      <c r="F15">
        <v>5.71</v>
      </c>
      <c r="G15">
        <v>6.39</v>
      </c>
      <c r="H15">
        <v>12.53</v>
      </c>
      <c r="I15">
        <v>23.53</v>
      </c>
      <c r="J15">
        <v>32.33</v>
      </c>
      <c r="K15">
        <v>33.75</v>
      </c>
      <c r="L15">
        <v>35.46</v>
      </c>
      <c r="M15">
        <v>31.5</v>
      </c>
      <c r="N15">
        <v>28.35</v>
      </c>
      <c r="O15">
        <v>12.68</v>
      </c>
      <c r="P15">
        <v>6.63</v>
      </c>
      <c r="Q15">
        <v>2.62</v>
      </c>
    </row>
    <row r="16" spans="1:17" x14ac:dyDescent="0.25">
      <c r="A16" t="s">
        <v>113</v>
      </c>
      <c r="B16" t="s">
        <v>351</v>
      </c>
      <c r="C16" t="s">
        <v>56</v>
      </c>
      <c r="D16">
        <v>0</v>
      </c>
      <c r="E16" t="s">
        <v>55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t="s">
        <v>111</v>
      </c>
      <c r="B17" t="s">
        <v>350</v>
      </c>
      <c r="C17" t="s">
        <v>56</v>
      </c>
      <c r="D17">
        <v>58.15</v>
      </c>
      <c r="E17" t="s">
        <v>55</v>
      </c>
      <c r="F17">
        <v>4.9400000000000004</v>
      </c>
      <c r="G17">
        <v>4.46</v>
      </c>
      <c r="H17">
        <v>4.9400000000000004</v>
      </c>
      <c r="I17">
        <v>4.78</v>
      </c>
      <c r="J17">
        <v>4.9400000000000004</v>
      </c>
      <c r="K17">
        <v>4.78</v>
      </c>
      <c r="L17">
        <v>4.9400000000000004</v>
      </c>
      <c r="M17">
        <v>4.9400000000000004</v>
      </c>
      <c r="N17">
        <v>4.78</v>
      </c>
      <c r="O17">
        <v>4.9400000000000004</v>
      </c>
      <c r="P17">
        <v>4.78</v>
      </c>
      <c r="Q17">
        <v>4.9400000000000004</v>
      </c>
    </row>
    <row r="18" spans="1:17" x14ac:dyDescent="0.25">
      <c r="A18" t="s">
        <v>109</v>
      </c>
      <c r="B18" t="s">
        <v>349</v>
      </c>
      <c r="C18" t="s">
        <v>56</v>
      </c>
      <c r="D18">
        <v>0</v>
      </c>
      <c r="E18" t="s">
        <v>55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3" tint="0.39997558519241921"/>
  </sheetPr>
  <dimension ref="A1:Q4"/>
  <sheetViews>
    <sheetView showGridLines="0" workbookViewId="0"/>
  </sheetViews>
  <sheetFormatPr baseColWidth="10" defaultRowHeight="15" x14ac:dyDescent="0.25"/>
  <cols>
    <col min="1" max="1" width="46.140625" bestFit="1" customWidth="1"/>
    <col min="2" max="2" width="12.8554687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85546875" bestFit="1" customWidth="1"/>
    <col min="7" max="7" width="7.42578125" bestFit="1" customWidth="1"/>
    <col min="8" max="9" width="6.85546875" bestFit="1" customWidth="1"/>
    <col min="10" max="10" width="5.85546875" bestFit="1" customWidth="1"/>
    <col min="11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411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410</v>
      </c>
      <c r="C3" t="s">
        <v>409</v>
      </c>
      <c r="D3">
        <v>51.51</v>
      </c>
      <c r="E3" t="s">
        <v>409</v>
      </c>
      <c r="F3">
        <v>84.82</v>
      </c>
      <c r="G3">
        <v>80.05</v>
      </c>
      <c r="H3">
        <v>60.95</v>
      </c>
      <c r="I3">
        <v>19.22</v>
      </c>
      <c r="J3">
        <v>29.18</v>
      </c>
      <c r="K3">
        <v>19.88</v>
      </c>
      <c r="L3">
        <v>17.48</v>
      </c>
      <c r="M3">
        <v>31.48</v>
      </c>
      <c r="N3">
        <v>36.31</v>
      </c>
      <c r="O3">
        <v>60.04</v>
      </c>
      <c r="P3">
        <v>80.72</v>
      </c>
      <c r="Q3">
        <v>95.5</v>
      </c>
    </row>
    <row r="4" spans="1:17" x14ac:dyDescent="0.25">
      <c r="A4" t="s">
        <v>408</v>
      </c>
      <c r="B4" t="s">
        <v>361</v>
      </c>
      <c r="C4" t="s">
        <v>56</v>
      </c>
      <c r="D4" s="1">
        <v>3611.96</v>
      </c>
      <c r="E4" t="s">
        <v>55</v>
      </c>
      <c r="F4">
        <v>513.17999999999995</v>
      </c>
      <c r="G4">
        <v>436.73</v>
      </c>
      <c r="H4">
        <v>366.28</v>
      </c>
      <c r="I4">
        <v>110.87</v>
      </c>
      <c r="J4">
        <v>172.3</v>
      </c>
      <c r="K4">
        <v>113.07</v>
      </c>
      <c r="L4">
        <v>102.29</v>
      </c>
      <c r="M4">
        <v>184.35</v>
      </c>
      <c r="N4">
        <v>207.44</v>
      </c>
      <c r="O4">
        <v>357.59</v>
      </c>
      <c r="P4">
        <v>469.95</v>
      </c>
      <c r="Q4">
        <v>577.9</v>
      </c>
    </row>
  </sheetData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3" tint="0.39997558519241921"/>
  </sheetPr>
  <dimension ref="A1:Q4"/>
  <sheetViews>
    <sheetView showGridLines="0" workbookViewId="0"/>
  </sheetViews>
  <sheetFormatPr baseColWidth="10" defaultRowHeight="15" x14ac:dyDescent="0.25"/>
  <cols>
    <col min="1" max="1" width="46.1406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411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410</v>
      </c>
      <c r="C3" t="s">
        <v>409</v>
      </c>
      <c r="D3">
        <v>48.49</v>
      </c>
      <c r="E3" t="s">
        <v>409</v>
      </c>
      <c r="F3">
        <v>15.18</v>
      </c>
      <c r="G3">
        <v>19.95</v>
      </c>
      <c r="H3">
        <v>39.049999999999997</v>
      </c>
      <c r="I3">
        <v>80.78</v>
      </c>
      <c r="J3">
        <v>70.819999999999993</v>
      </c>
      <c r="K3">
        <v>80.12</v>
      </c>
      <c r="L3">
        <v>82.52</v>
      </c>
      <c r="M3">
        <v>68.52</v>
      </c>
      <c r="N3">
        <v>63.69</v>
      </c>
      <c r="O3">
        <v>39.96</v>
      </c>
      <c r="P3">
        <v>19.28</v>
      </c>
      <c r="Q3">
        <v>4.5</v>
      </c>
    </row>
    <row r="4" spans="1:17" x14ac:dyDescent="0.25">
      <c r="A4" t="s">
        <v>408</v>
      </c>
      <c r="B4" t="s">
        <v>361</v>
      </c>
      <c r="C4" t="s">
        <v>56</v>
      </c>
      <c r="D4" s="1">
        <v>3400.46</v>
      </c>
      <c r="E4" t="s">
        <v>55</v>
      </c>
      <c r="F4">
        <v>91.81</v>
      </c>
      <c r="G4">
        <v>108.81</v>
      </c>
      <c r="H4">
        <v>234.63</v>
      </c>
      <c r="I4">
        <v>465.86</v>
      </c>
      <c r="J4">
        <v>418.26</v>
      </c>
      <c r="K4">
        <v>455.66</v>
      </c>
      <c r="L4">
        <v>482.87</v>
      </c>
      <c r="M4">
        <v>401.25</v>
      </c>
      <c r="N4">
        <v>363.85</v>
      </c>
      <c r="O4">
        <v>238.03</v>
      </c>
      <c r="P4">
        <v>112.22</v>
      </c>
      <c r="Q4">
        <v>27.2</v>
      </c>
    </row>
  </sheetData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3" tint="0.39997558519241921"/>
  </sheetPr>
  <dimension ref="A1:Q3"/>
  <sheetViews>
    <sheetView showGridLines="0" workbookViewId="0"/>
  </sheetViews>
  <sheetFormatPr baseColWidth="10" defaultRowHeight="15" x14ac:dyDescent="0.25"/>
  <cols>
    <col min="1" max="1" width="14.140625" bestFit="1" customWidth="1"/>
    <col min="2" max="2" width="12.8554687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42578125" bestFit="1" customWidth="1"/>
    <col min="7" max="7" width="7.42578125" bestFit="1" customWidth="1"/>
    <col min="8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417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377</v>
      </c>
      <c r="C3" t="s">
        <v>56</v>
      </c>
      <c r="D3" s="1">
        <v>1719.05</v>
      </c>
      <c r="E3" t="s">
        <v>55</v>
      </c>
      <c r="F3">
        <v>45.2</v>
      </c>
      <c r="G3">
        <v>50.01</v>
      </c>
      <c r="H3">
        <v>124.29</v>
      </c>
      <c r="I3">
        <v>219.79</v>
      </c>
      <c r="J3">
        <v>250.85</v>
      </c>
      <c r="K3">
        <v>255.88</v>
      </c>
      <c r="L3">
        <v>227.12</v>
      </c>
      <c r="M3">
        <v>212.43</v>
      </c>
      <c r="N3">
        <v>158.56</v>
      </c>
      <c r="O3">
        <v>108.48</v>
      </c>
      <c r="P3">
        <v>40.46</v>
      </c>
      <c r="Q3">
        <v>25.99</v>
      </c>
    </row>
  </sheetData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3" tint="0.39997558519241921"/>
  </sheetPr>
  <dimension ref="A1:Q69"/>
  <sheetViews>
    <sheetView showGridLines="0" workbookViewId="0"/>
  </sheetViews>
  <sheetFormatPr baseColWidth="10" defaultRowHeight="15" x14ac:dyDescent="0.25"/>
  <cols>
    <col min="1" max="1" width="38.5703125" bestFit="1" customWidth="1"/>
    <col min="2" max="2" width="18.4257812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85546875" bestFit="1" customWidth="1"/>
    <col min="7" max="7" width="7.42578125" bestFit="1" customWidth="1"/>
    <col min="8" max="9" width="6.85546875" bestFit="1" customWidth="1"/>
    <col min="10" max="10" width="4" bestFit="1" customWidth="1"/>
    <col min="11" max="11" width="4.140625" bestFit="1" customWidth="1"/>
    <col min="12" max="12" width="3.42578125" bestFit="1" customWidth="1"/>
    <col min="13" max="13" width="6.570312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188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187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71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t="s">
        <v>186</v>
      </c>
      <c r="B5" t="s">
        <v>185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154</v>
      </c>
      <c r="B6" t="s">
        <v>184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152</v>
      </c>
      <c r="B7" t="s">
        <v>183</v>
      </c>
      <c r="C7" t="s">
        <v>56</v>
      </c>
      <c r="D7">
        <v>0</v>
      </c>
      <c r="E7" t="s">
        <v>55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t="s">
        <v>150</v>
      </c>
      <c r="B8" t="s">
        <v>182</v>
      </c>
      <c r="C8" t="s">
        <v>56</v>
      </c>
      <c r="D8">
        <v>0</v>
      </c>
      <c r="E8" t="s">
        <v>55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t="s">
        <v>148</v>
      </c>
      <c r="B9" t="s">
        <v>181</v>
      </c>
      <c r="C9" t="s">
        <v>56</v>
      </c>
      <c r="D9" s="1">
        <v>4406.5</v>
      </c>
      <c r="E9" t="s">
        <v>55</v>
      </c>
      <c r="F9">
        <v>928.8</v>
      </c>
      <c r="G9">
        <v>769.33</v>
      </c>
      <c r="H9">
        <v>566.69000000000005</v>
      </c>
      <c r="I9">
        <v>154.93</v>
      </c>
      <c r="J9">
        <v>0</v>
      </c>
      <c r="K9">
        <v>0</v>
      </c>
      <c r="L9">
        <v>0</v>
      </c>
      <c r="M9">
        <v>0</v>
      </c>
      <c r="N9">
        <v>12.62</v>
      </c>
      <c r="O9">
        <v>294.67</v>
      </c>
      <c r="P9">
        <v>711.64</v>
      </c>
      <c r="Q9">
        <v>967.82</v>
      </c>
    </row>
    <row r="10" spans="1:17" x14ac:dyDescent="0.25">
      <c r="A10" t="s">
        <v>146</v>
      </c>
      <c r="B10" t="s">
        <v>180</v>
      </c>
      <c r="C10" t="s">
        <v>56</v>
      </c>
      <c r="D10">
        <v>0</v>
      </c>
      <c r="E10" t="s">
        <v>55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t="s">
        <v>144</v>
      </c>
      <c r="B11" t="s">
        <v>179</v>
      </c>
      <c r="C11" t="s">
        <v>56</v>
      </c>
      <c r="D11" s="1">
        <v>1801.92</v>
      </c>
      <c r="E11" t="s">
        <v>55</v>
      </c>
      <c r="F11">
        <v>362.83</v>
      </c>
      <c r="G11">
        <v>305.22000000000003</v>
      </c>
      <c r="H11">
        <v>243</v>
      </c>
      <c r="I11">
        <v>80.11</v>
      </c>
      <c r="J11">
        <v>0</v>
      </c>
      <c r="K11">
        <v>0</v>
      </c>
      <c r="L11">
        <v>0</v>
      </c>
      <c r="M11">
        <v>0</v>
      </c>
      <c r="N11">
        <v>6.17</v>
      </c>
      <c r="O11">
        <v>141.27000000000001</v>
      </c>
      <c r="P11">
        <v>288.60000000000002</v>
      </c>
      <c r="Q11">
        <v>374.72</v>
      </c>
    </row>
    <row r="12" spans="1:17" x14ac:dyDescent="0.25">
      <c r="A12" t="s">
        <v>142</v>
      </c>
      <c r="B12" t="s">
        <v>178</v>
      </c>
      <c r="C12" t="s">
        <v>56</v>
      </c>
      <c r="D12">
        <v>370.81</v>
      </c>
      <c r="E12" t="s">
        <v>55</v>
      </c>
      <c r="F12">
        <v>80.58</v>
      </c>
      <c r="G12">
        <v>66.069999999999993</v>
      </c>
      <c r="H12">
        <v>46.08</v>
      </c>
      <c r="I12">
        <v>10.65</v>
      </c>
      <c r="J12">
        <v>0</v>
      </c>
      <c r="K12">
        <v>0</v>
      </c>
      <c r="L12">
        <v>0</v>
      </c>
      <c r="M12">
        <v>0</v>
      </c>
      <c r="N12">
        <v>0.92</v>
      </c>
      <c r="O12">
        <v>21.84</v>
      </c>
      <c r="P12">
        <v>60.23</v>
      </c>
      <c r="Q12">
        <v>84.44</v>
      </c>
    </row>
    <row r="13" spans="1:17" x14ac:dyDescent="0.25">
      <c r="A13" t="s">
        <v>140</v>
      </c>
      <c r="B13" t="s">
        <v>177</v>
      </c>
      <c r="C13" t="s">
        <v>56</v>
      </c>
      <c r="D13" s="1">
        <v>2233.77</v>
      </c>
      <c r="E13" t="s">
        <v>55</v>
      </c>
      <c r="F13">
        <v>485.4</v>
      </c>
      <c r="G13">
        <v>398.04</v>
      </c>
      <c r="H13">
        <v>277.60000000000002</v>
      </c>
      <c r="I13">
        <v>64.17</v>
      </c>
      <c r="J13">
        <v>0</v>
      </c>
      <c r="K13">
        <v>0</v>
      </c>
      <c r="L13">
        <v>0</v>
      </c>
      <c r="M13">
        <v>0</v>
      </c>
      <c r="N13">
        <v>5.53</v>
      </c>
      <c r="O13">
        <v>131.56</v>
      </c>
      <c r="P13">
        <v>362.82</v>
      </c>
      <c r="Q13">
        <v>508.66</v>
      </c>
    </row>
    <row r="14" spans="1:17" hidden="1" x14ac:dyDescent="0.25">
      <c r="A14" t="s">
        <v>74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hidden="1" x14ac:dyDescent="0.25">
      <c r="A15" t="s">
        <v>176</v>
      </c>
      <c r="B15" t="s">
        <v>175</v>
      </c>
      <c r="C15" t="s">
        <v>56</v>
      </c>
      <c r="D15">
        <v>0</v>
      </c>
      <c r="E15" t="s">
        <v>55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hidden="1" x14ac:dyDescent="0.25">
      <c r="A16" t="s">
        <v>154</v>
      </c>
      <c r="B16" t="s">
        <v>174</v>
      </c>
      <c r="C16" t="s">
        <v>56</v>
      </c>
      <c r="D16">
        <v>0</v>
      </c>
      <c r="E16" t="s">
        <v>55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hidden="1" x14ac:dyDescent="0.25">
      <c r="A17" t="s">
        <v>152</v>
      </c>
      <c r="B17" t="s">
        <v>173</v>
      </c>
      <c r="C17" t="s">
        <v>56</v>
      </c>
      <c r="D17">
        <v>0</v>
      </c>
      <c r="E17" t="s">
        <v>55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hidden="1" x14ac:dyDescent="0.25">
      <c r="A18" t="s">
        <v>150</v>
      </c>
      <c r="B18" t="s">
        <v>172</v>
      </c>
      <c r="C18" t="s">
        <v>56</v>
      </c>
      <c r="D18">
        <v>0</v>
      </c>
      <c r="E18" t="s">
        <v>55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hidden="1" x14ac:dyDescent="0.25">
      <c r="A19" t="s">
        <v>148</v>
      </c>
      <c r="B19" t="s">
        <v>171</v>
      </c>
      <c r="C19" t="s">
        <v>56</v>
      </c>
      <c r="D19">
        <v>0</v>
      </c>
      <c r="E19" t="s">
        <v>55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hidden="1" x14ac:dyDescent="0.25">
      <c r="A20" t="s">
        <v>146</v>
      </c>
      <c r="B20" t="s">
        <v>170</v>
      </c>
      <c r="C20" t="s">
        <v>56</v>
      </c>
      <c r="D20">
        <v>0</v>
      </c>
      <c r="E20" t="s">
        <v>55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hidden="1" x14ac:dyDescent="0.25">
      <c r="A21" t="s">
        <v>144</v>
      </c>
      <c r="B21" t="s">
        <v>169</v>
      </c>
      <c r="C21" t="s">
        <v>56</v>
      </c>
      <c r="D21">
        <v>0</v>
      </c>
      <c r="E21" t="s">
        <v>55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hidden="1" x14ac:dyDescent="0.25">
      <c r="A22" t="s">
        <v>142</v>
      </c>
      <c r="B22" t="s">
        <v>168</v>
      </c>
      <c r="C22" t="s">
        <v>56</v>
      </c>
      <c r="D22">
        <v>0</v>
      </c>
      <c r="E22" t="s">
        <v>55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 hidden="1" x14ac:dyDescent="0.25">
      <c r="A23" t="s">
        <v>140</v>
      </c>
      <c r="B23" t="s">
        <v>167</v>
      </c>
      <c r="C23" t="s">
        <v>56</v>
      </c>
      <c r="D23">
        <v>0</v>
      </c>
      <c r="E23" t="s">
        <v>55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 hidden="1" x14ac:dyDescent="0.25">
      <c r="A24" t="s">
        <v>125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 hidden="1" x14ac:dyDescent="0.25">
      <c r="A25" t="s">
        <v>166</v>
      </c>
      <c r="B25" t="s">
        <v>165</v>
      </c>
      <c r="C25" t="s">
        <v>56</v>
      </c>
      <c r="D25">
        <v>0</v>
      </c>
      <c r="E25" t="s">
        <v>55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 hidden="1" x14ac:dyDescent="0.25">
      <c r="A26" t="s">
        <v>154</v>
      </c>
      <c r="B26" t="s">
        <v>164</v>
      </c>
      <c r="C26" t="s">
        <v>56</v>
      </c>
      <c r="D26">
        <v>0</v>
      </c>
      <c r="E26" t="s">
        <v>55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 hidden="1" x14ac:dyDescent="0.25">
      <c r="A27" t="s">
        <v>152</v>
      </c>
      <c r="B27" t="s">
        <v>163</v>
      </c>
      <c r="C27" t="s">
        <v>56</v>
      </c>
      <c r="D27">
        <v>0</v>
      </c>
      <c r="E27" t="s">
        <v>55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hidden="1" x14ac:dyDescent="0.25">
      <c r="A28" t="s">
        <v>150</v>
      </c>
      <c r="B28" t="s">
        <v>162</v>
      </c>
      <c r="C28" t="s">
        <v>56</v>
      </c>
      <c r="D28">
        <v>0</v>
      </c>
      <c r="E28" t="s">
        <v>55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hidden="1" x14ac:dyDescent="0.25">
      <c r="A29" t="s">
        <v>148</v>
      </c>
      <c r="B29" t="s">
        <v>161</v>
      </c>
      <c r="C29" t="s">
        <v>56</v>
      </c>
      <c r="D29">
        <v>0</v>
      </c>
      <c r="E29" t="s">
        <v>55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hidden="1" x14ac:dyDescent="0.25">
      <c r="A30" t="s">
        <v>146</v>
      </c>
      <c r="B30" t="s">
        <v>160</v>
      </c>
      <c r="C30" t="s">
        <v>56</v>
      </c>
      <c r="D30">
        <v>0</v>
      </c>
      <c r="E30" t="s">
        <v>55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hidden="1" x14ac:dyDescent="0.25">
      <c r="A31" t="s">
        <v>144</v>
      </c>
      <c r="B31" t="s">
        <v>159</v>
      </c>
      <c r="C31" t="s">
        <v>56</v>
      </c>
      <c r="D31">
        <v>0</v>
      </c>
      <c r="E31" t="s">
        <v>55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hidden="1" x14ac:dyDescent="0.25">
      <c r="A32" t="s">
        <v>142</v>
      </c>
      <c r="B32" t="s">
        <v>158</v>
      </c>
      <c r="C32" t="s">
        <v>56</v>
      </c>
      <c r="D32">
        <v>0</v>
      </c>
      <c r="E32" t="s">
        <v>55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hidden="1" x14ac:dyDescent="0.25">
      <c r="A33" t="s">
        <v>140</v>
      </c>
      <c r="B33" t="s">
        <v>157</v>
      </c>
      <c r="C33" t="s">
        <v>56</v>
      </c>
      <c r="D33">
        <v>0</v>
      </c>
      <c r="E33" t="s">
        <v>55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 hidden="1" x14ac:dyDescent="0.25">
      <c r="A34" t="s">
        <v>118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 hidden="1" x14ac:dyDescent="0.25">
      <c r="A35" t="s">
        <v>156</v>
      </c>
      <c r="B35" t="s">
        <v>155</v>
      </c>
      <c r="C35" t="s">
        <v>56</v>
      </c>
      <c r="D35">
        <v>0</v>
      </c>
      <c r="E35" t="s">
        <v>55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 hidden="1" x14ac:dyDescent="0.25">
      <c r="A36" t="s">
        <v>154</v>
      </c>
      <c r="B36" t="s">
        <v>153</v>
      </c>
      <c r="C36" t="s">
        <v>56</v>
      </c>
      <c r="D36">
        <v>0</v>
      </c>
      <c r="E36" t="s">
        <v>55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 hidden="1" x14ac:dyDescent="0.25">
      <c r="A37" t="s">
        <v>152</v>
      </c>
      <c r="B37" t="s">
        <v>151</v>
      </c>
      <c r="C37" t="s">
        <v>56</v>
      </c>
      <c r="D37">
        <v>0</v>
      </c>
      <c r="E37" t="s">
        <v>55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 hidden="1" x14ac:dyDescent="0.25">
      <c r="A38" t="s">
        <v>150</v>
      </c>
      <c r="B38" t="s">
        <v>149</v>
      </c>
      <c r="C38" t="s">
        <v>56</v>
      </c>
      <c r="D38">
        <v>0</v>
      </c>
      <c r="E38" t="s">
        <v>55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 hidden="1" x14ac:dyDescent="0.25">
      <c r="A39" t="s">
        <v>148</v>
      </c>
      <c r="B39" t="s">
        <v>147</v>
      </c>
      <c r="C39" t="s">
        <v>56</v>
      </c>
      <c r="D39">
        <v>0</v>
      </c>
      <c r="E39" t="s">
        <v>55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 hidden="1" x14ac:dyDescent="0.25">
      <c r="A40" t="s">
        <v>146</v>
      </c>
      <c r="B40" t="s">
        <v>145</v>
      </c>
      <c r="C40" t="s">
        <v>56</v>
      </c>
      <c r="D40">
        <v>0</v>
      </c>
      <c r="E40" t="s">
        <v>55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 hidden="1" x14ac:dyDescent="0.25">
      <c r="A41" t="s">
        <v>144</v>
      </c>
      <c r="B41" t="s">
        <v>143</v>
      </c>
      <c r="C41" t="s">
        <v>56</v>
      </c>
      <c r="D41">
        <v>0</v>
      </c>
      <c r="E41" t="s">
        <v>55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 hidden="1" x14ac:dyDescent="0.25">
      <c r="A42" t="s">
        <v>142</v>
      </c>
      <c r="B42" t="s">
        <v>141</v>
      </c>
      <c r="C42" t="s">
        <v>56</v>
      </c>
      <c r="D42">
        <v>0</v>
      </c>
      <c r="E42" t="s">
        <v>55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 hidden="1" x14ac:dyDescent="0.25">
      <c r="A43" t="s">
        <v>140</v>
      </c>
      <c r="B43" t="s">
        <v>139</v>
      </c>
      <c r="C43" t="s">
        <v>56</v>
      </c>
      <c r="D43">
        <v>0</v>
      </c>
      <c r="E43" t="s">
        <v>55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 hidden="1" x14ac:dyDescent="0.25">
      <c r="A44" t="s">
        <v>138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 hidden="1" x14ac:dyDescent="0.25">
      <c r="A45" t="s">
        <v>137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 x14ac:dyDescent="0.25">
      <c r="A46" t="s">
        <v>71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 x14ac:dyDescent="0.25">
      <c r="A47" t="s">
        <v>136</v>
      </c>
      <c r="B47" t="s">
        <v>135</v>
      </c>
      <c r="C47" t="s">
        <v>56</v>
      </c>
      <c r="D47">
        <v>38.28</v>
      </c>
      <c r="E47" t="s">
        <v>55</v>
      </c>
      <c r="F47">
        <v>6.64</v>
      </c>
      <c r="G47">
        <v>5.76</v>
      </c>
      <c r="H47">
        <v>5.42</v>
      </c>
      <c r="I47">
        <v>3.07</v>
      </c>
      <c r="J47">
        <v>0</v>
      </c>
      <c r="K47">
        <v>0</v>
      </c>
      <c r="L47">
        <v>0</v>
      </c>
      <c r="M47">
        <v>0</v>
      </c>
      <c r="N47">
        <v>0.27</v>
      </c>
      <c r="O47">
        <v>4.5599999999999996</v>
      </c>
      <c r="P47">
        <v>5.8</v>
      </c>
      <c r="Q47">
        <v>6.78</v>
      </c>
    </row>
    <row r="48" spans="1:17" x14ac:dyDescent="0.25">
      <c r="A48" t="s">
        <v>115</v>
      </c>
      <c r="B48" t="s">
        <v>134</v>
      </c>
      <c r="C48" t="s">
        <v>56</v>
      </c>
      <c r="D48">
        <v>0</v>
      </c>
      <c r="E48" t="s">
        <v>55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 x14ac:dyDescent="0.25">
      <c r="A49" t="s">
        <v>113</v>
      </c>
      <c r="B49" t="s">
        <v>133</v>
      </c>
      <c r="C49" t="s">
        <v>56</v>
      </c>
      <c r="D49">
        <v>0</v>
      </c>
      <c r="E49" t="s">
        <v>55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 x14ac:dyDescent="0.25">
      <c r="A50" t="s">
        <v>111</v>
      </c>
      <c r="B50" t="s">
        <v>132</v>
      </c>
      <c r="C50" t="s">
        <v>56</v>
      </c>
      <c r="D50">
        <v>38.28</v>
      </c>
      <c r="E50" t="s">
        <v>55</v>
      </c>
      <c r="F50">
        <v>6.64</v>
      </c>
      <c r="G50">
        <v>5.76</v>
      </c>
      <c r="H50">
        <v>5.42</v>
      </c>
      <c r="I50">
        <v>3.07</v>
      </c>
      <c r="J50">
        <v>0</v>
      </c>
      <c r="K50">
        <v>0</v>
      </c>
      <c r="L50">
        <v>0</v>
      </c>
      <c r="M50">
        <v>0</v>
      </c>
      <c r="N50">
        <v>0.27</v>
      </c>
      <c r="O50">
        <v>4.5599999999999996</v>
      </c>
      <c r="P50">
        <v>5.8</v>
      </c>
      <c r="Q50">
        <v>6.78</v>
      </c>
    </row>
    <row r="51" spans="1:17" x14ac:dyDescent="0.25">
      <c r="A51" t="s">
        <v>109</v>
      </c>
      <c r="B51" t="s">
        <v>131</v>
      </c>
      <c r="C51" t="s">
        <v>56</v>
      </c>
      <c r="D51">
        <v>0</v>
      </c>
      <c r="E51" t="s">
        <v>55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 hidden="1" x14ac:dyDescent="0.25">
      <c r="A52" t="s">
        <v>74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 hidden="1" x14ac:dyDescent="0.25">
      <c r="A53" t="s">
        <v>76</v>
      </c>
      <c r="B53" t="s">
        <v>130</v>
      </c>
      <c r="C53" t="s">
        <v>56</v>
      </c>
      <c r="D53">
        <v>0</v>
      </c>
      <c r="E53" t="s">
        <v>55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 hidden="1" x14ac:dyDescent="0.25">
      <c r="A54" t="s">
        <v>115</v>
      </c>
      <c r="B54" t="s">
        <v>129</v>
      </c>
      <c r="C54" t="s">
        <v>56</v>
      </c>
      <c r="D54">
        <v>0</v>
      </c>
      <c r="E54" t="s">
        <v>55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1:17" hidden="1" x14ac:dyDescent="0.25">
      <c r="A55" t="s">
        <v>113</v>
      </c>
      <c r="B55" t="s">
        <v>128</v>
      </c>
      <c r="C55" t="s">
        <v>56</v>
      </c>
      <c r="D55">
        <v>0</v>
      </c>
      <c r="E55" t="s">
        <v>55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 hidden="1" x14ac:dyDescent="0.25">
      <c r="A56" t="s">
        <v>111</v>
      </c>
      <c r="B56" t="s">
        <v>127</v>
      </c>
      <c r="C56" t="s">
        <v>56</v>
      </c>
      <c r="D56">
        <v>0</v>
      </c>
      <c r="E56" t="s">
        <v>55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 hidden="1" x14ac:dyDescent="0.25">
      <c r="A57" t="s">
        <v>109</v>
      </c>
      <c r="B57" t="s">
        <v>126</v>
      </c>
      <c r="C57" t="s">
        <v>56</v>
      </c>
      <c r="D57">
        <v>0</v>
      </c>
      <c r="E57" t="s">
        <v>55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 hidden="1" x14ac:dyDescent="0.25">
      <c r="A58" t="s">
        <v>125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 hidden="1" x14ac:dyDescent="0.25">
      <c r="A59" t="s">
        <v>124</v>
      </c>
      <c r="B59" t="s">
        <v>123</v>
      </c>
      <c r="C59" t="s">
        <v>56</v>
      </c>
      <c r="D59">
        <v>0</v>
      </c>
      <c r="E59" t="s">
        <v>55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 hidden="1" x14ac:dyDescent="0.25">
      <c r="A60" t="s">
        <v>115</v>
      </c>
      <c r="B60" t="s">
        <v>122</v>
      </c>
      <c r="C60" t="s">
        <v>56</v>
      </c>
      <c r="D60">
        <v>0</v>
      </c>
      <c r="E60" t="s">
        <v>55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 hidden="1" x14ac:dyDescent="0.25">
      <c r="A61" t="s">
        <v>113</v>
      </c>
      <c r="B61" t="s">
        <v>121</v>
      </c>
      <c r="C61" t="s">
        <v>56</v>
      </c>
      <c r="D61">
        <v>0</v>
      </c>
      <c r="E61" t="s">
        <v>55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 hidden="1" x14ac:dyDescent="0.25">
      <c r="A62" t="s">
        <v>111</v>
      </c>
      <c r="B62" t="s">
        <v>120</v>
      </c>
      <c r="C62" t="s">
        <v>56</v>
      </c>
      <c r="D62">
        <v>0</v>
      </c>
      <c r="E62" t="s">
        <v>55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 hidden="1" x14ac:dyDescent="0.25">
      <c r="A63" t="s">
        <v>109</v>
      </c>
      <c r="B63" t="s">
        <v>119</v>
      </c>
      <c r="C63" t="s">
        <v>56</v>
      </c>
      <c r="D63">
        <v>0</v>
      </c>
      <c r="E63" t="s">
        <v>55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 hidden="1" x14ac:dyDescent="0.25">
      <c r="A64" t="s">
        <v>118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 hidden="1" x14ac:dyDescent="0.25">
      <c r="A65" t="s">
        <v>117</v>
      </c>
      <c r="B65" t="s">
        <v>116</v>
      </c>
      <c r="C65" t="s">
        <v>56</v>
      </c>
      <c r="D65">
        <v>0</v>
      </c>
      <c r="E65" t="s">
        <v>55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 hidden="1" x14ac:dyDescent="0.25">
      <c r="A66" t="s">
        <v>115</v>
      </c>
      <c r="B66" t="s">
        <v>114</v>
      </c>
      <c r="C66" t="s">
        <v>56</v>
      </c>
      <c r="D66">
        <v>0</v>
      </c>
      <c r="E66" t="s">
        <v>55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:17" hidden="1" x14ac:dyDescent="0.25">
      <c r="A67" t="s">
        <v>113</v>
      </c>
      <c r="B67" t="s">
        <v>112</v>
      </c>
      <c r="C67" t="s">
        <v>56</v>
      </c>
      <c r="D67">
        <v>0</v>
      </c>
      <c r="E67" t="s">
        <v>55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 hidden="1" x14ac:dyDescent="0.25">
      <c r="A68" t="s">
        <v>111</v>
      </c>
      <c r="B68" t="s">
        <v>110</v>
      </c>
      <c r="C68" t="s">
        <v>56</v>
      </c>
      <c r="D68">
        <v>0</v>
      </c>
      <c r="E68" t="s">
        <v>55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 hidden="1" x14ac:dyDescent="0.25">
      <c r="A69" t="s">
        <v>109</v>
      </c>
      <c r="B69" t="s">
        <v>108</v>
      </c>
      <c r="C69" t="s">
        <v>56</v>
      </c>
      <c r="D69">
        <v>0</v>
      </c>
      <c r="E69" t="s">
        <v>55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</sheetData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3" tint="0.39997558519241921"/>
  </sheetPr>
  <dimension ref="A1:Q69"/>
  <sheetViews>
    <sheetView showGridLines="0" workbookViewId="0"/>
  </sheetViews>
  <sheetFormatPr baseColWidth="10"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188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187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71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t="s">
        <v>186</v>
      </c>
      <c r="B5" t="s">
        <v>185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154</v>
      </c>
      <c r="B6" t="s">
        <v>184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152</v>
      </c>
      <c r="B7" t="s">
        <v>183</v>
      </c>
      <c r="C7" t="s">
        <v>56</v>
      </c>
      <c r="D7">
        <v>0</v>
      </c>
      <c r="E7" t="s">
        <v>55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t="s">
        <v>150</v>
      </c>
      <c r="B8" t="s">
        <v>182</v>
      </c>
      <c r="C8" t="s">
        <v>56</v>
      </c>
      <c r="D8">
        <v>0</v>
      </c>
      <c r="E8" t="s">
        <v>55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t="s">
        <v>148</v>
      </c>
      <c r="B9" t="s">
        <v>181</v>
      </c>
      <c r="C9" t="s">
        <v>56</v>
      </c>
      <c r="D9" s="1">
        <v>4650.1499999999996</v>
      </c>
      <c r="E9" t="s">
        <v>55</v>
      </c>
      <c r="F9">
        <v>996.92</v>
      </c>
      <c r="G9">
        <v>820.91</v>
      </c>
      <c r="H9">
        <v>586.99</v>
      </c>
      <c r="I9">
        <v>148.44</v>
      </c>
      <c r="J9">
        <v>0</v>
      </c>
      <c r="K9">
        <v>0</v>
      </c>
      <c r="L9">
        <v>0</v>
      </c>
      <c r="M9">
        <v>0</v>
      </c>
      <c r="N9">
        <v>12.18</v>
      </c>
      <c r="O9">
        <v>290.56</v>
      </c>
      <c r="P9">
        <v>752.22</v>
      </c>
      <c r="Q9" s="1">
        <v>1041.94</v>
      </c>
    </row>
    <row r="10" spans="1:17" x14ac:dyDescent="0.25">
      <c r="A10" t="s">
        <v>146</v>
      </c>
      <c r="B10" t="s">
        <v>180</v>
      </c>
      <c r="C10" t="s">
        <v>56</v>
      </c>
      <c r="D10">
        <v>0</v>
      </c>
      <c r="E10" t="s">
        <v>55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t="s">
        <v>144</v>
      </c>
      <c r="B11" t="s">
        <v>179</v>
      </c>
      <c r="C11" t="s">
        <v>56</v>
      </c>
      <c r="D11">
        <v>707.77</v>
      </c>
      <c r="E11" t="s">
        <v>55</v>
      </c>
      <c r="F11">
        <v>140.24</v>
      </c>
      <c r="G11">
        <v>118.42</v>
      </c>
      <c r="H11">
        <v>97.05</v>
      </c>
      <c r="I11">
        <v>35.19</v>
      </c>
      <c r="J11">
        <v>0</v>
      </c>
      <c r="K11">
        <v>0</v>
      </c>
      <c r="L11">
        <v>0</v>
      </c>
      <c r="M11">
        <v>0</v>
      </c>
      <c r="N11">
        <v>2.42</v>
      </c>
      <c r="O11">
        <v>58.37</v>
      </c>
      <c r="P11">
        <v>111.88</v>
      </c>
      <c r="Q11">
        <v>144.19999999999999</v>
      </c>
    </row>
    <row r="12" spans="1:17" x14ac:dyDescent="0.25">
      <c r="A12" t="s">
        <v>142</v>
      </c>
      <c r="B12" t="s">
        <v>178</v>
      </c>
      <c r="C12" t="s">
        <v>56</v>
      </c>
      <c r="D12">
        <v>591.73</v>
      </c>
      <c r="E12" t="s">
        <v>55</v>
      </c>
      <c r="F12">
        <v>128.58000000000001</v>
      </c>
      <c r="G12">
        <v>105.44</v>
      </c>
      <c r="H12">
        <v>73.540000000000006</v>
      </c>
      <c r="I12">
        <v>17</v>
      </c>
      <c r="J12">
        <v>0</v>
      </c>
      <c r="K12">
        <v>0</v>
      </c>
      <c r="L12">
        <v>0</v>
      </c>
      <c r="M12">
        <v>0</v>
      </c>
      <c r="N12">
        <v>1.46</v>
      </c>
      <c r="O12">
        <v>34.85</v>
      </c>
      <c r="P12">
        <v>96.11</v>
      </c>
      <c r="Q12">
        <v>134.74</v>
      </c>
    </row>
    <row r="13" spans="1:17" x14ac:dyDescent="0.25">
      <c r="A13" t="s">
        <v>140</v>
      </c>
      <c r="B13" t="s">
        <v>177</v>
      </c>
      <c r="C13" t="s">
        <v>56</v>
      </c>
      <c r="D13" s="1">
        <v>3350.66</v>
      </c>
      <c r="E13" t="s">
        <v>55</v>
      </c>
      <c r="F13">
        <v>728.1</v>
      </c>
      <c r="G13">
        <v>597.04999999999995</v>
      </c>
      <c r="H13">
        <v>416.4</v>
      </c>
      <c r="I13">
        <v>96.25</v>
      </c>
      <c r="J13">
        <v>0</v>
      </c>
      <c r="K13">
        <v>0</v>
      </c>
      <c r="L13">
        <v>0</v>
      </c>
      <c r="M13">
        <v>0</v>
      </c>
      <c r="N13">
        <v>8.3000000000000007</v>
      </c>
      <c r="O13">
        <v>197.34</v>
      </c>
      <c r="P13">
        <v>544.22</v>
      </c>
      <c r="Q13">
        <v>762.99</v>
      </c>
    </row>
    <row r="14" spans="1:17" hidden="1" x14ac:dyDescent="0.25">
      <c r="A14" t="s">
        <v>74</v>
      </c>
      <c r="D14" s="1"/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hidden="1" x14ac:dyDescent="0.25">
      <c r="A15" t="s">
        <v>176</v>
      </c>
      <c r="B15" t="s">
        <v>175</v>
      </c>
      <c r="C15" t="s">
        <v>56</v>
      </c>
      <c r="D15">
        <v>0</v>
      </c>
      <c r="E15" t="s">
        <v>55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hidden="1" x14ac:dyDescent="0.25">
      <c r="A16" t="s">
        <v>154</v>
      </c>
      <c r="B16" t="s">
        <v>174</v>
      </c>
      <c r="C16" t="s">
        <v>56</v>
      </c>
      <c r="D16">
        <v>0</v>
      </c>
      <c r="E16" t="s">
        <v>55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hidden="1" x14ac:dyDescent="0.25">
      <c r="A17" t="s">
        <v>152</v>
      </c>
      <c r="B17" t="s">
        <v>173</v>
      </c>
      <c r="C17" t="s">
        <v>56</v>
      </c>
      <c r="D17">
        <v>0</v>
      </c>
      <c r="E17" t="s">
        <v>55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hidden="1" x14ac:dyDescent="0.25">
      <c r="A18" t="s">
        <v>150</v>
      </c>
      <c r="B18" t="s">
        <v>172</v>
      </c>
      <c r="C18" t="s">
        <v>56</v>
      </c>
      <c r="D18">
        <v>0</v>
      </c>
      <c r="E18" t="s">
        <v>55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hidden="1" x14ac:dyDescent="0.25">
      <c r="A19" t="s">
        <v>148</v>
      </c>
      <c r="B19" t="s">
        <v>171</v>
      </c>
      <c r="C19" t="s">
        <v>56</v>
      </c>
      <c r="D19">
        <v>0</v>
      </c>
      <c r="E19" t="s">
        <v>55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hidden="1" x14ac:dyDescent="0.25">
      <c r="A20" t="s">
        <v>146</v>
      </c>
      <c r="B20" t="s">
        <v>170</v>
      </c>
      <c r="C20" t="s">
        <v>56</v>
      </c>
      <c r="D20">
        <v>0</v>
      </c>
      <c r="E20" t="s">
        <v>55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hidden="1" x14ac:dyDescent="0.25">
      <c r="A21" t="s">
        <v>144</v>
      </c>
      <c r="B21" t="s">
        <v>169</v>
      </c>
      <c r="C21" t="s">
        <v>56</v>
      </c>
      <c r="D21">
        <v>0</v>
      </c>
      <c r="E21" t="s">
        <v>55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hidden="1" x14ac:dyDescent="0.25">
      <c r="A22" t="s">
        <v>142</v>
      </c>
      <c r="B22" t="s">
        <v>168</v>
      </c>
      <c r="C22" t="s">
        <v>56</v>
      </c>
      <c r="D22">
        <v>0</v>
      </c>
      <c r="E22" t="s">
        <v>55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 hidden="1" x14ac:dyDescent="0.25">
      <c r="A23" t="s">
        <v>140</v>
      </c>
      <c r="B23" t="s">
        <v>167</v>
      </c>
      <c r="C23" t="s">
        <v>56</v>
      </c>
      <c r="D23">
        <v>0</v>
      </c>
      <c r="E23" t="s">
        <v>55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 hidden="1" x14ac:dyDescent="0.25">
      <c r="A24" t="s">
        <v>125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 hidden="1" x14ac:dyDescent="0.25">
      <c r="A25" t="s">
        <v>166</v>
      </c>
      <c r="B25" t="s">
        <v>165</v>
      </c>
      <c r="C25" t="s">
        <v>56</v>
      </c>
      <c r="D25">
        <v>0</v>
      </c>
      <c r="E25" t="s">
        <v>55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 hidden="1" x14ac:dyDescent="0.25">
      <c r="A26" t="s">
        <v>154</v>
      </c>
      <c r="B26" t="s">
        <v>164</v>
      </c>
      <c r="C26" t="s">
        <v>56</v>
      </c>
      <c r="D26">
        <v>0</v>
      </c>
      <c r="E26" t="s">
        <v>55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 hidden="1" x14ac:dyDescent="0.25">
      <c r="A27" t="s">
        <v>152</v>
      </c>
      <c r="B27" t="s">
        <v>163</v>
      </c>
      <c r="C27" t="s">
        <v>56</v>
      </c>
      <c r="D27">
        <v>0</v>
      </c>
      <c r="E27" t="s">
        <v>55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hidden="1" x14ac:dyDescent="0.25">
      <c r="A28" t="s">
        <v>150</v>
      </c>
      <c r="B28" t="s">
        <v>162</v>
      </c>
      <c r="C28" t="s">
        <v>56</v>
      </c>
      <c r="D28">
        <v>0</v>
      </c>
      <c r="E28" t="s">
        <v>55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hidden="1" x14ac:dyDescent="0.25">
      <c r="A29" t="s">
        <v>148</v>
      </c>
      <c r="B29" t="s">
        <v>161</v>
      </c>
      <c r="C29" t="s">
        <v>56</v>
      </c>
      <c r="D29">
        <v>0</v>
      </c>
      <c r="E29" t="s">
        <v>55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hidden="1" x14ac:dyDescent="0.25">
      <c r="A30" t="s">
        <v>146</v>
      </c>
      <c r="B30" t="s">
        <v>160</v>
      </c>
      <c r="C30" t="s">
        <v>56</v>
      </c>
      <c r="D30">
        <v>0</v>
      </c>
      <c r="E30" t="s">
        <v>55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hidden="1" x14ac:dyDescent="0.25">
      <c r="A31" t="s">
        <v>144</v>
      </c>
      <c r="B31" t="s">
        <v>159</v>
      </c>
      <c r="C31" t="s">
        <v>56</v>
      </c>
      <c r="D31">
        <v>0</v>
      </c>
      <c r="E31" t="s">
        <v>55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hidden="1" x14ac:dyDescent="0.25">
      <c r="A32" t="s">
        <v>142</v>
      </c>
      <c r="B32" t="s">
        <v>158</v>
      </c>
      <c r="C32" t="s">
        <v>56</v>
      </c>
      <c r="D32">
        <v>0</v>
      </c>
      <c r="E32" t="s">
        <v>55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hidden="1" x14ac:dyDescent="0.25">
      <c r="A33" t="s">
        <v>140</v>
      </c>
      <c r="B33" t="s">
        <v>157</v>
      </c>
      <c r="C33" t="s">
        <v>56</v>
      </c>
      <c r="D33">
        <v>0</v>
      </c>
      <c r="E33" t="s">
        <v>55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 hidden="1" x14ac:dyDescent="0.25">
      <c r="A34" t="s">
        <v>118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 hidden="1" x14ac:dyDescent="0.25">
      <c r="A35" t="s">
        <v>156</v>
      </c>
      <c r="B35" t="s">
        <v>155</v>
      </c>
      <c r="C35" t="s">
        <v>56</v>
      </c>
      <c r="D35">
        <v>0</v>
      </c>
      <c r="E35" t="s">
        <v>55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 hidden="1" x14ac:dyDescent="0.25">
      <c r="A36" t="s">
        <v>154</v>
      </c>
      <c r="B36" t="s">
        <v>153</v>
      </c>
      <c r="C36" t="s">
        <v>56</v>
      </c>
      <c r="D36">
        <v>0</v>
      </c>
      <c r="E36" t="s">
        <v>55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 hidden="1" x14ac:dyDescent="0.25">
      <c r="A37" t="s">
        <v>152</v>
      </c>
      <c r="B37" t="s">
        <v>151</v>
      </c>
      <c r="C37" t="s">
        <v>56</v>
      </c>
      <c r="D37">
        <v>0</v>
      </c>
      <c r="E37" t="s">
        <v>55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 hidden="1" x14ac:dyDescent="0.25">
      <c r="A38" t="s">
        <v>150</v>
      </c>
      <c r="B38" t="s">
        <v>149</v>
      </c>
      <c r="C38" t="s">
        <v>56</v>
      </c>
      <c r="D38">
        <v>0</v>
      </c>
      <c r="E38" t="s">
        <v>55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 hidden="1" x14ac:dyDescent="0.25">
      <c r="A39" t="s">
        <v>148</v>
      </c>
      <c r="B39" t="s">
        <v>147</v>
      </c>
      <c r="C39" t="s">
        <v>56</v>
      </c>
      <c r="D39">
        <v>0</v>
      </c>
      <c r="E39" t="s">
        <v>55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 hidden="1" x14ac:dyDescent="0.25">
      <c r="A40" t="s">
        <v>146</v>
      </c>
      <c r="B40" t="s">
        <v>145</v>
      </c>
      <c r="C40" t="s">
        <v>56</v>
      </c>
      <c r="D40">
        <v>0</v>
      </c>
      <c r="E40" t="s">
        <v>55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 hidden="1" x14ac:dyDescent="0.25">
      <c r="A41" t="s">
        <v>144</v>
      </c>
      <c r="B41" t="s">
        <v>143</v>
      </c>
      <c r="C41" t="s">
        <v>56</v>
      </c>
      <c r="D41">
        <v>0</v>
      </c>
      <c r="E41" t="s">
        <v>55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 hidden="1" x14ac:dyDescent="0.25">
      <c r="A42" t="s">
        <v>142</v>
      </c>
      <c r="B42" t="s">
        <v>141</v>
      </c>
      <c r="C42" t="s">
        <v>56</v>
      </c>
      <c r="D42">
        <v>0</v>
      </c>
      <c r="E42" t="s">
        <v>55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 hidden="1" x14ac:dyDescent="0.25">
      <c r="A43" t="s">
        <v>140</v>
      </c>
      <c r="B43" t="s">
        <v>139</v>
      </c>
      <c r="C43" t="s">
        <v>56</v>
      </c>
      <c r="D43">
        <v>0</v>
      </c>
      <c r="E43" t="s">
        <v>55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17" hidden="1" x14ac:dyDescent="0.25">
      <c r="A44" t="s">
        <v>138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 hidden="1" x14ac:dyDescent="0.25">
      <c r="A45" t="s">
        <v>137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 x14ac:dyDescent="0.25">
      <c r="A46" t="s">
        <v>71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 x14ac:dyDescent="0.25">
      <c r="A47" t="s">
        <v>136</v>
      </c>
      <c r="B47" t="s">
        <v>135</v>
      </c>
      <c r="C47" t="s">
        <v>56</v>
      </c>
      <c r="D47">
        <v>58.88</v>
      </c>
      <c r="E47" t="s">
        <v>55</v>
      </c>
      <c r="F47">
        <v>10.220000000000001</v>
      </c>
      <c r="G47">
        <v>8.86</v>
      </c>
      <c r="H47">
        <v>8.33</v>
      </c>
      <c r="I47">
        <v>4.71</v>
      </c>
      <c r="J47">
        <v>0</v>
      </c>
      <c r="K47">
        <v>0</v>
      </c>
      <c r="L47">
        <v>0</v>
      </c>
      <c r="M47">
        <v>0</v>
      </c>
      <c r="N47">
        <v>0.41</v>
      </c>
      <c r="O47">
        <v>7</v>
      </c>
      <c r="P47">
        <v>8.92</v>
      </c>
      <c r="Q47">
        <v>10.43</v>
      </c>
    </row>
    <row r="48" spans="1:17" x14ac:dyDescent="0.25">
      <c r="A48" t="s">
        <v>115</v>
      </c>
      <c r="B48" t="s">
        <v>134</v>
      </c>
      <c r="C48" t="s">
        <v>56</v>
      </c>
      <c r="D48">
        <v>0</v>
      </c>
      <c r="E48" t="s">
        <v>55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 x14ac:dyDescent="0.25">
      <c r="A49" t="s">
        <v>113</v>
      </c>
      <c r="B49" t="s">
        <v>133</v>
      </c>
      <c r="C49" t="s">
        <v>56</v>
      </c>
      <c r="D49">
        <v>0</v>
      </c>
      <c r="E49" t="s">
        <v>55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 x14ac:dyDescent="0.25">
      <c r="A50" t="s">
        <v>111</v>
      </c>
      <c r="B50" t="s">
        <v>132</v>
      </c>
      <c r="C50" t="s">
        <v>56</v>
      </c>
      <c r="D50">
        <v>58.88</v>
      </c>
      <c r="E50" t="s">
        <v>55</v>
      </c>
      <c r="F50">
        <v>10.220000000000001</v>
      </c>
      <c r="G50">
        <v>8.86</v>
      </c>
      <c r="H50">
        <v>8.33</v>
      </c>
      <c r="I50">
        <v>4.71</v>
      </c>
      <c r="J50">
        <v>0</v>
      </c>
      <c r="K50">
        <v>0</v>
      </c>
      <c r="L50">
        <v>0</v>
      </c>
      <c r="M50">
        <v>0</v>
      </c>
      <c r="N50">
        <v>0.41</v>
      </c>
      <c r="O50">
        <v>7</v>
      </c>
      <c r="P50">
        <v>8.92</v>
      </c>
      <c r="Q50">
        <v>10.43</v>
      </c>
    </row>
    <row r="51" spans="1:17" x14ac:dyDescent="0.25">
      <c r="A51" t="s">
        <v>109</v>
      </c>
      <c r="B51" t="s">
        <v>131</v>
      </c>
      <c r="C51" t="s">
        <v>56</v>
      </c>
      <c r="D51">
        <v>0</v>
      </c>
      <c r="E51" t="s">
        <v>55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 hidden="1" x14ac:dyDescent="0.25">
      <c r="A52" t="s">
        <v>74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 hidden="1" x14ac:dyDescent="0.25">
      <c r="A53" t="s">
        <v>76</v>
      </c>
      <c r="B53" t="s">
        <v>130</v>
      </c>
      <c r="C53" t="s">
        <v>56</v>
      </c>
      <c r="D53">
        <v>0</v>
      </c>
      <c r="E53" t="s">
        <v>55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 hidden="1" x14ac:dyDescent="0.25">
      <c r="A54" t="s">
        <v>115</v>
      </c>
      <c r="B54" t="s">
        <v>129</v>
      </c>
      <c r="C54" t="s">
        <v>56</v>
      </c>
      <c r="D54">
        <v>0</v>
      </c>
      <c r="E54" t="s">
        <v>55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1:17" hidden="1" x14ac:dyDescent="0.25">
      <c r="A55" t="s">
        <v>113</v>
      </c>
      <c r="B55" t="s">
        <v>128</v>
      </c>
      <c r="C55" t="s">
        <v>56</v>
      </c>
      <c r="D55">
        <v>0</v>
      </c>
      <c r="E55" t="s">
        <v>55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 hidden="1" x14ac:dyDescent="0.25">
      <c r="A56" t="s">
        <v>111</v>
      </c>
      <c r="B56" t="s">
        <v>127</v>
      </c>
      <c r="C56" t="s">
        <v>56</v>
      </c>
      <c r="D56">
        <v>0</v>
      </c>
      <c r="E56" t="s">
        <v>55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 hidden="1" x14ac:dyDescent="0.25">
      <c r="A57" t="s">
        <v>109</v>
      </c>
      <c r="B57" t="s">
        <v>126</v>
      </c>
      <c r="C57" t="s">
        <v>56</v>
      </c>
      <c r="D57">
        <v>0</v>
      </c>
      <c r="E57" t="s">
        <v>55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 hidden="1" x14ac:dyDescent="0.25">
      <c r="A58" t="s">
        <v>125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 hidden="1" x14ac:dyDescent="0.25">
      <c r="A59" t="s">
        <v>124</v>
      </c>
      <c r="B59" t="s">
        <v>123</v>
      </c>
      <c r="C59" t="s">
        <v>56</v>
      </c>
      <c r="D59">
        <v>0</v>
      </c>
      <c r="E59" t="s">
        <v>55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 hidden="1" x14ac:dyDescent="0.25">
      <c r="A60" t="s">
        <v>115</v>
      </c>
      <c r="B60" t="s">
        <v>122</v>
      </c>
      <c r="C60" t="s">
        <v>56</v>
      </c>
      <c r="D60">
        <v>0</v>
      </c>
      <c r="E60" t="s">
        <v>55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 hidden="1" x14ac:dyDescent="0.25">
      <c r="A61" t="s">
        <v>113</v>
      </c>
      <c r="B61" t="s">
        <v>121</v>
      </c>
      <c r="C61" t="s">
        <v>56</v>
      </c>
      <c r="D61">
        <v>0</v>
      </c>
      <c r="E61" t="s">
        <v>55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 hidden="1" x14ac:dyDescent="0.25">
      <c r="A62" t="s">
        <v>111</v>
      </c>
      <c r="B62" t="s">
        <v>120</v>
      </c>
      <c r="C62" t="s">
        <v>56</v>
      </c>
      <c r="D62">
        <v>0</v>
      </c>
      <c r="E62" t="s">
        <v>55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 hidden="1" x14ac:dyDescent="0.25">
      <c r="A63" t="s">
        <v>109</v>
      </c>
      <c r="B63" t="s">
        <v>119</v>
      </c>
      <c r="C63" t="s">
        <v>56</v>
      </c>
      <c r="D63">
        <v>0</v>
      </c>
      <c r="E63" t="s">
        <v>55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 hidden="1" x14ac:dyDescent="0.25">
      <c r="A64" t="s">
        <v>118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 hidden="1" x14ac:dyDescent="0.25">
      <c r="A65" t="s">
        <v>117</v>
      </c>
      <c r="B65" t="s">
        <v>116</v>
      </c>
      <c r="C65" t="s">
        <v>56</v>
      </c>
      <c r="D65">
        <v>0</v>
      </c>
      <c r="E65" t="s">
        <v>55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1:17" hidden="1" x14ac:dyDescent="0.25">
      <c r="A66" t="s">
        <v>115</v>
      </c>
      <c r="B66" t="s">
        <v>114</v>
      </c>
      <c r="C66" t="s">
        <v>56</v>
      </c>
      <c r="D66">
        <v>0</v>
      </c>
      <c r="E66" t="s">
        <v>55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:17" hidden="1" x14ac:dyDescent="0.25">
      <c r="A67" t="s">
        <v>113</v>
      </c>
      <c r="B67" t="s">
        <v>112</v>
      </c>
      <c r="C67" t="s">
        <v>56</v>
      </c>
      <c r="D67">
        <v>0</v>
      </c>
      <c r="E67" t="s">
        <v>55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 hidden="1" x14ac:dyDescent="0.25">
      <c r="A68" t="s">
        <v>111</v>
      </c>
      <c r="B68" t="s">
        <v>110</v>
      </c>
      <c r="C68" t="s">
        <v>56</v>
      </c>
      <c r="D68">
        <v>0</v>
      </c>
      <c r="E68" t="s">
        <v>55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 hidden="1" x14ac:dyDescent="0.25">
      <c r="A69" t="s">
        <v>109</v>
      </c>
      <c r="B69" t="s">
        <v>108</v>
      </c>
      <c r="C69" t="s">
        <v>56</v>
      </c>
      <c r="D69">
        <v>0</v>
      </c>
      <c r="E69" t="s">
        <v>55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</sheetData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3" tint="0.39997558519241921"/>
  </sheetPr>
  <dimension ref="A1:Q18"/>
  <sheetViews>
    <sheetView showGridLines="0" workbookViewId="0"/>
  </sheetViews>
  <sheetFormatPr baseColWidth="10" defaultRowHeight="15" x14ac:dyDescent="0.25"/>
  <cols>
    <col min="1" max="1" width="31.42578125" bestFit="1" customWidth="1"/>
    <col min="2" max="2" width="16.14062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85546875" bestFit="1" customWidth="1"/>
    <col min="7" max="7" width="7.42578125" bestFit="1" customWidth="1"/>
    <col min="8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363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82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362</v>
      </c>
      <c r="B4" t="s">
        <v>361</v>
      </c>
      <c r="C4" t="s">
        <v>56</v>
      </c>
      <c r="D4">
        <v>0</v>
      </c>
      <c r="E4" t="s">
        <v>55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t="s">
        <v>154</v>
      </c>
      <c r="B5" t="s">
        <v>360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152</v>
      </c>
      <c r="B6" t="s">
        <v>359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150</v>
      </c>
      <c r="B7" t="s">
        <v>358</v>
      </c>
      <c r="C7" t="s">
        <v>56</v>
      </c>
      <c r="D7">
        <v>0</v>
      </c>
      <c r="E7" t="s">
        <v>55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t="s">
        <v>148</v>
      </c>
      <c r="B8" t="s">
        <v>357</v>
      </c>
      <c r="C8" t="s">
        <v>56</v>
      </c>
      <c r="D8">
        <v>0</v>
      </c>
      <c r="E8" t="s">
        <v>55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t="s">
        <v>146</v>
      </c>
      <c r="B9" t="s">
        <v>356</v>
      </c>
      <c r="C9" t="s">
        <v>56</v>
      </c>
      <c r="D9">
        <v>0</v>
      </c>
      <c r="E9" t="s">
        <v>55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25">
      <c r="A10" t="s">
        <v>144</v>
      </c>
      <c r="B10" t="s">
        <v>355</v>
      </c>
      <c r="C10" t="s">
        <v>56</v>
      </c>
      <c r="D10" s="1">
        <v>3432.03</v>
      </c>
      <c r="E10" t="s">
        <v>55</v>
      </c>
      <c r="F10">
        <v>300.31</v>
      </c>
      <c r="G10">
        <v>270.41000000000003</v>
      </c>
      <c r="H10">
        <v>296.49</v>
      </c>
      <c r="I10">
        <v>282.43</v>
      </c>
      <c r="J10">
        <v>286.79000000000002</v>
      </c>
      <c r="K10">
        <v>274.94</v>
      </c>
      <c r="L10">
        <v>281.73</v>
      </c>
      <c r="M10">
        <v>282.14</v>
      </c>
      <c r="N10">
        <v>277.33999999999997</v>
      </c>
      <c r="O10">
        <v>291.52999999999997</v>
      </c>
      <c r="P10">
        <v>287.52</v>
      </c>
      <c r="Q10">
        <v>300.41000000000003</v>
      </c>
    </row>
    <row r="11" spans="1:17" x14ac:dyDescent="0.25">
      <c r="A11" t="s">
        <v>142</v>
      </c>
      <c r="B11" t="s">
        <v>354</v>
      </c>
      <c r="C11" t="s">
        <v>56</v>
      </c>
      <c r="D11">
        <v>0</v>
      </c>
      <c r="E11" t="s">
        <v>55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t="s">
        <v>140</v>
      </c>
      <c r="B12" t="s">
        <v>353</v>
      </c>
      <c r="C12" t="s">
        <v>56</v>
      </c>
      <c r="D12" s="1">
        <v>3253.25</v>
      </c>
      <c r="E12" t="s">
        <v>55</v>
      </c>
      <c r="F12">
        <v>276.3</v>
      </c>
      <c r="G12">
        <v>249.56</v>
      </c>
      <c r="H12">
        <v>276.3</v>
      </c>
      <c r="I12">
        <v>267.39</v>
      </c>
      <c r="J12">
        <v>276.3</v>
      </c>
      <c r="K12">
        <v>267.39</v>
      </c>
      <c r="L12">
        <v>276.3</v>
      </c>
      <c r="M12">
        <v>276.3</v>
      </c>
      <c r="N12">
        <v>267.39</v>
      </c>
      <c r="O12">
        <v>276.3</v>
      </c>
      <c r="P12">
        <v>267.39</v>
      </c>
      <c r="Q12">
        <v>276.3</v>
      </c>
    </row>
    <row r="13" spans="1:17" x14ac:dyDescent="0.25">
      <c r="A13" t="s">
        <v>137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t="s">
        <v>81</v>
      </c>
      <c r="B14" t="s">
        <v>130</v>
      </c>
      <c r="C14" t="s">
        <v>56</v>
      </c>
      <c r="D14">
        <v>58.15</v>
      </c>
      <c r="E14" t="s">
        <v>55</v>
      </c>
      <c r="F14">
        <v>4.9400000000000004</v>
      </c>
      <c r="G14">
        <v>4.46</v>
      </c>
      <c r="H14">
        <v>4.9400000000000004</v>
      </c>
      <c r="I14">
        <v>4.78</v>
      </c>
      <c r="J14">
        <v>4.9400000000000004</v>
      </c>
      <c r="K14">
        <v>4.78</v>
      </c>
      <c r="L14">
        <v>4.9400000000000004</v>
      </c>
      <c r="M14">
        <v>4.9400000000000004</v>
      </c>
      <c r="N14">
        <v>4.78</v>
      </c>
      <c r="O14">
        <v>4.9400000000000004</v>
      </c>
      <c r="P14">
        <v>4.78</v>
      </c>
      <c r="Q14">
        <v>4.9400000000000004</v>
      </c>
    </row>
    <row r="15" spans="1:17" x14ac:dyDescent="0.25">
      <c r="A15" t="s">
        <v>115</v>
      </c>
      <c r="B15" t="s">
        <v>352</v>
      </c>
      <c r="C15" t="s">
        <v>56</v>
      </c>
      <c r="D15">
        <v>0</v>
      </c>
      <c r="E15" t="s">
        <v>55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t="s">
        <v>113</v>
      </c>
      <c r="B16" t="s">
        <v>351</v>
      </c>
      <c r="C16" t="s">
        <v>56</v>
      </c>
      <c r="D16">
        <v>0</v>
      </c>
      <c r="E16" t="s">
        <v>55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t="s">
        <v>111</v>
      </c>
      <c r="B17" t="s">
        <v>350</v>
      </c>
      <c r="C17" t="s">
        <v>56</v>
      </c>
      <c r="D17">
        <v>58.15</v>
      </c>
      <c r="E17" t="s">
        <v>55</v>
      </c>
      <c r="F17">
        <v>4.9400000000000004</v>
      </c>
      <c r="G17">
        <v>4.46</v>
      </c>
      <c r="H17">
        <v>4.9400000000000004</v>
      </c>
      <c r="I17">
        <v>4.78</v>
      </c>
      <c r="J17">
        <v>4.9400000000000004</v>
      </c>
      <c r="K17">
        <v>4.78</v>
      </c>
      <c r="L17">
        <v>4.9400000000000004</v>
      </c>
      <c r="M17">
        <v>4.9400000000000004</v>
      </c>
      <c r="N17">
        <v>4.78</v>
      </c>
      <c r="O17">
        <v>4.9400000000000004</v>
      </c>
      <c r="P17">
        <v>4.78</v>
      </c>
      <c r="Q17">
        <v>4.9400000000000004</v>
      </c>
    </row>
    <row r="18" spans="1:17" x14ac:dyDescent="0.25">
      <c r="A18" t="s">
        <v>109</v>
      </c>
      <c r="B18" t="s">
        <v>349</v>
      </c>
      <c r="C18" t="s">
        <v>56</v>
      </c>
      <c r="D18">
        <v>0</v>
      </c>
      <c r="E18" t="s">
        <v>55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</sheetData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3" tint="0.39997558519241921"/>
  </sheetPr>
  <dimension ref="A1:Q73"/>
  <sheetViews>
    <sheetView showGridLines="0" workbookViewId="0"/>
  </sheetViews>
  <sheetFormatPr baseColWidth="10" defaultRowHeight="15" x14ac:dyDescent="0.25"/>
  <cols>
    <col min="1" max="1" width="38.5703125" bestFit="1" customWidth="1"/>
    <col min="2" max="2" width="18.4257812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85546875" bestFit="1" customWidth="1"/>
    <col min="7" max="7" width="7.42578125" bestFit="1" customWidth="1"/>
    <col min="8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hidden="1" x14ac:dyDescent="0.25">
      <c r="A2" t="s">
        <v>188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hidden="1" x14ac:dyDescent="0.25">
      <c r="A3" t="s">
        <v>187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hidden="1" x14ac:dyDescent="0.25">
      <c r="A4" t="s">
        <v>71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hidden="1" x14ac:dyDescent="0.25">
      <c r="A5" t="s">
        <v>186</v>
      </c>
      <c r="B5" t="s">
        <v>185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hidden="1" x14ac:dyDescent="0.25">
      <c r="A6" t="s">
        <v>154</v>
      </c>
      <c r="B6" t="s">
        <v>184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hidden="1" x14ac:dyDescent="0.25">
      <c r="A7" t="s">
        <v>152</v>
      </c>
      <c r="B7" t="s">
        <v>183</v>
      </c>
      <c r="C7" t="s">
        <v>56</v>
      </c>
      <c r="D7">
        <v>0</v>
      </c>
      <c r="E7" t="s">
        <v>55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hidden="1" x14ac:dyDescent="0.25">
      <c r="A8" t="s">
        <v>150</v>
      </c>
      <c r="B8" t="s">
        <v>182</v>
      </c>
      <c r="C8" t="s">
        <v>56</v>
      </c>
      <c r="D8">
        <v>0</v>
      </c>
      <c r="E8" t="s">
        <v>55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hidden="1" x14ac:dyDescent="0.25">
      <c r="A9" t="s">
        <v>148</v>
      </c>
      <c r="B9" t="s">
        <v>181</v>
      </c>
      <c r="C9" t="s">
        <v>56</v>
      </c>
      <c r="D9">
        <v>0</v>
      </c>
      <c r="E9" t="s">
        <v>55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hidden="1" x14ac:dyDescent="0.25">
      <c r="A10" t="s">
        <v>146</v>
      </c>
      <c r="B10" t="s">
        <v>180</v>
      </c>
      <c r="C10" t="s">
        <v>56</v>
      </c>
      <c r="D10">
        <v>0</v>
      </c>
      <c r="E10" t="s">
        <v>55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hidden="1" x14ac:dyDescent="0.25">
      <c r="A11" t="s">
        <v>144</v>
      </c>
      <c r="B11" t="s">
        <v>179</v>
      </c>
      <c r="C11" t="s">
        <v>56</v>
      </c>
      <c r="D11">
        <v>0</v>
      </c>
      <c r="E11" t="s">
        <v>55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 hidden="1" x14ac:dyDescent="0.25">
      <c r="A12" t="s">
        <v>142</v>
      </c>
      <c r="B12" t="s">
        <v>178</v>
      </c>
      <c r="C12" t="s">
        <v>56</v>
      </c>
      <c r="D12">
        <v>0</v>
      </c>
      <c r="E12" t="s">
        <v>55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 hidden="1" x14ac:dyDescent="0.25">
      <c r="A13" t="s">
        <v>140</v>
      </c>
      <c r="B13" t="s">
        <v>177</v>
      </c>
      <c r="C13" t="s">
        <v>56</v>
      </c>
      <c r="D13">
        <v>0</v>
      </c>
      <c r="E13" t="s">
        <v>55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 hidden="1" x14ac:dyDescent="0.25">
      <c r="A14" t="s">
        <v>74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hidden="1" x14ac:dyDescent="0.25">
      <c r="A15" t="s">
        <v>176</v>
      </c>
      <c r="B15" t="s">
        <v>175</v>
      </c>
      <c r="C15" t="s">
        <v>56</v>
      </c>
      <c r="D15">
        <v>0</v>
      </c>
      <c r="E15" t="s">
        <v>55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hidden="1" x14ac:dyDescent="0.25">
      <c r="A16" t="s">
        <v>154</v>
      </c>
      <c r="B16" t="s">
        <v>174</v>
      </c>
      <c r="C16" t="s">
        <v>56</v>
      </c>
      <c r="D16">
        <v>0</v>
      </c>
      <c r="E16" t="s">
        <v>55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 hidden="1" x14ac:dyDescent="0.25">
      <c r="A17" t="s">
        <v>152</v>
      </c>
      <c r="B17" t="s">
        <v>173</v>
      </c>
      <c r="C17" t="s">
        <v>56</v>
      </c>
      <c r="D17">
        <v>0</v>
      </c>
      <c r="E17" t="s">
        <v>55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 hidden="1" x14ac:dyDescent="0.25">
      <c r="A18" t="s">
        <v>150</v>
      </c>
      <c r="B18" t="s">
        <v>172</v>
      </c>
      <c r="C18" t="s">
        <v>56</v>
      </c>
      <c r="D18">
        <v>0</v>
      </c>
      <c r="E18" t="s">
        <v>55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 hidden="1" x14ac:dyDescent="0.25">
      <c r="A19" t="s">
        <v>148</v>
      </c>
      <c r="B19" t="s">
        <v>171</v>
      </c>
      <c r="C19" t="s">
        <v>56</v>
      </c>
      <c r="D19">
        <v>0</v>
      </c>
      <c r="E19" t="s">
        <v>55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 hidden="1" x14ac:dyDescent="0.25">
      <c r="A20" t="s">
        <v>146</v>
      </c>
      <c r="B20" t="s">
        <v>170</v>
      </c>
      <c r="C20" t="s">
        <v>56</v>
      </c>
      <c r="D20">
        <v>0</v>
      </c>
      <c r="E20" t="s">
        <v>55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 hidden="1" x14ac:dyDescent="0.25">
      <c r="A21" t="s">
        <v>144</v>
      </c>
      <c r="B21" t="s">
        <v>169</v>
      </c>
      <c r="C21" t="s">
        <v>56</v>
      </c>
      <c r="D21">
        <v>0</v>
      </c>
      <c r="E21" t="s">
        <v>55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17" hidden="1" x14ac:dyDescent="0.25">
      <c r="A22" t="s">
        <v>142</v>
      </c>
      <c r="B22" t="s">
        <v>168</v>
      </c>
      <c r="C22" t="s">
        <v>56</v>
      </c>
      <c r="D22">
        <v>0</v>
      </c>
      <c r="E22" t="s">
        <v>55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 hidden="1" x14ac:dyDescent="0.25">
      <c r="A23" t="s">
        <v>140</v>
      </c>
      <c r="B23" t="s">
        <v>167</v>
      </c>
      <c r="C23" t="s">
        <v>56</v>
      </c>
      <c r="D23">
        <v>0</v>
      </c>
      <c r="E23" t="s">
        <v>55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 hidden="1" x14ac:dyDescent="0.25">
      <c r="A24" t="s">
        <v>125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 hidden="1" x14ac:dyDescent="0.25">
      <c r="A25" t="s">
        <v>166</v>
      </c>
      <c r="B25" t="s">
        <v>165</v>
      </c>
      <c r="C25" t="s">
        <v>56</v>
      </c>
      <c r="D25">
        <v>0</v>
      </c>
      <c r="E25" t="s">
        <v>55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17" hidden="1" x14ac:dyDescent="0.25">
      <c r="A26" t="s">
        <v>154</v>
      </c>
      <c r="B26" t="s">
        <v>164</v>
      </c>
      <c r="C26" t="s">
        <v>56</v>
      </c>
      <c r="D26">
        <v>0</v>
      </c>
      <c r="E26" t="s">
        <v>55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 hidden="1" x14ac:dyDescent="0.25">
      <c r="A27" t="s">
        <v>152</v>
      </c>
      <c r="B27" t="s">
        <v>163</v>
      </c>
      <c r="C27" t="s">
        <v>56</v>
      </c>
      <c r="D27">
        <v>0</v>
      </c>
      <c r="E27" t="s">
        <v>55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1:17" hidden="1" x14ac:dyDescent="0.25">
      <c r="A28" t="s">
        <v>150</v>
      </c>
      <c r="B28" t="s">
        <v>162</v>
      </c>
      <c r="C28" t="s">
        <v>56</v>
      </c>
      <c r="D28">
        <v>0</v>
      </c>
      <c r="E28" t="s">
        <v>55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17" hidden="1" x14ac:dyDescent="0.25">
      <c r="A29" t="s">
        <v>148</v>
      </c>
      <c r="B29" t="s">
        <v>161</v>
      </c>
      <c r="C29" t="s">
        <v>56</v>
      </c>
      <c r="D29">
        <v>0</v>
      </c>
      <c r="E29" t="s">
        <v>55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17" hidden="1" x14ac:dyDescent="0.25">
      <c r="A30" t="s">
        <v>146</v>
      </c>
      <c r="B30" t="s">
        <v>160</v>
      </c>
      <c r="C30" t="s">
        <v>56</v>
      </c>
      <c r="D30">
        <v>0</v>
      </c>
      <c r="E30" t="s">
        <v>55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 hidden="1" x14ac:dyDescent="0.25">
      <c r="A31" t="s">
        <v>144</v>
      </c>
      <c r="B31" t="s">
        <v>159</v>
      </c>
      <c r="C31" t="s">
        <v>56</v>
      </c>
      <c r="D31">
        <v>0</v>
      </c>
      <c r="E31" t="s">
        <v>55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17" hidden="1" x14ac:dyDescent="0.25">
      <c r="A32" t="s">
        <v>142</v>
      </c>
      <c r="B32" t="s">
        <v>158</v>
      </c>
      <c r="C32" t="s">
        <v>56</v>
      </c>
      <c r="D32">
        <v>0</v>
      </c>
      <c r="E32" t="s">
        <v>55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 hidden="1" x14ac:dyDescent="0.25">
      <c r="A33" t="s">
        <v>140</v>
      </c>
      <c r="B33" t="s">
        <v>157</v>
      </c>
      <c r="C33" t="s">
        <v>56</v>
      </c>
      <c r="D33">
        <v>0</v>
      </c>
      <c r="E33" t="s">
        <v>55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 x14ac:dyDescent="0.25">
      <c r="A34" t="s">
        <v>118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 x14ac:dyDescent="0.25">
      <c r="A35" t="s">
        <v>156</v>
      </c>
      <c r="B35" t="s">
        <v>155</v>
      </c>
      <c r="C35" t="s">
        <v>56</v>
      </c>
      <c r="D35">
        <v>0</v>
      </c>
      <c r="E35" t="s">
        <v>55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 x14ac:dyDescent="0.25">
      <c r="A36" t="s">
        <v>154</v>
      </c>
      <c r="B36" t="s">
        <v>153</v>
      </c>
      <c r="C36" t="s">
        <v>56</v>
      </c>
      <c r="D36">
        <v>0</v>
      </c>
      <c r="E36" t="s">
        <v>55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 x14ac:dyDescent="0.25">
      <c r="A37" t="s">
        <v>152</v>
      </c>
      <c r="B37" t="s">
        <v>151</v>
      </c>
      <c r="C37" t="s">
        <v>56</v>
      </c>
      <c r="D37">
        <v>0</v>
      </c>
      <c r="E37" t="s">
        <v>55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 x14ac:dyDescent="0.25">
      <c r="A38" t="s">
        <v>150</v>
      </c>
      <c r="B38" t="s">
        <v>149</v>
      </c>
      <c r="C38" t="s">
        <v>56</v>
      </c>
      <c r="D38">
        <v>0</v>
      </c>
      <c r="E38" t="s">
        <v>55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 x14ac:dyDescent="0.25">
      <c r="A39" t="s">
        <v>148</v>
      </c>
      <c r="B39" t="s">
        <v>147</v>
      </c>
      <c r="C39" t="s">
        <v>56</v>
      </c>
      <c r="D39">
        <v>0</v>
      </c>
      <c r="E39" t="s">
        <v>55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 x14ac:dyDescent="0.25">
      <c r="A40" t="s">
        <v>146</v>
      </c>
      <c r="B40" t="s">
        <v>145</v>
      </c>
      <c r="C40" t="s">
        <v>56</v>
      </c>
      <c r="D40">
        <v>0</v>
      </c>
      <c r="E40" t="s">
        <v>55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 x14ac:dyDescent="0.25">
      <c r="A41" t="s">
        <v>144</v>
      </c>
      <c r="B41" t="s">
        <v>143</v>
      </c>
      <c r="C41" t="s">
        <v>56</v>
      </c>
      <c r="D41" s="94">
        <v>196.05</v>
      </c>
      <c r="E41" t="s">
        <v>55</v>
      </c>
      <c r="F41">
        <v>32.049999999999997</v>
      </c>
      <c r="G41">
        <v>27.91</v>
      </c>
      <c r="H41">
        <v>26.76</v>
      </c>
      <c r="I41">
        <v>18.14</v>
      </c>
      <c r="J41">
        <v>0</v>
      </c>
      <c r="K41">
        <v>0</v>
      </c>
      <c r="L41">
        <v>0</v>
      </c>
      <c r="M41">
        <v>0</v>
      </c>
      <c r="N41">
        <v>8.52</v>
      </c>
      <c r="O41">
        <v>22.2</v>
      </c>
      <c r="P41">
        <v>27.94</v>
      </c>
      <c r="Q41">
        <v>32.53</v>
      </c>
    </row>
    <row r="42" spans="1:17" x14ac:dyDescent="0.25">
      <c r="A42" t="s">
        <v>142</v>
      </c>
      <c r="B42" t="s">
        <v>141</v>
      </c>
      <c r="C42" t="s">
        <v>56</v>
      </c>
      <c r="D42">
        <v>0</v>
      </c>
      <c r="E42" t="s">
        <v>55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1:17" x14ac:dyDescent="0.25">
      <c r="A43" t="s">
        <v>140</v>
      </c>
      <c r="B43" t="s">
        <v>139</v>
      </c>
      <c r="C43" t="s">
        <v>56</v>
      </c>
      <c r="D43" s="98">
        <v>4935.25</v>
      </c>
      <c r="E43" t="s">
        <v>55</v>
      </c>
      <c r="F43">
        <v>650.46</v>
      </c>
      <c r="G43">
        <v>562.27</v>
      </c>
      <c r="H43">
        <v>520.59</v>
      </c>
      <c r="I43">
        <v>376.81</v>
      </c>
      <c r="J43">
        <v>361.74</v>
      </c>
      <c r="K43">
        <v>146.94999999999999</v>
      </c>
      <c r="L43">
        <v>151.85</v>
      </c>
      <c r="M43">
        <v>151.85</v>
      </c>
      <c r="N43">
        <v>354.07</v>
      </c>
      <c r="O43">
        <v>431</v>
      </c>
      <c r="P43">
        <v>562.65</v>
      </c>
      <c r="Q43">
        <v>665</v>
      </c>
    </row>
    <row r="44" spans="1:17" hidden="1" x14ac:dyDescent="0.25">
      <c r="A44" t="s">
        <v>138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17" hidden="1" x14ac:dyDescent="0.25">
      <c r="A45" t="s">
        <v>137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17" hidden="1" x14ac:dyDescent="0.25">
      <c r="A46" t="s">
        <v>71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17" hidden="1" x14ac:dyDescent="0.25">
      <c r="A47" t="s">
        <v>136</v>
      </c>
      <c r="B47" t="s">
        <v>135</v>
      </c>
      <c r="C47" t="s">
        <v>56</v>
      </c>
      <c r="D47">
        <v>0</v>
      </c>
      <c r="E47" t="s">
        <v>55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:17" hidden="1" x14ac:dyDescent="0.25">
      <c r="A48" t="s">
        <v>115</v>
      </c>
      <c r="B48" t="s">
        <v>134</v>
      </c>
      <c r="C48" t="s">
        <v>56</v>
      </c>
      <c r="D48">
        <v>0</v>
      </c>
      <c r="E48" t="s">
        <v>55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1:17" hidden="1" x14ac:dyDescent="0.25">
      <c r="A49" t="s">
        <v>113</v>
      </c>
      <c r="B49" t="s">
        <v>133</v>
      </c>
      <c r="C49" t="s">
        <v>56</v>
      </c>
      <c r="D49">
        <v>0</v>
      </c>
      <c r="E49" t="s">
        <v>55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 hidden="1" x14ac:dyDescent="0.25">
      <c r="A50" t="s">
        <v>111</v>
      </c>
      <c r="B50" t="s">
        <v>132</v>
      </c>
      <c r="C50" t="s">
        <v>56</v>
      </c>
      <c r="D50">
        <v>0</v>
      </c>
      <c r="E50" t="s">
        <v>55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1:17" hidden="1" x14ac:dyDescent="0.25">
      <c r="A51" t="s">
        <v>109</v>
      </c>
      <c r="B51" t="s">
        <v>131</v>
      </c>
      <c r="C51" t="s">
        <v>56</v>
      </c>
      <c r="D51">
        <v>0</v>
      </c>
      <c r="E51" t="s">
        <v>55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 hidden="1" x14ac:dyDescent="0.25">
      <c r="A52" t="s">
        <v>74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 hidden="1" x14ac:dyDescent="0.25">
      <c r="A53" t="s">
        <v>76</v>
      </c>
      <c r="B53" t="s">
        <v>130</v>
      </c>
      <c r="C53" t="s">
        <v>56</v>
      </c>
      <c r="D53">
        <v>0</v>
      </c>
      <c r="E53" t="s">
        <v>55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1:17" hidden="1" x14ac:dyDescent="0.25">
      <c r="A54" t="s">
        <v>115</v>
      </c>
      <c r="B54" t="s">
        <v>129</v>
      </c>
      <c r="C54" t="s">
        <v>56</v>
      </c>
      <c r="D54">
        <v>0</v>
      </c>
      <c r="E54" t="s">
        <v>55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1:17" hidden="1" x14ac:dyDescent="0.25">
      <c r="A55" t="s">
        <v>113</v>
      </c>
      <c r="B55" t="s">
        <v>128</v>
      </c>
      <c r="C55" t="s">
        <v>56</v>
      </c>
      <c r="D55">
        <v>0</v>
      </c>
      <c r="E55" t="s">
        <v>55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1:17" hidden="1" x14ac:dyDescent="0.25">
      <c r="A56" t="s">
        <v>111</v>
      </c>
      <c r="B56" t="s">
        <v>127</v>
      </c>
      <c r="C56" t="s">
        <v>56</v>
      </c>
      <c r="D56">
        <v>0</v>
      </c>
      <c r="E56" t="s">
        <v>55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17" hidden="1" x14ac:dyDescent="0.25">
      <c r="A57" t="s">
        <v>109</v>
      </c>
      <c r="B57" t="s">
        <v>126</v>
      </c>
      <c r="C57" t="s">
        <v>56</v>
      </c>
      <c r="D57">
        <v>0</v>
      </c>
      <c r="E57" t="s">
        <v>55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1:17" hidden="1" x14ac:dyDescent="0.25">
      <c r="A58" t="s">
        <v>125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17" hidden="1" x14ac:dyDescent="0.25">
      <c r="A59" t="s">
        <v>124</v>
      </c>
      <c r="B59" t="s">
        <v>123</v>
      </c>
      <c r="C59" t="s">
        <v>56</v>
      </c>
      <c r="D59">
        <v>0</v>
      </c>
      <c r="E59" t="s">
        <v>55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17" hidden="1" x14ac:dyDescent="0.25">
      <c r="A60" t="s">
        <v>115</v>
      </c>
      <c r="B60" t="s">
        <v>122</v>
      </c>
      <c r="C60" t="s">
        <v>56</v>
      </c>
      <c r="D60">
        <v>0</v>
      </c>
      <c r="E60" t="s">
        <v>55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17" hidden="1" x14ac:dyDescent="0.25">
      <c r="A61" t="s">
        <v>113</v>
      </c>
      <c r="B61" t="s">
        <v>121</v>
      </c>
      <c r="C61" t="s">
        <v>56</v>
      </c>
      <c r="D61">
        <v>0</v>
      </c>
      <c r="E61" t="s">
        <v>55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17" hidden="1" x14ac:dyDescent="0.25">
      <c r="A62" t="s">
        <v>111</v>
      </c>
      <c r="B62" t="s">
        <v>120</v>
      </c>
      <c r="C62" t="s">
        <v>56</v>
      </c>
      <c r="D62">
        <v>0</v>
      </c>
      <c r="E62" t="s">
        <v>55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1:17" hidden="1" x14ac:dyDescent="0.25">
      <c r="A63" t="s">
        <v>109</v>
      </c>
      <c r="B63" t="s">
        <v>119</v>
      </c>
      <c r="C63" t="s">
        <v>56</v>
      </c>
      <c r="D63">
        <v>0</v>
      </c>
      <c r="E63" t="s">
        <v>55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1:17" x14ac:dyDescent="0.25">
      <c r="A64" t="s">
        <v>118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1:17" x14ac:dyDescent="0.25">
      <c r="A65" t="s">
        <v>117</v>
      </c>
      <c r="B65" t="s">
        <v>116</v>
      </c>
      <c r="C65" t="s">
        <v>56</v>
      </c>
      <c r="D65">
        <v>33.58</v>
      </c>
      <c r="E65" t="s">
        <v>55</v>
      </c>
      <c r="F65">
        <v>5.18</v>
      </c>
      <c r="G65">
        <v>4.57</v>
      </c>
      <c r="H65">
        <v>4.6500000000000004</v>
      </c>
      <c r="I65">
        <v>3.33</v>
      </c>
      <c r="J65">
        <v>0</v>
      </c>
      <c r="K65">
        <v>0</v>
      </c>
      <c r="L65">
        <v>0</v>
      </c>
      <c r="M65">
        <v>0</v>
      </c>
      <c r="N65">
        <v>1.59</v>
      </c>
      <c r="O65">
        <v>4.28</v>
      </c>
      <c r="P65">
        <v>4.74</v>
      </c>
      <c r="Q65">
        <v>5.23</v>
      </c>
    </row>
    <row r="66" spans="1:17" x14ac:dyDescent="0.25">
      <c r="A66" t="s">
        <v>115</v>
      </c>
      <c r="B66" t="s">
        <v>114</v>
      </c>
      <c r="C66" t="s">
        <v>56</v>
      </c>
      <c r="D66">
        <v>0</v>
      </c>
      <c r="E66" t="s">
        <v>55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:17" x14ac:dyDescent="0.25">
      <c r="A67" t="s">
        <v>113</v>
      </c>
      <c r="B67" t="s">
        <v>112</v>
      </c>
      <c r="C67" t="s">
        <v>56</v>
      </c>
      <c r="D67">
        <v>0</v>
      </c>
      <c r="E67" t="s">
        <v>55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 x14ac:dyDescent="0.25">
      <c r="A68" t="s">
        <v>111</v>
      </c>
      <c r="B68" t="s">
        <v>110</v>
      </c>
      <c r="C68" t="s">
        <v>56</v>
      </c>
      <c r="D68">
        <v>33.58</v>
      </c>
      <c r="E68" t="s">
        <v>55</v>
      </c>
      <c r="F68">
        <v>5.18</v>
      </c>
      <c r="G68">
        <v>4.57</v>
      </c>
      <c r="H68">
        <v>4.6500000000000004</v>
      </c>
      <c r="I68">
        <v>3.33</v>
      </c>
      <c r="J68">
        <v>0</v>
      </c>
      <c r="K68">
        <v>0</v>
      </c>
      <c r="L68">
        <v>0</v>
      </c>
      <c r="M68">
        <v>0</v>
      </c>
      <c r="N68">
        <v>1.59</v>
      </c>
      <c r="O68">
        <v>4.28</v>
      </c>
      <c r="P68">
        <v>4.74</v>
      </c>
      <c r="Q68">
        <v>5.23</v>
      </c>
    </row>
    <row r="69" spans="1:17" x14ac:dyDescent="0.25">
      <c r="A69" t="s">
        <v>109</v>
      </c>
      <c r="B69" t="s">
        <v>108</v>
      </c>
      <c r="C69" t="s">
        <v>56</v>
      </c>
      <c r="D69">
        <v>0</v>
      </c>
      <c r="E69" t="s">
        <v>55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1" spans="1:17" x14ac:dyDescent="0.25">
      <c r="D71" s="111"/>
    </row>
    <row r="72" spans="1:17" x14ac:dyDescent="0.25">
      <c r="D72" s="111"/>
    </row>
    <row r="73" spans="1:17" x14ac:dyDescent="0.25">
      <c r="D73" s="111"/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Q11"/>
  <sheetViews>
    <sheetView showGridLines="0" workbookViewId="0"/>
  </sheetViews>
  <sheetFormatPr baseColWidth="10" defaultRowHeight="15" x14ac:dyDescent="0.25"/>
  <cols>
    <col min="1" max="1" width="23.85546875" bestFit="1" customWidth="1"/>
    <col min="2" max="2" width="12.85546875" bestFit="1" customWidth="1"/>
    <col min="3" max="3" width="6.5703125" bestFit="1" customWidth="1"/>
    <col min="4" max="4" width="8.85546875" bestFit="1" customWidth="1"/>
    <col min="5" max="5" width="12.85546875" bestFit="1" customWidth="1"/>
    <col min="6" max="8" width="7.85546875" bestFit="1" customWidth="1"/>
    <col min="9" max="9" width="6.85546875" bestFit="1" customWidth="1"/>
    <col min="10" max="10" width="5.85546875" bestFit="1" customWidth="1"/>
    <col min="11" max="11" width="6.85546875" bestFit="1" customWidth="1"/>
    <col min="12" max="12" width="5.85546875" bestFit="1" customWidth="1"/>
    <col min="13" max="13" width="6.570312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70</v>
      </c>
      <c r="B2" t="s">
        <v>69</v>
      </c>
      <c r="C2" t="s">
        <v>56</v>
      </c>
      <c r="D2" s="1">
        <v>10233.790000000001</v>
      </c>
      <c r="E2" t="s">
        <v>55</v>
      </c>
      <c r="F2" s="1">
        <v>1793.17</v>
      </c>
      <c r="G2" s="1">
        <v>1493.42</v>
      </c>
      <c r="H2" s="1">
        <v>1143.81</v>
      </c>
      <c r="I2">
        <v>467.92</v>
      </c>
      <c r="J2">
        <v>276.3</v>
      </c>
      <c r="K2">
        <v>267.39</v>
      </c>
      <c r="L2">
        <v>276.3</v>
      </c>
      <c r="M2">
        <v>276.3</v>
      </c>
      <c r="N2">
        <v>284.67</v>
      </c>
      <c r="O2">
        <v>687.43</v>
      </c>
      <c r="P2" s="1">
        <v>1401.19</v>
      </c>
      <c r="Q2" s="1">
        <v>1865.87</v>
      </c>
    </row>
    <row r="3" spans="1:17" x14ac:dyDescent="0.25">
      <c r="A3" t="s">
        <v>68</v>
      </c>
      <c r="B3" t="s">
        <v>67</v>
      </c>
      <c r="C3" t="s">
        <v>56</v>
      </c>
      <c r="D3" s="1">
        <v>6980.54</v>
      </c>
      <c r="E3" t="s">
        <v>55</v>
      </c>
      <c r="F3" s="1">
        <v>1516.87</v>
      </c>
      <c r="G3" s="1">
        <v>1243.8599999999999</v>
      </c>
      <c r="H3">
        <v>867.51</v>
      </c>
      <c r="I3">
        <v>200.53</v>
      </c>
      <c r="J3">
        <v>0</v>
      </c>
      <c r="K3">
        <v>0</v>
      </c>
      <c r="L3">
        <v>0</v>
      </c>
      <c r="M3">
        <v>0</v>
      </c>
      <c r="N3">
        <v>17.28</v>
      </c>
      <c r="O3">
        <v>411.13</v>
      </c>
      <c r="P3" s="1">
        <v>1133.8</v>
      </c>
      <c r="Q3" s="1">
        <v>1589.57</v>
      </c>
    </row>
    <row r="4" spans="1:17" x14ac:dyDescent="0.25">
      <c r="A4" t="s">
        <v>66</v>
      </c>
      <c r="B4" t="s">
        <v>65</v>
      </c>
      <c r="C4" t="s">
        <v>56</v>
      </c>
      <c r="D4" s="1">
        <v>3253.25</v>
      </c>
      <c r="E4" t="s">
        <v>55</v>
      </c>
      <c r="F4">
        <v>276.3</v>
      </c>
      <c r="G4">
        <v>249.56</v>
      </c>
      <c r="H4">
        <v>276.3</v>
      </c>
      <c r="I4">
        <v>267.39</v>
      </c>
      <c r="J4">
        <v>276.3</v>
      </c>
      <c r="K4">
        <v>267.39</v>
      </c>
      <c r="L4">
        <v>276.3</v>
      </c>
      <c r="M4">
        <v>276.3</v>
      </c>
      <c r="N4">
        <v>267.39</v>
      </c>
      <c r="O4">
        <v>276.3</v>
      </c>
      <c r="P4">
        <v>267.39</v>
      </c>
      <c r="Q4">
        <v>276.3</v>
      </c>
    </row>
    <row r="5" spans="1:17" x14ac:dyDescent="0.25">
      <c r="A5" t="s">
        <v>64</v>
      </c>
      <c r="B5" t="s">
        <v>63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62</v>
      </c>
      <c r="B6" t="s">
        <v>61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60</v>
      </c>
      <c r="B7" t="s">
        <v>59</v>
      </c>
      <c r="C7" t="s">
        <v>56</v>
      </c>
      <c r="D7">
        <v>0</v>
      </c>
      <c r="E7" t="s">
        <v>55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 x14ac:dyDescent="0.25">
      <c r="A8" t="s">
        <v>58</v>
      </c>
      <c r="B8" t="s">
        <v>57</v>
      </c>
      <c r="C8" t="s">
        <v>56</v>
      </c>
      <c r="D8">
        <v>0</v>
      </c>
      <c r="E8" t="s">
        <v>55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10" spans="1:17" s="93" customFormat="1" x14ac:dyDescent="0.25">
      <c r="B10" s="93" t="s">
        <v>1329</v>
      </c>
      <c r="C10" s="93" t="s">
        <v>1330</v>
      </c>
      <c r="D10" s="93" t="s">
        <v>1331</v>
      </c>
      <c r="E10" s="93" t="s">
        <v>1332</v>
      </c>
      <c r="F10" s="93" t="s">
        <v>1333</v>
      </c>
      <c r="G10" s="93" t="s">
        <v>1152</v>
      </c>
      <c r="H10" s="93" t="s">
        <v>646</v>
      </c>
    </row>
    <row r="11" spans="1:17" s="93" customFormat="1" x14ac:dyDescent="0.25">
      <c r="A11" s="93" t="s">
        <v>1334</v>
      </c>
      <c r="B11" s="98">
        <f>ERG_Erg_Nutz_HZG_Abs!N1</f>
        <v>6980.54</v>
      </c>
      <c r="C11" s="98">
        <f>(B11-GEB_Erg_Norm_T5!D13)</f>
        <v>1396.1099999999997</v>
      </c>
      <c r="D11" s="98">
        <v>0</v>
      </c>
      <c r="E11" s="98">
        <v>0</v>
      </c>
      <c r="F11" s="98">
        <v>0</v>
      </c>
      <c r="G11" s="98">
        <f>ERG_Erg_Nutz_TWW_Abs!N1</f>
        <v>3253.25</v>
      </c>
      <c r="H11" s="98">
        <v>0</v>
      </c>
    </row>
  </sheetData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2" tint="-0.499984740745262"/>
  </sheetPr>
  <dimension ref="A1:N7"/>
  <sheetViews>
    <sheetView showGridLines="0" workbookViewId="0"/>
  </sheetViews>
  <sheetFormatPr baseColWidth="10" defaultRowHeight="15" x14ac:dyDescent="0.25"/>
  <cols>
    <col min="1" max="1" width="24.28515625" bestFit="1" customWidth="1"/>
    <col min="2" max="4" width="7.85546875" bestFit="1" customWidth="1"/>
    <col min="5" max="5" width="6.85546875" bestFit="1" customWidth="1"/>
    <col min="6" max="6" width="5.85546875" bestFit="1" customWidth="1"/>
    <col min="7" max="7" width="6.85546875" bestFit="1" customWidth="1"/>
    <col min="8" max="9" width="5.85546875" bestFit="1" customWidth="1"/>
    <col min="10" max="11" width="6.85546875" bestFit="1" customWidth="1"/>
    <col min="12" max="13" width="7.85546875" bestFit="1" customWidth="1"/>
    <col min="14" max="14" width="9.140625" bestFit="1" customWidth="1"/>
  </cols>
  <sheetData>
    <row r="1" spans="1:14" x14ac:dyDescent="0.25">
      <c r="A1" t="s">
        <v>370</v>
      </c>
      <c r="B1" s="1">
        <v>1516.87</v>
      </c>
      <c r="C1" s="1">
        <v>1243.8599999999999</v>
      </c>
      <c r="D1">
        <v>867.51</v>
      </c>
      <c r="E1">
        <v>200.53</v>
      </c>
      <c r="F1">
        <v>0</v>
      </c>
      <c r="G1">
        <v>0</v>
      </c>
      <c r="H1">
        <v>0</v>
      </c>
      <c r="I1">
        <v>0</v>
      </c>
      <c r="J1">
        <v>17.28</v>
      </c>
      <c r="K1">
        <v>411.13</v>
      </c>
      <c r="L1" s="1">
        <v>1133.8</v>
      </c>
      <c r="M1" s="1">
        <v>1589.57</v>
      </c>
      <c r="N1" s="1">
        <v>6980.54</v>
      </c>
    </row>
    <row r="2" spans="1:14" x14ac:dyDescent="0.25">
      <c r="A2" t="s">
        <v>369</v>
      </c>
      <c r="B2">
        <v>276.3</v>
      </c>
      <c r="C2">
        <v>249.56</v>
      </c>
      <c r="D2">
        <v>276.3</v>
      </c>
      <c r="E2">
        <v>267.39</v>
      </c>
      <c r="F2">
        <v>276.3</v>
      </c>
      <c r="G2">
        <v>267.39</v>
      </c>
      <c r="H2">
        <v>276.3</v>
      </c>
      <c r="I2">
        <v>276.3</v>
      </c>
      <c r="J2">
        <v>267.39</v>
      </c>
      <c r="K2">
        <v>276.3</v>
      </c>
      <c r="L2">
        <v>267.39</v>
      </c>
      <c r="M2">
        <v>276.3</v>
      </c>
      <c r="N2" s="1">
        <v>3253.25</v>
      </c>
    </row>
    <row r="3" spans="1:14" x14ac:dyDescent="0.25">
      <c r="A3" t="s">
        <v>368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367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366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A6" t="s">
        <v>365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25">
      <c r="A7" t="s">
        <v>418</v>
      </c>
      <c r="B7" s="1">
        <v>1793.17</v>
      </c>
      <c r="C7" s="1">
        <v>1493.42</v>
      </c>
      <c r="D7" s="1">
        <v>1143.81</v>
      </c>
      <c r="E7">
        <v>467.92</v>
      </c>
      <c r="F7">
        <v>276.3</v>
      </c>
      <c r="G7">
        <v>267.39</v>
      </c>
      <c r="H7">
        <v>276.3</v>
      </c>
      <c r="I7">
        <v>276.3</v>
      </c>
      <c r="J7">
        <v>284.67</v>
      </c>
      <c r="K7">
        <v>687.43</v>
      </c>
      <c r="L7" s="1">
        <v>1401.19</v>
      </c>
      <c r="M7" s="1">
        <v>1865.87</v>
      </c>
      <c r="N7" s="1">
        <v>10233.790000000001</v>
      </c>
    </row>
  </sheetData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2" tint="-0.499984740745262"/>
  </sheetPr>
  <dimension ref="A1:N6"/>
  <sheetViews>
    <sheetView showGridLines="0" workbookViewId="0"/>
  </sheetViews>
  <sheetFormatPr baseColWidth="10" defaultRowHeight="15" x14ac:dyDescent="0.25"/>
  <cols>
    <col min="1" max="1" width="41.140625" bestFit="1" customWidth="1"/>
    <col min="2" max="3" width="7.85546875" bestFit="1" customWidth="1"/>
    <col min="4" max="5" width="6.85546875" bestFit="1" customWidth="1"/>
    <col min="6" max="9" width="1.85546875" bestFit="1" customWidth="1"/>
    <col min="10" max="10" width="5.85546875" bestFit="1" customWidth="1"/>
    <col min="11" max="11" width="6.85546875" bestFit="1" customWidth="1"/>
    <col min="12" max="14" width="7.85546875" bestFit="1" customWidth="1"/>
  </cols>
  <sheetData>
    <row r="1" spans="1:14" x14ac:dyDescent="0.25">
      <c r="A1" t="s">
        <v>397</v>
      </c>
      <c r="B1" s="1">
        <v>1516.87</v>
      </c>
      <c r="C1" s="1">
        <v>1243.8599999999999</v>
      </c>
      <c r="D1">
        <v>867.51</v>
      </c>
      <c r="E1">
        <v>200.53</v>
      </c>
      <c r="F1">
        <v>0</v>
      </c>
      <c r="G1">
        <v>0</v>
      </c>
      <c r="H1">
        <v>0</v>
      </c>
      <c r="I1">
        <v>0</v>
      </c>
      <c r="J1">
        <v>17.28</v>
      </c>
      <c r="K1">
        <v>411.13</v>
      </c>
      <c r="L1" s="1">
        <v>1133.8</v>
      </c>
      <c r="M1" s="1">
        <v>1589.57</v>
      </c>
      <c r="N1" s="1">
        <v>6980.54</v>
      </c>
    </row>
    <row r="2" spans="1:14" x14ac:dyDescent="0.25">
      <c r="A2" t="s">
        <v>396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</row>
    <row r="3" spans="1:14" x14ac:dyDescent="0.25">
      <c r="A3" t="s">
        <v>395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394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393</v>
      </c>
      <c r="B5">
        <v>606.75</v>
      </c>
      <c r="C5">
        <v>497.54</v>
      </c>
      <c r="D5">
        <v>347</v>
      </c>
      <c r="E5">
        <v>80.209999999999994</v>
      </c>
      <c r="F5">
        <v>0</v>
      </c>
      <c r="G5">
        <v>0</v>
      </c>
      <c r="H5">
        <v>0</v>
      </c>
      <c r="I5">
        <v>0</v>
      </c>
      <c r="J5">
        <v>6.91</v>
      </c>
      <c r="K5">
        <v>164.45</v>
      </c>
      <c r="L5">
        <v>453.52</v>
      </c>
      <c r="M5">
        <v>635.83000000000004</v>
      </c>
      <c r="N5" s="1">
        <v>2792.22</v>
      </c>
    </row>
    <row r="6" spans="1:14" x14ac:dyDescent="0.25">
      <c r="A6" t="s">
        <v>392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</sheetData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2" tint="-0.499984740745262"/>
  </sheetPr>
  <dimension ref="A1:N2"/>
  <sheetViews>
    <sheetView showGridLines="0" workbookViewId="0"/>
  </sheetViews>
  <sheetFormatPr baseColWidth="10" defaultRowHeight="15" x14ac:dyDescent="0.25"/>
  <cols>
    <col min="1" max="1" width="31.140625" bestFit="1" customWidth="1"/>
  </cols>
  <sheetData>
    <row r="1" spans="1:14" x14ac:dyDescent="0.25">
      <c r="A1" t="s">
        <v>369</v>
      </c>
      <c r="B1">
        <v>276.3</v>
      </c>
      <c r="C1">
        <v>249.56</v>
      </c>
      <c r="D1">
        <v>276.3</v>
      </c>
      <c r="E1">
        <v>267.39</v>
      </c>
      <c r="F1">
        <v>276.3</v>
      </c>
      <c r="G1">
        <v>267.39</v>
      </c>
      <c r="H1">
        <v>276.3</v>
      </c>
      <c r="I1">
        <v>276.3</v>
      </c>
      <c r="J1">
        <v>267.39</v>
      </c>
      <c r="K1">
        <v>276.3</v>
      </c>
      <c r="L1">
        <v>267.39</v>
      </c>
      <c r="M1">
        <v>276.3</v>
      </c>
      <c r="N1" s="1">
        <v>3253.25</v>
      </c>
    </row>
    <row r="2" spans="1:14" x14ac:dyDescent="0.25">
      <c r="A2" t="s">
        <v>399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</row>
  </sheetData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2" tint="-0.499984740745262"/>
  </sheetPr>
  <dimension ref="A1:N1"/>
  <sheetViews>
    <sheetView showGridLines="0" workbookViewId="0"/>
  </sheetViews>
  <sheetFormatPr baseColWidth="10" defaultRowHeight="15" x14ac:dyDescent="0.25"/>
  <cols>
    <col min="1" max="1" width="24.140625" bestFit="1" customWidth="1"/>
  </cols>
  <sheetData>
    <row r="1" spans="1:14" x14ac:dyDescent="0.25">
      <c r="A1" t="s">
        <v>398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</row>
  </sheetData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2" tint="-0.499984740745262"/>
  </sheetPr>
  <dimension ref="A1:N7"/>
  <sheetViews>
    <sheetView showGridLines="0" workbookViewId="0">
      <selection activeCell="F23" sqref="F23"/>
    </sheetView>
  </sheetViews>
  <sheetFormatPr baseColWidth="10" defaultRowHeight="15" x14ac:dyDescent="0.25"/>
  <cols>
    <col min="1" max="1" width="24.28515625" bestFit="1" customWidth="1"/>
    <col min="2" max="4" width="7.85546875" bestFit="1" customWidth="1"/>
    <col min="5" max="10" width="7.42578125" bestFit="1" customWidth="1"/>
    <col min="11" max="13" width="7.85546875" bestFit="1" customWidth="1"/>
    <col min="14" max="14" width="8.85546875" bestFit="1" customWidth="1"/>
  </cols>
  <sheetData>
    <row r="1" spans="1:14" x14ac:dyDescent="0.25">
      <c r="A1" t="s">
        <v>370</v>
      </c>
      <c r="B1" s="1">
        <v>2432.84</v>
      </c>
      <c r="C1" s="1">
        <v>2017.65</v>
      </c>
      <c r="D1" s="1">
        <v>1502.22</v>
      </c>
      <c r="E1">
        <v>470.74</v>
      </c>
      <c r="F1">
        <v>83.79</v>
      </c>
      <c r="G1">
        <v>81.09</v>
      </c>
      <c r="H1">
        <v>83.79</v>
      </c>
      <c r="I1">
        <v>83.79</v>
      </c>
      <c r="J1">
        <v>123.02</v>
      </c>
      <c r="K1">
        <v>817.54</v>
      </c>
      <c r="L1" s="1">
        <v>1872.62</v>
      </c>
      <c r="M1" s="1">
        <v>2534.0500000000002</v>
      </c>
      <c r="N1" s="1">
        <v>12103.14</v>
      </c>
    </row>
    <row r="2" spans="1:14" x14ac:dyDescent="0.25">
      <c r="A2" t="s">
        <v>369</v>
      </c>
      <c r="B2">
        <v>525.63</v>
      </c>
      <c r="C2">
        <v>449.03</v>
      </c>
      <c r="D2">
        <v>384.67</v>
      </c>
      <c r="E2">
        <v>139.27000000000001</v>
      </c>
      <c r="F2">
        <v>319.74</v>
      </c>
      <c r="G2">
        <v>257.67</v>
      </c>
      <c r="H2">
        <v>251.62</v>
      </c>
      <c r="I2">
        <v>329.45</v>
      </c>
      <c r="J2">
        <v>337.43</v>
      </c>
      <c r="K2">
        <v>376.09</v>
      </c>
      <c r="L2">
        <v>482.93</v>
      </c>
      <c r="M2">
        <v>587.75</v>
      </c>
      <c r="N2" s="1">
        <v>4441.2700000000004</v>
      </c>
    </row>
    <row r="3" spans="1:14" x14ac:dyDescent="0.25">
      <c r="A3" t="s">
        <v>368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367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366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A6" t="s">
        <v>365</v>
      </c>
      <c r="B6">
        <v>-45.2</v>
      </c>
      <c r="C6">
        <v>-50.01</v>
      </c>
      <c r="D6">
        <v>-124.29</v>
      </c>
      <c r="E6">
        <v>-126.46</v>
      </c>
      <c r="F6">
        <v>-121.06</v>
      </c>
      <c r="G6">
        <v>-119.62</v>
      </c>
      <c r="H6">
        <v>-124.19</v>
      </c>
      <c r="I6">
        <v>-120.23</v>
      </c>
      <c r="J6">
        <v>-117.53</v>
      </c>
      <c r="K6">
        <v>-108.48</v>
      </c>
      <c r="L6">
        <v>-40.46</v>
      </c>
      <c r="M6">
        <v>-25.99</v>
      </c>
      <c r="N6" s="1">
        <v>-1123.5</v>
      </c>
    </row>
    <row r="7" spans="1:14" x14ac:dyDescent="0.25">
      <c r="A7" t="s">
        <v>420</v>
      </c>
      <c r="B7" s="1">
        <v>2913.27</v>
      </c>
      <c r="C7" s="1">
        <v>2416.6799999999998</v>
      </c>
      <c r="D7" s="1">
        <v>1762.59</v>
      </c>
      <c r="E7">
        <v>483.56</v>
      </c>
      <c r="F7">
        <v>282.47000000000003</v>
      </c>
      <c r="G7">
        <v>219.13</v>
      </c>
      <c r="H7">
        <v>211.22</v>
      </c>
      <c r="I7">
        <v>293.01</v>
      </c>
      <c r="J7">
        <v>342.92</v>
      </c>
      <c r="K7" s="1">
        <v>1085.1600000000001</v>
      </c>
      <c r="L7" s="1">
        <v>2315.1</v>
      </c>
      <c r="M7" s="1">
        <v>3095.81</v>
      </c>
      <c r="N7" s="1">
        <v>15420.92</v>
      </c>
    </row>
  </sheetData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2" tint="-0.499984740745262"/>
  </sheetPr>
  <dimension ref="A1:N6"/>
  <sheetViews>
    <sheetView showGridLines="0" workbookViewId="0"/>
  </sheetViews>
  <sheetFormatPr baseColWidth="10" defaultRowHeight="15" x14ac:dyDescent="0.25"/>
  <cols>
    <col min="1" max="1" width="41.140625" bestFit="1" customWidth="1"/>
    <col min="2" max="4" width="7.85546875" bestFit="1" customWidth="1"/>
    <col min="5" max="5" width="6.85546875" bestFit="1" customWidth="1"/>
    <col min="6" max="10" width="5.85546875" bestFit="1" customWidth="1"/>
    <col min="11" max="11" width="6.85546875" bestFit="1" customWidth="1"/>
    <col min="12" max="14" width="7.85546875" bestFit="1" customWidth="1"/>
  </cols>
  <sheetData>
    <row r="1" spans="1:14" x14ac:dyDescent="0.25">
      <c r="A1" t="s">
        <v>397</v>
      </c>
      <c r="B1" s="1">
        <v>1971.69</v>
      </c>
      <c r="C1" s="1">
        <v>1628.92</v>
      </c>
      <c r="D1" s="1">
        <v>1184.28</v>
      </c>
      <c r="E1">
        <v>312.58999999999997</v>
      </c>
      <c r="F1">
        <v>0</v>
      </c>
      <c r="G1">
        <v>0</v>
      </c>
      <c r="H1">
        <v>0</v>
      </c>
      <c r="I1">
        <v>0</v>
      </c>
      <c r="J1">
        <v>26.04</v>
      </c>
      <c r="K1">
        <v>602.41</v>
      </c>
      <c r="L1" s="1">
        <v>1500.36</v>
      </c>
      <c r="M1" s="1">
        <v>2057.11</v>
      </c>
      <c r="N1" s="1">
        <v>9283.4</v>
      </c>
    </row>
    <row r="2" spans="1:14" x14ac:dyDescent="0.25">
      <c r="A2" t="s">
        <v>396</v>
      </c>
      <c r="B2">
        <v>26.98</v>
      </c>
      <c r="C2">
        <v>23.52</v>
      </c>
      <c r="D2">
        <v>22.42</v>
      </c>
      <c r="E2">
        <v>12.77</v>
      </c>
      <c r="F2">
        <v>0</v>
      </c>
      <c r="G2">
        <v>0</v>
      </c>
      <c r="H2">
        <v>0</v>
      </c>
      <c r="I2">
        <v>0</v>
      </c>
      <c r="J2">
        <v>1.38</v>
      </c>
      <c r="K2">
        <v>18.350000000000001</v>
      </c>
      <c r="L2">
        <v>23.8</v>
      </c>
      <c r="M2">
        <v>27.44</v>
      </c>
      <c r="N2">
        <v>156.66</v>
      </c>
    </row>
    <row r="3" spans="1:14" x14ac:dyDescent="0.25">
      <c r="A3" t="s">
        <v>395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394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393</v>
      </c>
      <c r="B5">
        <v>343.44</v>
      </c>
      <c r="C5">
        <v>283.41000000000003</v>
      </c>
      <c r="D5">
        <v>205.58</v>
      </c>
      <c r="E5">
        <v>60.01</v>
      </c>
      <c r="F5">
        <v>0</v>
      </c>
      <c r="G5">
        <v>0</v>
      </c>
      <c r="H5">
        <v>0</v>
      </c>
      <c r="I5">
        <v>0</v>
      </c>
      <c r="J5">
        <v>12.57</v>
      </c>
      <c r="K5">
        <v>107.49</v>
      </c>
      <c r="L5">
        <v>261.06</v>
      </c>
      <c r="M5">
        <v>358.7</v>
      </c>
      <c r="N5" s="1">
        <v>1632.25</v>
      </c>
    </row>
    <row r="6" spans="1:14" x14ac:dyDescent="0.25">
      <c r="A6" t="s">
        <v>392</v>
      </c>
      <c r="B6">
        <v>90.73</v>
      </c>
      <c r="C6">
        <v>81.8</v>
      </c>
      <c r="D6">
        <v>89.94</v>
      </c>
      <c r="E6">
        <v>85.38</v>
      </c>
      <c r="F6">
        <v>83.79</v>
      </c>
      <c r="G6">
        <v>81.09</v>
      </c>
      <c r="H6">
        <v>83.79</v>
      </c>
      <c r="I6">
        <v>83.79</v>
      </c>
      <c r="J6">
        <v>83.02</v>
      </c>
      <c r="K6">
        <v>89.29</v>
      </c>
      <c r="L6">
        <v>87.41</v>
      </c>
      <c r="M6">
        <v>90.81</v>
      </c>
      <c r="N6" s="1">
        <v>1030.8399999999999</v>
      </c>
    </row>
  </sheetData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2" tint="-0.499984740745262"/>
  </sheetPr>
  <dimension ref="A1:N2"/>
  <sheetViews>
    <sheetView showGridLines="0" workbookViewId="0"/>
  </sheetViews>
  <sheetFormatPr baseColWidth="10" defaultRowHeight="15" x14ac:dyDescent="0.25"/>
  <sheetData>
    <row r="1" spans="1:14" x14ac:dyDescent="0.25">
      <c r="A1" t="s">
        <v>369</v>
      </c>
      <c r="B1">
        <v>514.98</v>
      </c>
      <c r="C1">
        <v>438.18</v>
      </c>
      <c r="D1">
        <v>367.2</v>
      </c>
      <c r="E1">
        <v>110.96</v>
      </c>
      <c r="F1">
        <v>282.47000000000003</v>
      </c>
      <c r="G1">
        <v>219.13</v>
      </c>
      <c r="H1">
        <v>211.22</v>
      </c>
      <c r="I1">
        <v>293.01</v>
      </c>
      <c r="J1">
        <v>304.31</v>
      </c>
      <c r="K1">
        <v>358.47</v>
      </c>
      <c r="L1">
        <v>471.52</v>
      </c>
      <c r="M1">
        <v>580.19000000000005</v>
      </c>
      <c r="N1" s="1">
        <v>4151.6499999999996</v>
      </c>
    </row>
    <row r="2" spans="1:14" x14ac:dyDescent="0.25">
      <c r="A2" t="s">
        <v>399</v>
      </c>
      <c r="B2">
        <v>10.65</v>
      </c>
      <c r="C2">
        <v>10.85</v>
      </c>
      <c r="D2">
        <v>17.47</v>
      </c>
      <c r="E2">
        <v>28.31</v>
      </c>
      <c r="F2">
        <v>37.270000000000003</v>
      </c>
      <c r="G2">
        <v>38.53</v>
      </c>
      <c r="H2">
        <v>40.39</v>
      </c>
      <c r="I2">
        <v>36.44</v>
      </c>
      <c r="J2">
        <v>33.130000000000003</v>
      </c>
      <c r="K2">
        <v>17.62</v>
      </c>
      <c r="L2">
        <v>11.41</v>
      </c>
      <c r="M2">
        <v>7.56</v>
      </c>
      <c r="N2">
        <v>289.63</v>
      </c>
    </row>
  </sheetData>
  <pageMargins left="0.7" right="0.7" top="0.78740157499999996" bottom="0.78740157499999996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2" tint="-0.499984740745262"/>
  </sheetPr>
  <dimension ref="A1:N1"/>
  <sheetViews>
    <sheetView showGridLines="0" workbookViewId="0"/>
  </sheetViews>
  <sheetFormatPr baseColWidth="10" defaultRowHeight="15" x14ac:dyDescent="0.25"/>
  <sheetData>
    <row r="1" spans="1:14" x14ac:dyDescent="0.25">
      <c r="A1" t="s">
        <v>398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</row>
  </sheetData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2" tint="-0.499984740745262"/>
  </sheetPr>
  <dimension ref="A1:N7"/>
  <sheetViews>
    <sheetView showGridLines="0" workbookViewId="0">
      <selection activeCell="N1" sqref="N1"/>
    </sheetView>
  </sheetViews>
  <sheetFormatPr baseColWidth="10" defaultRowHeight="15" x14ac:dyDescent="0.25"/>
  <cols>
    <col min="1" max="1" width="24.28515625" bestFit="1" customWidth="1"/>
    <col min="2" max="4" width="7.85546875" bestFit="1" customWidth="1"/>
    <col min="5" max="10" width="7.42578125" bestFit="1" customWidth="1"/>
    <col min="11" max="13" width="7.85546875" bestFit="1" customWidth="1"/>
    <col min="14" max="14" width="8.85546875" bestFit="1" customWidth="1"/>
  </cols>
  <sheetData>
    <row r="1" spans="1:14" x14ac:dyDescent="0.25">
      <c r="A1" t="s">
        <v>370</v>
      </c>
      <c r="B1" s="1">
        <v>2614.37</v>
      </c>
      <c r="C1" s="1">
        <v>2174.0700000000002</v>
      </c>
      <c r="D1" s="1">
        <v>1644.56</v>
      </c>
      <c r="E1">
        <v>563.32000000000005</v>
      </c>
      <c r="F1">
        <v>150.82</v>
      </c>
      <c r="G1">
        <v>145.96</v>
      </c>
      <c r="H1">
        <v>150.82</v>
      </c>
      <c r="I1">
        <v>150.82</v>
      </c>
      <c r="J1">
        <v>191.99</v>
      </c>
      <c r="K1">
        <v>930.44</v>
      </c>
      <c r="L1" s="1">
        <v>2028.06</v>
      </c>
      <c r="M1" s="1">
        <v>2719.81</v>
      </c>
      <c r="N1" s="1">
        <v>13465.05</v>
      </c>
    </row>
    <row r="2" spans="1:14" x14ac:dyDescent="0.25">
      <c r="A2" t="s">
        <v>369</v>
      </c>
      <c r="B2">
        <v>553.58000000000004</v>
      </c>
      <c r="C2">
        <v>474.25</v>
      </c>
      <c r="D2">
        <v>412.5</v>
      </c>
      <c r="E2">
        <v>166.11</v>
      </c>
      <c r="F2">
        <v>360.21</v>
      </c>
      <c r="G2">
        <v>296.76</v>
      </c>
      <c r="H2">
        <v>291.89999999999998</v>
      </c>
      <c r="I2">
        <v>369.66</v>
      </c>
      <c r="J2">
        <v>375.41</v>
      </c>
      <c r="K2">
        <v>403.71</v>
      </c>
      <c r="L2">
        <v>509.86</v>
      </c>
      <c r="M2">
        <v>615.69000000000005</v>
      </c>
      <c r="N2" s="1">
        <v>4829.6400000000003</v>
      </c>
    </row>
    <row r="3" spans="1:14" x14ac:dyDescent="0.25">
      <c r="A3" t="s">
        <v>368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367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366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A6" t="s">
        <v>365</v>
      </c>
      <c r="B6">
        <v>-81.36</v>
      </c>
      <c r="C6">
        <v>-90.02</v>
      </c>
      <c r="D6">
        <v>-223.73</v>
      </c>
      <c r="E6">
        <v>-227.62</v>
      </c>
      <c r="F6">
        <v>-217.91</v>
      </c>
      <c r="G6">
        <v>-215.31</v>
      </c>
      <c r="H6">
        <v>-223.53</v>
      </c>
      <c r="I6">
        <v>-216.41</v>
      </c>
      <c r="J6">
        <v>-211.55</v>
      </c>
      <c r="K6">
        <v>-195.26</v>
      </c>
      <c r="L6">
        <v>-72.83</v>
      </c>
      <c r="M6">
        <v>-46.78</v>
      </c>
      <c r="N6" s="1">
        <v>-2022.3</v>
      </c>
    </row>
    <row r="7" spans="1:14" x14ac:dyDescent="0.25">
      <c r="A7" t="s">
        <v>371</v>
      </c>
      <c r="B7" s="1">
        <v>3086.59</v>
      </c>
      <c r="C7" s="1">
        <v>2558.31</v>
      </c>
      <c r="D7" s="1">
        <v>1833.33</v>
      </c>
      <c r="E7">
        <v>501.8</v>
      </c>
      <c r="F7">
        <v>293.13</v>
      </c>
      <c r="G7">
        <v>227.4</v>
      </c>
      <c r="H7">
        <v>219.19</v>
      </c>
      <c r="I7">
        <v>304.07</v>
      </c>
      <c r="J7">
        <v>355.86</v>
      </c>
      <c r="K7" s="1">
        <v>1138.9000000000001</v>
      </c>
      <c r="L7" s="1">
        <v>2465.09</v>
      </c>
      <c r="M7" s="1">
        <v>3288.72</v>
      </c>
      <c r="N7" s="1">
        <v>16272.39</v>
      </c>
    </row>
  </sheetData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2" tint="-0.499984740745262"/>
  </sheetPr>
  <dimension ref="A1:N6"/>
  <sheetViews>
    <sheetView showGridLines="0" workbookViewId="0"/>
  </sheetViews>
  <sheetFormatPr baseColWidth="10" defaultRowHeight="15" x14ac:dyDescent="0.25"/>
  <cols>
    <col min="1" max="1" width="41.140625" bestFit="1" customWidth="1"/>
    <col min="2" max="4" width="7.85546875" bestFit="1" customWidth="1"/>
    <col min="5" max="11" width="6.85546875" bestFit="1" customWidth="1"/>
    <col min="12" max="14" width="7.85546875" bestFit="1" customWidth="1"/>
  </cols>
  <sheetData>
    <row r="1" spans="1:14" x14ac:dyDescent="0.25">
      <c r="A1" t="s">
        <v>397</v>
      </c>
      <c r="B1" s="1">
        <v>2046.1</v>
      </c>
      <c r="C1" s="1">
        <v>1690.39</v>
      </c>
      <c r="D1" s="1">
        <v>1228.97</v>
      </c>
      <c r="E1">
        <v>324.38</v>
      </c>
      <c r="F1">
        <v>0</v>
      </c>
      <c r="G1">
        <v>0</v>
      </c>
      <c r="H1">
        <v>0</v>
      </c>
      <c r="I1">
        <v>0</v>
      </c>
      <c r="J1">
        <v>27.02</v>
      </c>
      <c r="K1">
        <v>625.14</v>
      </c>
      <c r="L1" s="1">
        <v>1556.97</v>
      </c>
      <c r="M1" s="1">
        <v>2134.7399999999998</v>
      </c>
      <c r="N1" s="1">
        <v>9633.7199999999993</v>
      </c>
    </row>
    <row r="2" spans="1:14" x14ac:dyDescent="0.25">
      <c r="A2" t="s">
        <v>396</v>
      </c>
      <c r="B2">
        <v>48.56</v>
      </c>
      <c r="C2">
        <v>42.34</v>
      </c>
      <c r="D2">
        <v>40.35</v>
      </c>
      <c r="E2">
        <v>22.98</v>
      </c>
      <c r="F2">
        <v>0</v>
      </c>
      <c r="G2">
        <v>0</v>
      </c>
      <c r="H2">
        <v>0</v>
      </c>
      <c r="I2">
        <v>0</v>
      </c>
      <c r="J2">
        <v>2.48</v>
      </c>
      <c r="K2">
        <v>33.03</v>
      </c>
      <c r="L2">
        <v>42.85</v>
      </c>
      <c r="M2">
        <v>49.39</v>
      </c>
      <c r="N2">
        <v>281.98</v>
      </c>
    </row>
    <row r="3" spans="1:14" x14ac:dyDescent="0.25">
      <c r="A3" t="s">
        <v>395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394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393</v>
      </c>
      <c r="B5">
        <v>356.4</v>
      </c>
      <c r="C5">
        <v>294.10000000000002</v>
      </c>
      <c r="D5">
        <v>213.33</v>
      </c>
      <c r="E5">
        <v>62.28</v>
      </c>
      <c r="F5">
        <v>0</v>
      </c>
      <c r="G5">
        <v>0</v>
      </c>
      <c r="H5">
        <v>0</v>
      </c>
      <c r="I5">
        <v>0</v>
      </c>
      <c r="J5">
        <v>13.05</v>
      </c>
      <c r="K5">
        <v>111.55</v>
      </c>
      <c r="L5">
        <v>270.91000000000003</v>
      </c>
      <c r="M5">
        <v>372.23</v>
      </c>
      <c r="N5" s="1">
        <v>1693.84</v>
      </c>
    </row>
    <row r="6" spans="1:14" x14ac:dyDescent="0.25">
      <c r="A6" t="s">
        <v>392</v>
      </c>
      <c r="B6">
        <v>163.31</v>
      </c>
      <c r="C6">
        <v>147.24</v>
      </c>
      <c r="D6">
        <v>161.9</v>
      </c>
      <c r="E6">
        <v>153.68</v>
      </c>
      <c r="F6">
        <v>150.82</v>
      </c>
      <c r="G6">
        <v>145.96</v>
      </c>
      <c r="H6">
        <v>150.82</v>
      </c>
      <c r="I6">
        <v>150.82</v>
      </c>
      <c r="J6">
        <v>149.44</v>
      </c>
      <c r="K6">
        <v>160.72</v>
      </c>
      <c r="L6">
        <v>157.33000000000001</v>
      </c>
      <c r="M6">
        <v>163.46</v>
      </c>
      <c r="N6" s="1">
        <v>1855.51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Q7"/>
  <sheetViews>
    <sheetView showGridLines="0" workbookViewId="0"/>
  </sheetViews>
  <sheetFormatPr baseColWidth="10" defaultRowHeight="15" x14ac:dyDescent="0.25"/>
  <cols>
    <col min="1" max="1" width="26.28515625" bestFit="1" customWidth="1"/>
    <col min="2" max="2" width="12.85546875" bestFit="1" customWidth="1"/>
    <col min="3" max="3" width="6.5703125" bestFit="1" customWidth="1"/>
    <col min="4" max="4" width="7.85546875" bestFit="1" customWidth="1"/>
    <col min="5" max="5" width="12.85546875" bestFit="1" customWidth="1"/>
    <col min="6" max="7" width="7.85546875" bestFit="1" customWidth="1"/>
    <col min="8" max="9" width="6.85546875" bestFit="1" customWidth="1"/>
    <col min="10" max="10" width="4" bestFit="1" customWidth="1"/>
    <col min="11" max="11" width="4.140625" bestFit="1" customWidth="1"/>
    <col min="12" max="12" width="3.42578125" bestFit="1" customWidth="1"/>
    <col min="13" max="13" width="6.570312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68</v>
      </c>
      <c r="B2" t="s">
        <v>67</v>
      </c>
      <c r="C2" t="s">
        <v>56</v>
      </c>
      <c r="D2" s="1">
        <v>6980.54</v>
      </c>
      <c r="E2" t="s">
        <v>55</v>
      </c>
      <c r="F2" s="1">
        <v>1516.87</v>
      </c>
      <c r="G2" s="1">
        <v>1243.8599999999999</v>
      </c>
      <c r="H2">
        <v>867.51</v>
      </c>
      <c r="I2">
        <v>200.53</v>
      </c>
      <c r="J2">
        <v>0</v>
      </c>
      <c r="K2">
        <v>0</v>
      </c>
      <c r="L2">
        <v>0</v>
      </c>
      <c r="M2">
        <v>0</v>
      </c>
      <c r="N2">
        <v>17.28</v>
      </c>
      <c r="O2">
        <v>411.13</v>
      </c>
      <c r="P2" s="1">
        <v>1133.8</v>
      </c>
      <c r="Q2" s="1">
        <v>1589.57</v>
      </c>
    </row>
    <row r="3" spans="1:17" x14ac:dyDescent="0.25">
      <c r="A3" t="s">
        <v>71</v>
      </c>
      <c r="B3" t="s">
        <v>67</v>
      </c>
      <c r="C3" t="s">
        <v>56</v>
      </c>
      <c r="D3" s="1">
        <v>6980.54</v>
      </c>
      <c r="E3" t="s">
        <v>55</v>
      </c>
      <c r="F3" s="1">
        <v>1516.87</v>
      </c>
      <c r="G3" s="1">
        <v>1243.8599999999999</v>
      </c>
      <c r="H3">
        <v>867.51</v>
      </c>
      <c r="I3">
        <v>200.53</v>
      </c>
      <c r="J3">
        <v>0</v>
      </c>
      <c r="K3">
        <v>0</v>
      </c>
      <c r="L3">
        <v>0</v>
      </c>
      <c r="M3">
        <v>0</v>
      </c>
      <c r="N3">
        <v>17.28</v>
      </c>
      <c r="O3">
        <v>411.13</v>
      </c>
      <c r="P3" s="1">
        <v>1133.8</v>
      </c>
      <c r="Q3" s="1">
        <v>1589.57</v>
      </c>
    </row>
    <row r="4" spans="1:17" x14ac:dyDescent="0.25">
      <c r="A4" t="s">
        <v>72</v>
      </c>
      <c r="B4" t="s">
        <v>73</v>
      </c>
      <c r="C4" t="s">
        <v>56</v>
      </c>
      <c r="D4">
        <v>0</v>
      </c>
      <c r="E4" t="s">
        <v>55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t="s">
        <v>74</v>
      </c>
      <c r="B5" t="s">
        <v>75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76</v>
      </c>
      <c r="B6" t="s">
        <v>77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78</v>
      </c>
      <c r="B7" t="s">
        <v>79</v>
      </c>
      <c r="C7" t="s">
        <v>56</v>
      </c>
      <c r="D7">
        <v>0</v>
      </c>
      <c r="E7" t="s">
        <v>55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</sheetData>
  <pageMargins left="0.7" right="0.7" top="0.78740157499999996" bottom="0.78740157499999996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theme="2" tint="-0.499984740745262"/>
  </sheetPr>
  <dimension ref="A1:N2"/>
  <sheetViews>
    <sheetView showGridLines="0" workbookViewId="0"/>
  </sheetViews>
  <sheetFormatPr baseColWidth="10" defaultRowHeight="15" x14ac:dyDescent="0.25"/>
  <sheetData>
    <row r="1" spans="1:14" x14ac:dyDescent="0.25">
      <c r="A1" t="s">
        <v>369</v>
      </c>
      <c r="B1">
        <v>534.41999999999996</v>
      </c>
      <c r="C1">
        <v>454.72</v>
      </c>
      <c r="D1">
        <v>381.06</v>
      </c>
      <c r="E1">
        <v>115.14</v>
      </c>
      <c r="F1">
        <v>293.13</v>
      </c>
      <c r="G1">
        <v>227.4</v>
      </c>
      <c r="H1">
        <v>219.19</v>
      </c>
      <c r="I1">
        <v>304.07</v>
      </c>
      <c r="J1">
        <v>315.79000000000002</v>
      </c>
      <c r="K1">
        <v>372</v>
      </c>
      <c r="L1">
        <v>489.31</v>
      </c>
      <c r="M1">
        <v>602.08000000000004</v>
      </c>
      <c r="N1" s="1">
        <v>4308.3100000000004</v>
      </c>
    </row>
    <row r="2" spans="1:14" x14ac:dyDescent="0.25">
      <c r="A2" t="s">
        <v>399</v>
      </c>
      <c r="B2">
        <v>19.16</v>
      </c>
      <c r="C2">
        <v>19.53</v>
      </c>
      <c r="D2">
        <v>31.44</v>
      </c>
      <c r="E2">
        <v>50.97</v>
      </c>
      <c r="F2">
        <v>67.08</v>
      </c>
      <c r="G2">
        <v>69.36</v>
      </c>
      <c r="H2">
        <v>72.709999999999994</v>
      </c>
      <c r="I2">
        <v>65.59</v>
      </c>
      <c r="J2">
        <v>59.63</v>
      </c>
      <c r="K2">
        <v>31.71</v>
      </c>
      <c r="L2">
        <v>20.54</v>
      </c>
      <c r="M2">
        <v>13.6</v>
      </c>
      <c r="N2">
        <v>521.33000000000004</v>
      </c>
    </row>
  </sheetData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theme="2" tint="-0.499984740745262"/>
  </sheetPr>
  <dimension ref="A1:N1"/>
  <sheetViews>
    <sheetView showGridLines="0" workbookViewId="0"/>
  </sheetViews>
  <sheetFormatPr baseColWidth="10" defaultRowHeight="15" x14ac:dyDescent="0.25"/>
  <cols>
    <col min="1" max="1" width="24.140625" bestFit="1" customWidth="1"/>
    <col min="2" max="14" width="1.85546875" bestFit="1" customWidth="1"/>
  </cols>
  <sheetData>
    <row r="1" spans="1:14" x14ac:dyDescent="0.25">
      <c r="A1" t="s">
        <v>398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</row>
  </sheetData>
  <pageMargins left="0.7" right="0.7" top="0.78740157499999996" bottom="0.78740157499999996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theme="2" tint="-0.499984740745262"/>
  </sheetPr>
  <dimension ref="A1:N2"/>
  <sheetViews>
    <sheetView showGridLines="0" workbookViewId="0"/>
  </sheetViews>
  <sheetFormatPr baseColWidth="10" defaultRowHeight="15" x14ac:dyDescent="0.25"/>
  <sheetData>
    <row r="1" spans="1:14" x14ac:dyDescent="0.25">
      <c r="A1" t="s">
        <v>372</v>
      </c>
      <c r="B1">
        <v>83.16</v>
      </c>
      <c r="C1">
        <v>66.17</v>
      </c>
      <c r="D1">
        <v>5.54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16.78</v>
      </c>
      <c r="L1">
        <v>82.16</v>
      </c>
      <c r="M1">
        <v>99.81</v>
      </c>
      <c r="N1">
        <v>353.62</v>
      </c>
    </row>
    <row r="2" spans="1:14" x14ac:dyDescent="0.25">
      <c r="A2" t="s">
        <v>364</v>
      </c>
      <c r="B2" s="1">
        <v>2830.11</v>
      </c>
      <c r="C2" s="1">
        <v>2350.5100000000002</v>
      </c>
      <c r="D2" s="1">
        <v>1757.06</v>
      </c>
      <c r="E2">
        <v>483.56</v>
      </c>
      <c r="F2">
        <v>282.47000000000003</v>
      </c>
      <c r="G2">
        <v>219.13</v>
      </c>
      <c r="H2">
        <v>211.22</v>
      </c>
      <c r="I2">
        <v>293.01</v>
      </c>
      <c r="J2">
        <v>342.92</v>
      </c>
      <c r="K2" s="1">
        <v>1068.3699999999999</v>
      </c>
      <c r="L2" s="1">
        <v>2232.9299999999998</v>
      </c>
      <c r="M2" s="1">
        <v>2996</v>
      </c>
      <c r="N2" s="1">
        <v>15067.29</v>
      </c>
    </row>
  </sheetData>
  <pageMargins left="0.7" right="0.7" top="0.78740157499999996" bottom="0.78740157499999996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theme="2" tint="-0.499984740745262"/>
  </sheetPr>
  <dimension ref="A1:N7"/>
  <sheetViews>
    <sheetView showGridLines="0" workbookViewId="0"/>
  </sheetViews>
  <sheetFormatPr baseColWidth="10" defaultRowHeight="15" x14ac:dyDescent="0.25"/>
  <cols>
    <col min="1" max="1" width="51" bestFit="1" customWidth="1"/>
    <col min="2" max="3" width="6.85546875" bestFit="1" customWidth="1"/>
    <col min="4" max="11" width="7.42578125" bestFit="1" customWidth="1"/>
    <col min="12" max="13" width="6.85546875" bestFit="1" customWidth="1"/>
    <col min="14" max="14" width="11.42578125" customWidth="1"/>
  </cols>
  <sheetData>
    <row r="1" spans="1:14" x14ac:dyDescent="0.25">
      <c r="A1" t="s">
        <v>370</v>
      </c>
      <c r="B1">
        <v>117.71</v>
      </c>
      <c r="C1">
        <v>105.32</v>
      </c>
      <c r="D1">
        <v>112.36</v>
      </c>
      <c r="E1">
        <v>98.14</v>
      </c>
      <c r="F1">
        <v>83.79</v>
      </c>
      <c r="G1">
        <v>81.09</v>
      </c>
      <c r="H1">
        <v>83.79</v>
      </c>
      <c r="I1">
        <v>83.79</v>
      </c>
      <c r="J1">
        <v>84.4</v>
      </c>
      <c r="K1">
        <v>107.64</v>
      </c>
      <c r="L1">
        <v>111.21</v>
      </c>
      <c r="M1">
        <v>118.24</v>
      </c>
      <c r="N1" s="1">
        <v>1187.5</v>
      </c>
    </row>
    <row r="2" spans="1:14" x14ac:dyDescent="0.25">
      <c r="A2" t="s">
        <v>369</v>
      </c>
      <c r="B2">
        <v>10.65</v>
      </c>
      <c r="C2">
        <v>10.85</v>
      </c>
      <c r="D2">
        <v>17.47</v>
      </c>
      <c r="E2">
        <v>28.31</v>
      </c>
      <c r="F2">
        <v>37.270000000000003</v>
      </c>
      <c r="G2">
        <v>38.53</v>
      </c>
      <c r="H2">
        <v>40.39</v>
      </c>
      <c r="I2">
        <v>36.44</v>
      </c>
      <c r="J2">
        <v>33.130000000000003</v>
      </c>
      <c r="K2">
        <v>17.62</v>
      </c>
      <c r="L2">
        <v>11.41</v>
      </c>
      <c r="M2">
        <v>7.56</v>
      </c>
      <c r="N2">
        <v>289.63</v>
      </c>
    </row>
    <row r="3" spans="1:14" x14ac:dyDescent="0.25">
      <c r="A3" t="s">
        <v>368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367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366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A6" t="s">
        <v>365</v>
      </c>
      <c r="B6">
        <v>-45.2</v>
      </c>
      <c r="C6">
        <v>-50.01</v>
      </c>
      <c r="D6">
        <v>-124.29</v>
      </c>
      <c r="E6">
        <v>-126.46</v>
      </c>
      <c r="F6">
        <v>-121.06</v>
      </c>
      <c r="G6">
        <v>-119.62</v>
      </c>
      <c r="H6">
        <v>-124.19</v>
      </c>
      <c r="I6">
        <v>-120.23</v>
      </c>
      <c r="J6">
        <v>-117.53</v>
      </c>
      <c r="K6">
        <v>-108.48</v>
      </c>
      <c r="L6">
        <v>-40.46</v>
      </c>
      <c r="M6">
        <v>-25.99</v>
      </c>
      <c r="N6" s="1">
        <v>-1123.5</v>
      </c>
    </row>
    <row r="7" spans="1:14" x14ac:dyDescent="0.25">
      <c r="A7" t="s">
        <v>372</v>
      </c>
      <c r="B7">
        <v>83.16</v>
      </c>
      <c r="C7">
        <v>66.17</v>
      </c>
      <c r="D7">
        <v>5.54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16.78</v>
      </c>
      <c r="L7">
        <v>82.16</v>
      </c>
      <c r="M7">
        <v>99.81</v>
      </c>
      <c r="N7">
        <v>353.62</v>
      </c>
    </row>
  </sheetData>
  <pageMargins left="0.7" right="0.7" top="0.78740157499999996" bottom="0.78740157499999996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theme="2" tint="-0.499984740745262"/>
  </sheetPr>
  <dimension ref="A1:N7"/>
  <sheetViews>
    <sheetView showGridLines="0" workbookViewId="0"/>
  </sheetViews>
  <sheetFormatPr baseColWidth="10" defaultRowHeight="15" x14ac:dyDescent="0.25"/>
  <cols>
    <col min="1" max="1" width="24.28515625" bestFit="1" customWidth="1"/>
    <col min="2" max="4" width="7.85546875" bestFit="1" customWidth="1"/>
    <col min="5" max="10" width="6.85546875" bestFit="1" customWidth="1"/>
    <col min="11" max="13" width="7.85546875" bestFit="1" customWidth="1"/>
    <col min="14" max="14" width="8.85546875" bestFit="1" customWidth="1"/>
  </cols>
  <sheetData>
    <row r="1" spans="1:14" x14ac:dyDescent="0.25">
      <c r="A1" t="s">
        <v>370</v>
      </c>
      <c r="B1" s="1">
        <v>2315.13</v>
      </c>
      <c r="C1" s="1">
        <v>1912.33</v>
      </c>
      <c r="D1" s="1">
        <v>1389.85</v>
      </c>
      <c r="E1">
        <v>372.6</v>
      </c>
      <c r="F1">
        <v>0</v>
      </c>
      <c r="G1">
        <v>0</v>
      </c>
      <c r="H1">
        <v>0</v>
      </c>
      <c r="I1">
        <v>0</v>
      </c>
      <c r="J1">
        <v>38.61</v>
      </c>
      <c r="K1">
        <v>709.9</v>
      </c>
      <c r="L1" s="1">
        <v>1761.41</v>
      </c>
      <c r="M1" s="1">
        <v>2415.81</v>
      </c>
      <c r="N1" s="1">
        <v>10915.65</v>
      </c>
    </row>
    <row r="2" spans="1:14" x14ac:dyDescent="0.25">
      <c r="A2" t="s">
        <v>369</v>
      </c>
      <c r="B2">
        <v>514.98</v>
      </c>
      <c r="C2">
        <v>438.18</v>
      </c>
      <c r="D2">
        <v>367.2</v>
      </c>
      <c r="E2">
        <v>110.96</v>
      </c>
      <c r="F2">
        <v>282.47000000000003</v>
      </c>
      <c r="G2">
        <v>219.13</v>
      </c>
      <c r="H2">
        <v>211.22</v>
      </c>
      <c r="I2">
        <v>293.01</v>
      </c>
      <c r="J2">
        <v>304.31</v>
      </c>
      <c r="K2">
        <v>358.47</v>
      </c>
      <c r="L2">
        <v>471.52</v>
      </c>
      <c r="M2">
        <v>580.19000000000005</v>
      </c>
      <c r="N2" s="1">
        <v>4151.6499999999996</v>
      </c>
    </row>
    <row r="3" spans="1:14" x14ac:dyDescent="0.25">
      <c r="A3" t="s">
        <v>368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 x14ac:dyDescent="0.25">
      <c r="A4" t="s">
        <v>367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 x14ac:dyDescent="0.25">
      <c r="A5" t="s">
        <v>366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5">
      <c r="A6" t="s">
        <v>365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 x14ac:dyDescent="0.25">
      <c r="A7" t="s">
        <v>364</v>
      </c>
      <c r="B7" s="1">
        <v>2830.11</v>
      </c>
      <c r="C7" s="1">
        <v>2350.5100000000002</v>
      </c>
      <c r="D7" s="1">
        <v>1757.06</v>
      </c>
      <c r="E7">
        <v>483.56</v>
      </c>
      <c r="F7">
        <v>282.47000000000003</v>
      </c>
      <c r="G7">
        <v>219.13</v>
      </c>
      <c r="H7">
        <v>211.22</v>
      </c>
      <c r="I7">
        <v>293.01</v>
      </c>
      <c r="J7">
        <v>342.92</v>
      </c>
      <c r="K7" s="1">
        <v>1068.3699999999999</v>
      </c>
      <c r="L7" s="1">
        <v>2232.9299999999998</v>
      </c>
      <c r="M7" s="1">
        <v>2996</v>
      </c>
      <c r="N7" s="1">
        <v>15067.29</v>
      </c>
    </row>
  </sheetData>
  <pageMargins left="0.7" right="0.7" top="0.78740157499999996" bottom="0.78740157499999996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theme="2" tint="-0.499984740745262"/>
  </sheetPr>
  <dimension ref="A1:F3"/>
  <sheetViews>
    <sheetView showGridLines="0" workbookViewId="0"/>
  </sheetViews>
  <sheetFormatPr baseColWidth="10" defaultColWidth="11" defaultRowHeight="15" x14ac:dyDescent="0.25"/>
  <cols>
    <col min="1" max="1" width="46.140625" bestFit="1" customWidth="1"/>
    <col min="2" max="2" width="3.28515625" bestFit="1" customWidth="1"/>
    <col min="3" max="3" width="7.85546875" bestFit="1" customWidth="1"/>
    <col min="4" max="4" width="4.140625" bestFit="1" customWidth="1"/>
    <col min="5" max="5" width="4.42578125" bestFit="1" customWidth="1"/>
    <col min="6" max="6" width="5" bestFit="1" customWidth="1"/>
  </cols>
  <sheetData>
    <row r="1" spans="1:6" x14ac:dyDescent="0.25">
      <c r="A1" t="s">
        <v>407</v>
      </c>
      <c r="B1" t="s">
        <v>406</v>
      </c>
      <c r="C1" t="s">
        <v>405</v>
      </c>
      <c r="D1" t="s">
        <v>404</v>
      </c>
      <c r="E1" t="s">
        <v>403</v>
      </c>
      <c r="F1" t="s">
        <v>402</v>
      </c>
    </row>
    <row r="2" spans="1:6" x14ac:dyDescent="0.25">
      <c r="A2" t="s">
        <v>401</v>
      </c>
      <c r="B2">
        <v>0</v>
      </c>
      <c r="C2">
        <v>208.64</v>
      </c>
      <c r="D2">
        <v>0</v>
      </c>
      <c r="E2">
        <v>0</v>
      </c>
      <c r="F2">
        <v>0</v>
      </c>
    </row>
    <row r="3" spans="1:6" x14ac:dyDescent="0.25">
      <c r="A3" t="s">
        <v>400</v>
      </c>
      <c r="B3">
        <v>0</v>
      </c>
      <c r="C3" s="1">
        <v>4550.32</v>
      </c>
      <c r="D3">
        <v>0</v>
      </c>
      <c r="E3">
        <v>0</v>
      </c>
      <c r="F3">
        <v>0</v>
      </c>
    </row>
  </sheetData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theme="2" tint="-0.499984740745262"/>
  </sheetPr>
  <dimension ref="A1:F61"/>
  <sheetViews>
    <sheetView showGridLines="0" workbookViewId="0">
      <selection activeCell="A2" sqref="A2"/>
    </sheetView>
  </sheetViews>
  <sheetFormatPr baseColWidth="10" defaultRowHeight="15" x14ac:dyDescent="0.25"/>
  <cols>
    <col min="1" max="1" width="39.42578125" bestFit="1" customWidth="1"/>
    <col min="2" max="2" width="41.85546875" customWidth="1"/>
    <col min="3" max="3" width="20.85546875" customWidth="1"/>
    <col min="4" max="4" width="12.85546875" bestFit="1" customWidth="1"/>
    <col min="5" max="5" width="8.85546875" bestFit="1" customWidth="1"/>
    <col min="6" max="6" width="6.7109375" bestFit="1" customWidth="1"/>
  </cols>
  <sheetData>
    <row r="1" spans="1:6" x14ac:dyDescent="0.25">
      <c r="A1" t="s">
        <v>0</v>
      </c>
      <c r="D1" t="s">
        <v>1</v>
      </c>
      <c r="E1" t="s">
        <v>3</v>
      </c>
      <c r="F1" t="s">
        <v>2</v>
      </c>
    </row>
    <row r="2" spans="1:6" x14ac:dyDescent="0.25">
      <c r="A2" t="s">
        <v>382</v>
      </c>
    </row>
    <row r="3" spans="1:6" x14ac:dyDescent="0.25">
      <c r="B3" t="s">
        <v>380</v>
      </c>
      <c r="E3" s="1">
        <v>16693.12</v>
      </c>
      <c r="F3" t="s">
        <v>56</v>
      </c>
    </row>
    <row r="4" spans="1:6" x14ac:dyDescent="0.25">
      <c r="B4" t="s">
        <v>68</v>
      </c>
      <c r="E4" s="1">
        <v>13683.15</v>
      </c>
      <c r="F4" t="s">
        <v>56</v>
      </c>
    </row>
    <row r="5" spans="1:6" x14ac:dyDescent="0.25">
      <c r="B5" t="s">
        <v>82</v>
      </c>
      <c r="E5" s="1">
        <v>3009.96</v>
      </c>
      <c r="F5" t="s">
        <v>56</v>
      </c>
    </row>
    <row r="6" spans="1:6" x14ac:dyDescent="0.25">
      <c r="B6" t="s">
        <v>60</v>
      </c>
      <c r="E6">
        <v>0</v>
      </c>
      <c r="F6" t="s">
        <v>56</v>
      </c>
    </row>
    <row r="7" spans="1:6" x14ac:dyDescent="0.25">
      <c r="B7" t="s">
        <v>379</v>
      </c>
      <c r="E7">
        <v>0</v>
      </c>
      <c r="F7" t="s">
        <v>56</v>
      </c>
    </row>
    <row r="8" spans="1:6" x14ac:dyDescent="0.25">
      <c r="B8" t="s">
        <v>378</v>
      </c>
      <c r="E8">
        <v>0</v>
      </c>
      <c r="F8" t="s">
        <v>56</v>
      </c>
    </row>
    <row r="9" spans="1:6" x14ac:dyDescent="0.25">
      <c r="B9" t="s">
        <v>377</v>
      </c>
      <c r="E9">
        <v>0</v>
      </c>
      <c r="F9" t="s">
        <v>56</v>
      </c>
    </row>
    <row r="10" spans="1:6" x14ac:dyDescent="0.25">
      <c r="A10" t="s">
        <v>381</v>
      </c>
    </row>
    <row r="11" spans="1:6" x14ac:dyDescent="0.25">
      <c r="B11" t="s">
        <v>380</v>
      </c>
      <c r="E11" s="1">
        <v>16272.39</v>
      </c>
      <c r="F11" t="s">
        <v>56</v>
      </c>
    </row>
    <row r="12" spans="1:6" x14ac:dyDescent="0.25">
      <c r="B12" t="s">
        <v>68</v>
      </c>
      <c r="E12" s="1">
        <v>13465.05</v>
      </c>
      <c r="F12" t="s">
        <v>56</v>
      </c>
    </row>
    <row r="13" spans="1:6" x14ac:dyDescent="0.25">
      <c r="B13" t="s">
        <v>82</v>
      </c>
      <c r="E13" s="1">
        <v>4829.6400000000003</v>
      </c>
      <c r="F13" t="s">
        <v>56</v>
      </c>
    </row>
    <row r="14" spans="1:6" x14ac:dyDescent="0.25">
      <c r="B14" t="s">
        <v>60</v>
      </c>
      <c r="E14">
        <v>0</v>
      </c>
      <c r="F14" t="s">
        <v>56</v>
      </c>
    </row>
    <row r="15" spans="1:6" x14ac:dyDescent="0.25">
      <c r="B15" t="s">
        <v>379</v>
      </c>
      <c r="E15">
        <v>0</v>
      </c>
      <c r="F15" t="s">
        <v>56</v>
      </c>
    </row>
    <row r="16" spans="1:6" x14ac:dyDescent="0.25">
      <c r="B16" t="s">
        <v>378</v>
      </c>
      <c r="E16">
        <v>0</v>
      </c>
      <c r="F16" t="s">
        <v>56</v>
      </c>
    </row>
    <row r="17" spans="1:6" x14ac:dyDescent="0.25">
      <c r="B17" t="s">
        <v>377</v>
      </c>
      <c r="E17" s="1">
        <v>2022.3</v>
      </c>
      <c r="F17" t="s">
        <v>56</v>
      </c>
    </row>
    <row r="18" spans="1:6" x14ac:dyDescent="0.25">
      <c r="A18" t="s">
        <v>391</v>
      </c>
    </row>
    <row r="19" spans="1:6" x14ac:dyDescent="0.25">
      <c r="B19" t="s">
        <v>387</v>
      </c>
    </row>
    <row r="20" spans="1:6" x14ac:dyDescent="0.25">
      <c r="C20" t="s">
        <v>390</v>
      </c>
      <c r="E20">
        <v>0</v>
      </c>
      <c r="F20" t="s">
        <v>385</v>
      </c>
    </row>
    <row r="21" spans="1:6" x14ac:dyDescent="0.25">
      <c r="C21" t="s">
        <v>384</v>
      </c>
      <c r="E21">
        <v>0</v>
      </c>
      <c r="F21" t="s">
        <v>383</v>
      </c>
    </row>
    <row r="22" spans="1:6" x14ac:dyDescent="0.25">
      <c r="B22" t="s">
        <v>382</v>
      </c>
    </row>
    <row r="23" spans="1:6" x14ac:dyDescent="0.25">
      <c r="C23" t="s">
        <v>380</v>
      </c>
      <c r="E23">
        <v>0</v>
      </c>
      <c r="F23" t="s">
        <v>56</v>
      </c>
    </row>
    <row r="24" spans="1:6" x14ac:dyDescent="0.25">
      <c r="C24" t="s">
        <v>68</v>
      </c>
      <c r="E24">
        <v>0</v>
      </c>
      <c r="F24" t="s">
        <v>56</v>
      </c>
    </row>
    <row r="25" spans="1:6" x14ac:dyDescent="0.25">
      <c r="C25" t="s">
        <v>82</v>
      </c>
      <c r="E25">
        <v>0</v>
      </c>
      <c r="F25" t="s">
        <v>56</v>
      </c>
    </row>
    <row r="26" spans="1:6" x14ac:dyDescent="0.25">
      <c r="C26" t="s">
        <v>60</v>
      </c>
      <c r="E26">
        <v>0</v>
      </c>
      <c r="F26" t="s">
        <v>56</v>
      </c>
    </row>
    <row r="27" spans="1:6" x14ac:dyDescent="0.25">
      <c r="C27" t="s">
        <v>379</v>
      </c>
      <c r="E27">
        <v>0</v>
      </c>
      <c r="F27" t="s">
        <v>56</v>
      </c>
    </row>
    <row r="28" spans="1:6" x14ac:dyDescent="0.25">
      <c r="C28" t="s">
        <v>378</v>
      </c>
      <c r="E28">
        <v>0</v>
      </c>
      <c r="F28" t="s">
        <v>56</v>
      </c>
    </row>
    <row r="29" spans="1:6" x14ac:dyDescent="0.25">
      <c r="C29" t="s">
        <v>377</v>
      </c>
      <c r="E29">
        <v>0</v>
      </c>
      <c r="F29" t="s">
        <v>56</v>
      </c>
    </row>
    <row r="30" spans="1:6" x14ac:dyDescent="0.25">
      <c r="B30" t="s">
        <v>381</v>
      </c>
    </row>
    <row r="31" spans="1:6" x14ac:dyDescent="0.25">
      <c r="C31" t="s">
        <v>380</v>
      </c>
      <c r="E31">
        <v>0</v>
      </c>
      <c r="F31" t="s">
        <v>56</v>
      </c>
    </row>
    <row r="32" spans="1:6" x14ac:dyDescent="0.25">
      <c r="C32" t="s">
        <v>68</v>
      </c>
      <c r="E32">
        <v>0</v>
      </c>
      <c r="F32" t="s">
        <v>56</v>
      </c>
    </row>
    <row r="33" spans="1:6" x14ac:dyDescent="0.25">
      <c r="C33" t="s">
        <v>82</v>
      </c>
      <c r="E33">
        <v>0</v>
      </c>
      <c r="F33" t="s">
        <v>56</v>
      </c>
    </row>
    <row r="34" spans="1:6" x14ac:dyDescent="0.25">
      <c r="C34" t="s">
        <v>60</v>
      </c>
      <c r="E34">
        <v>0</v>
      </c>
      <c r="F34" t="s">
        <v>56</v>
      </c>
    </row>
    <row r="35" spans="1:6" x14ac:dyDescent="0.25">
      <c r="C35" t="s">
        <v>379</v>
      </c>
      <c r="E35">
        <v>0</v>
      </c>
      <c r="F35" t="s">
        <v>56</v>
      </c>
    </row>
    <row r="36" spans="1:6" x14ac:dyDescent="0.25">
      <c r="C36" t="s">
        <v>378</v>
      </c>
      <c r="E36">
        <v>0</v>
      </c>
      <c r="F36" t="s">
        <v>56</v>
      </c>
    </row>
    <row r="37" spans="1:6" x14ac:dyDescent="0.25">
      <c r="C37" t="s">
        <v>377</v>
      </c>
      <c r="E37">
        <v>0</v>
      </c>
      <c r="F37" t="s">
        <v>56</v>
      </c>
    </row>
    <row r="38" spans="1:6" x14ac:dyDescent="0.25">
      <c r="B38" t="s">
        <v>389</v>
      </c>
    </row>
    <row r="39" spans="1:6" x14ac:dyDescent="0.25">
      <c r="A39" t="s">
        <v>388</v>
      </c>
    </row>
    <row r="40" spans="1:6" x14ac:dyDescent="0.25">
      <c r="B40" t="s">
        <v>387</v>
      </c>
    </row>
    <row r="41" spans="1:6" x14ac:dyDescent="0.25">
      <c r="C41" t="s">
        <v>386</v>
      </c>
      <c r="E41">
        <v>246.34</v>
      </c>
      <c r="F41" t="s">
        <v>385</v>
      </c>
    </row>
    <row r="42" spans="1:6" x14ac:dyDescent="0.25">
      <c r="C42" t="s">
        <v>384</v>
      </c>
      <c r="E42">
        <v>769.8</v>
      </c>
      <c r="F42" t="s">
        <v>383</v>
      </c>
    </row>
    <row r="43" spans="1:6" x14ac:dyDescent="0.25">
      <c r="B43" t="s">
        <v>382</v>
      </c>
    </row>
    <row r="44" spans="1:6" x14ac:dyDescent="0.25">
      <c r="C44" t="s">
        <v>380</v>
      </c>
      <c r="E44" s="1">
        <v>16693.12</v>
      </c>
      <c r="F44" t="s">
        <v>56</v>
      </c>
    </row>
    <row r="45" spans="1:6" x14ac:dyDescent="0.25">
      <c r="C45" t="s">
        <v>68</v>
      </c>
      <c r="E45" s="1">
        <v>13683.15</v>
      </c>
      <c r="F45" t="s">
        <v>56</v>
      </c>
    </row>
    <row r="46" spans="1:6" x14ac:dyDescent="0.25">
      <c r="C46" t="s">
        <v>82</v>
      </c>
      <c r="E46" s="1">
        <v>3009.96</v>
      </c>
      <c r="F46" t="s">
        <v>56</v>
      </c>
    </row>
    <row r="47" spans="1:6" x14ac:dyDescent="0.25">
      <c r="C47" t="s">
        <v>60</v>
      </c>
      <c r="E47">
        <v>0</v>
      </c>
      <c r="F47" t="s">
        <v>56</v>
      </c>
    </row>
    <row r="48" spans="1:6" x14ac:dyDescent="0.25">
      <c r="C48" t="s">
        <v>379</v>
      </c>
      <c r="E48">
        <v>0</v>
      </c>
      <c r="F48" t="s">
        <v>56</v>
      </c>
    </row>
    <row r="49" spans="2:6" x14ac:dyDescent="0.25">
      <c r="C49" t="s">
        <v>378</v>
      </c>
      <c r="E49">
        <v>0</v>
      </c>
      <c r="F49" t="s">
        <v>56</v>
      </c>
    </row>
    <row r="50" spans="2:6" x14ac:dyDescent="0.25">
      <c r="C50" t="s">
        <v>377</v>
      </c>
      <c r="E50">
        <v>0</v>
      </c>
      <c r="F50" t="s">
        <v>56</v>
      </c>
    </row>
    <row r="51" spans="2:6" x14ac:dyDescent="0.25">
      <c r="B51" t="s">
        <v>381</v>
      </c>
    </row>
    <row r="52" spans="2:6" x14ac:dyDescent="0.25">
      <c r="C52" t="s">
        <v>380</v>
      </c>
      <c r="E52" s="1">
        <v>16272.39</v>
      </c>
      <c r="F52" t="s">
        <v>56</v>
      </c>
    </row>
    <row r="53" spans="2:6" x14ac:dyDescent="0.25">
      <c r="C53" t="s">
        <v>68</v>
      </c>
      <c r="E53" s="1">
        <v>13465.05</v>
      </c>
      <c r="F53" t="s">
        <v>56</v>
      </c>
    </row>
    <row r="54" spans="2:6" x14ac:dyDescent="0.25">
      <c r="C54" t="s">
        <v>82</v>
      </c>
      <c r="E54" s="1">
        <v>4829.6400000000003</v>
      </c>
      <c r="F54" t="s">
        <v>56</v>
      </c>
    </row>
    <row r="55" spans="2:6" x14ac:dyDescent="0.25">
      <c r="C55" t="s">
        <v>60</v>
      </c>
      <c r="E55">
        <v>0</v>
      </c>
      <c r="F55" t="s">
        <v>56</v>
      </c>
    </row>
    <row r="56" spans="2:6" x14ac:dyDescent="0.25">
      <c r="C56" t="s">
        <v>379</v>
      </c>
      <c r="E56">
        <v>0</v>
      </c>
      <c r="F56" t="s">
        <v>56</v>
      </c>
    </row>
    <row r="57" spans="2:6" x14ac:dyDescent="0.25">
      <c r="C57" t="s">
        <v>378</v>
      </c>
      <c r="E57">
        <v>0</v>
      </c>
      <c r="F57" t="s">
        <v>56</v>
      </c>
    </row>
    <row r="58" spans="2:6" x14ac:dyDescent="0.25">
      <c r="C58" t="s">
        <v>377</v>
      </c>
      <c r="E58" s="1">
        <v>2022.3</v>
      </c>
      <c r="F58" t="s">
        <v>56</v>
      </c>
    </row>
    <row r="59" spans="2:6" x14ac:dyDescent="0.25">
      <c r="B59" t="s">
        <v>376</v>
      </c>
    </row>
    <row r="60" spans="2:6" x14ac:dyDescent="0.25">
      <c r="C60" t="s">
        <v>375</v>
      </c>
      <c r="E60">
        <v>0.4</v>
      </c>
      <c r="F60" t="s">
        <v>373</v>
      </c>
    </row>
    <row r="61" spans="2:6" x14ac:dyDescent="0.25">
      <c r="C61" t="s">
        <v>374</v>
      </c>
      <c r="E61">
        <v>0.36</v>
      </c>
      <c r="F61" t="s">
        <v>373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Q4"/>
  <sheetViews>
    <sheetView showGridLines="0" workbookViewId="0"/>
  </sheetViews>
  <sheetFormatPr baseColWidth="10" defaultRowHeight="15" x14ac:dyDescent="0.25"/>
  <cols>
    <col min="1" max="1" width="26.140625" bestFit="1" customWidth="1"/>
    <col min="2" max="2" width="12.8554687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42578125" bestFit="1" customWidth="1"/>
    <col min="7" max="7" width="7.42578125" bestFit="1" customWidth="1"/>
    <col min="8" max="8" width="5.85546875" bestFit="1" customWidth="1"/>
    <col min="9" max="9" width="6.85546875" bestFit="1" customWidth="1"/>
    <col min="10" max="10" width="5.85546875" bestFit="1" customWidth="1"/>
    <col min="11" max="11" width="6.85546875" bestFit="1" customWidth="1"/>
    <col min="12" max="12" width="5.85546875" bestFit="1" customWidth="1"/>
    <col min="13" max="13" width="6.570312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66</v>
      </c>
      <c r="B2" t="s">
        <v>65</v>
      </c>
      <c r="C2" t="s">
        <v>56</v>
      </c>
      <c r="D2" s="1">
        <v>3253.25</v>
      </c>
      <c r="E2" t="s">
        <v>55</v>
      </c>
      <c r="F2">
        <v>276.3</v>
      </c>
      <c r="G2">
        <v>249.56</v>
      </c>
      <c r="H2">
        <v>276.3</v>
      </c>
      <c r="I2">
        <v>267.39</v>
      </c>
      <c r="J2">
        <v>276.3</v>
      </c>
      <c r="K2">
        <v>267.39</v>
      </c>
      <c r="L2">
        <v>276.3</v>
      </c>
      <c r="M2">
        <v>276.3</v>
      </c>
      <c r="N2">
        <v>267.39</v>
      </c>
      <c r="O2">
        <v>276.3</v>
      </c>
      <c r="P2">
        <v>267.39</v>
      </c>
      <c r="Q2">
        <v>276.3</v>
      </c>
    </row>
    <row r="3" spans="1:17" x14ac:dyDescent="0.25">
      <c r="A3" t="s">
        <v>82</v>
      </c>
      <c r="B3" t="s">
        <v>65</v>
      </c>
      <c r="C3" t="s">
        <v>56</v>
      </c>
      <c r="D3" s="1">
        <v>3253.25</v>
      </c>
      <c r="E3" t="s">
        <v>55</v>
      </c>
      <c r="F3">
        <v>276.3</v>
      </c>
      <c r="G3">
        <v>249.56</v>
      </c>
      <c r="H3">
        <v>276.3</v>
      </c>
      <c r="I3">
        <v>267.39</v>
      </c>
      <c r="J3">
        <v>276.3</v>
      </c>
      <c r="K3">
        <v>267.39</v>
      </c>
      <c r="L3">
        <v>276.3</v>
      </c>
      <c r="M3">
        <v>276.3</v>
      </c>
      <c r="N3">
        <v>267.39</v>
      </c>
      <c r="O3">
        <v>276.3</v>
      </c>
      <c r="P3">
        <v>267.39</v>
      </c>
      <c r="Q3">
        <v>276.3</v>
      </c>
    </row>
    <row r="4" spans="1:17" x14ac:dyDescent="0.25">
      <c r="A4" t="s">
        <v>81</v>
      </c>
      <c r="B4" t="s">
        <v>80</v>
      </c>
      <c r="C4" t="s">
        <v>56</v>
      </c>
      <c r="D4">
        <v>0</v>
      </c>
      <c r="E4" t="s">
        <v>55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-0.249977111117893"/>
  </sheetPr>
  <dimension ref="A1:S23"/>
  <sheetViews>
    <sheetView showGridLines="0" workbookViewId="0">
      <selection activeCell="A10" sqref="A10"/>
    </sheetView>
  </sheetViews>
  <sheetFormatPr baseColWidth="10" defaultRowHeight="15" x14ac:dyDescent="0.25"/>
  <cols>
    <col min="1" max="1" width="23.85546875" bestFit="1" customWidth="1"/>
    <col min="2" max="2" width="12.85546875" bestFit="1" customWidth="1"/>
    <col min="3" max="3" width="6.5703125" bestFit="1" customWidth="1"/>
    <col min="4" max="4" width="8.85546875" bestFit="1" customWidth="1"/>
    <col min="5" max="5" width="12.85546875" bestFit="1" customWidth="1"/>
    <col min="6" max="8" width="7.85546875" bestFit="1" customWidth="1"/>
    <col min="9" max="13" width="6.85546875" bestFit="1" customWidth="1"/>
    <col min="14" max="14" width="9.85546875" bestFit="1" customWidth="1"/>
    <col min="15" max="15" width="7.85546875" bestFit="1" customWidth="1"/>
    <col min="16" max="16" width="9.5703125" bestFit="1" customWidth="1"/>
    <col min="17" max="17" width="9.42578125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9" x14ac:dyDescent="0.25">
      <c r="A2" t="s">
        <v>70</v>
      </c>
      <c r="B2" t="s">
        <v>88</v>
      </c>
      <c r="C2" t="s">
        <v>56</v>
      </c>
      <c r="D2" s="1">
        <v>15420.92</v>
      </c>
      <c r="E2" t="s">
        <v>55</v>
      </c>
      <c r="F2" s="1">
        <v>2913.27</v>
      </c>
      <c r="G2" s="1">
        <v>2416.6799999999998</v>
      </c>
      <c r="H2" s="1">
        <v>1762.59</v>
      </c>
      <c r="I2">
        <v>483.56</v>
      </c>
      <c r="J2">
        <v>282.47000000000003</v>
      </c>
      <c r="K2">
        <v>219.13</v>
      </c>
      <c r="L2">
        <v>211.22</v>
      </c>
      <c r="M2">
        <v>293.01</v>
      </c>
      <c r="N2">
        <v>342.92</v>
      </c>
      <c r="O2" s="1">
        <v>1085.1600000000001</v>
      </c>
      <c r="P2" s="1">
        <v>2315.1</v>
      </c>
      <c r="Q2" s="1">
        <v>3095.81</v>
      </c>
    </row>
    <row r="3" spans="1:19" x14ac:dyDescent="0.25">
      <c r="A3" t="s">
        <v>68</v>
      </c>
      <c r="B3" t="s">
        <v>87</v>
      </c>
      <c r="C3" t="s">
        <v>56</v>
      </c>
      <c r="D3" s="1">
        <v>12103.14</v>
      </c>
      <c r="E3" t="s">
        <v>55</v>
      </c>
      <c r="F3" s="1">
        <v>2432.84</v>
      </c>
      <c r="G3" s="1">
        <v>2017.65</v>
      </c>
      <c r="H3" s="1">
        <v>1502.22</v>
      </c>
      <c r="I3">
        <v>470.74</v>
      </c>
      <c r="J3">
        <v>83.79</v>
      </c>
      <c r="K3">
        <v>81.09</v>
      </c>
      <c r="L3">
        <v>83.79</v>
      </c>
      <c r="M3">
        <v>83.79</v>
      </c>
      <c r="N3">
        <v>123.02</v>
      </c>
      <c r="O3">
        <v>817.54</v>
      </c>
      <c r="P3" s="1">
        <v>1872.62</v>
      </c>
      <c r="Q3" s="1">
        <v>2534.0500000000002</v>
      </c>
    </row>
    <row r="4" spans="1:19" x14ac:dyDescent="0.25">
      <c r="A4" t="s">
        <v>66</v>
      </c>
      <c r="B4" t="s">
        <v>86</v>
      </c>
      <c r="C4" t="s">
        <v>56</v>
      </c>
      <c r="D4" s="1">
        <v>4441.2700000000004</v>
      </c>
      <c r="E4" t="s">
        <v>55</v>
      </c>
      <c r="F4">
        <v>525.63</v>
      </c>
      <c r="G4">
        <v>449.03</v>
      </c>
      <c r="H4">
        <v>384.67</v>
      </c>
      <c r="I4">
        <v>139.27000000000001</v>
      </c>
      <c r="J4">
        <v>319.74</v>
      </c>
      <c r="K4">
        <v>257.67</v>
      </c>
      <c r="L4">
        <v>251.62</v>
      </c>
      <c r="M4">
        <v>329.45</v>
      </c>
      <c r="N4">
        <v>337.43</v>
      </c>
      <c r="O4">
        <v>376.09</v>
      </c>
      <c r="P4">
        <v>482.93</v>
      </c>
      <c r="Q4">
        <v>587.75</v>
      </c>
    </row>
    <row r="5" spans="1:19" x14ac:dyDescent="0.25">
      <c r="A5" t="s">
        <v>64</v>
      </c>
      <c r="B5" t="s">
        <v>85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9" x14ac:dyDescent="0.25">
      <c r="A6" t="s">
        <v>62</v>
      </c>
      <c r="B6" t="s">
        <v>84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9" x14ac:dyDescent="0.25">
      <c r="A7" t="s">
        <v>60</v>
      </c>
      <c r="B7" t="s">
        <v>83</v>
      </c>
      <c r="C7" t="s">
        <v>56</v>
      </c>
      <c r="D7">
        <v>0</v>
      </c>
      <c r="E7" t="s">
        <v>55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9" x14ac:dyDescent="0.25">
      <c r="A8" t="s">
        <v>58</v>
      </c>
      <c r="B8" t="s">
        <v>57</v>
      </c>
      <c r="C8" t="s">
        <v>56</v>
      </c>
      <c r="D8" s="1">
        <v>1123.5</v>
      </c>
      <c r="E8" t="s">
        <v>55</v>
      </c>
      <c r="F8">
        <v>45.2</v>
      </c>
      <c r="G8">
        <v>50.01</v>
      </c>
      <c r="H8">
        <v>124.29</v>
      </c>
      <c r="I8">
        <v>126.46</v>
      </c>
      <c r="J8">
        <v>121.06</v>
      </c>
      <c r="K8">
        <v>119.62</v>
      </c>
      <c r="L8">
        <v>124.19</v>
      </c>
      <c r="M8">
        <v>120.23</v>
      </c>
      <c r="N8">
        <v>117.53</v>
      </c>
      <c r="O8">
        <v>108.48</v>
      </c>
      <c r="P8">
        <v>40.46</v>
      </c>
      <c r="Q8">
        <v>25.99</v>
      </c>
    </row>
    <row r="10" spans="1:19" s="93" customFormat="1" x14ac:dyDescent="0.25">
      <c r="A10" s="99" t="s">
        <v>1340</v>
      </c>
      <c r="B10" s="100" t="s">
        <v>256</v>
      </c>
      <c r="C10" s="100" t="s">
        <v>1178</v>
      </c>
      <c r="D10" s="100" t="s">
        <v>1335</v>
      </c>
      <c r="E10" s="100" t="s">
        <v>841</v>
      </c>
      <c r="F10" s="100" t="s">
        <v>1336</v>
      </c>
      <c r="G10" s="100" t="s">
        <v>380</v>
      </c>
      <c r="I10" s="99"/>
      <c r="L10" s="100" t="s">
        <v>1342</v>
      </c>
      <c r="N10" s="103" t="s">
        <v>1355</v>
      </c>
    </row>
    <row r="11" spans="1:19" s="93" customFormat="1" x14ac:dyDescent="0.25">
      <c r="A11" s="93" t="s">
        <v>1334</v>
      </c>
      <c r="B11" s="101">
        <f>GEB_Erg_Det_End_HZG_Abs!D3+GEB_Erg_Det_End_HZG_Abs!D8</f>
        <v>10915.64</v>
      </c>
      <c r="C11" s="101">
        <v>0</v>
      </c>
      <c r="D11" s="101">
        <v>0</v>
      </c>
      <c r="E11" s="101">
        <f>GEB_Erg_Norm_T8!D4</f>
        <v>7552.11</v>
      </c>
      <c r="F11" s="101">
        <v>0</v>
      </c>
      <c r="G11" s="101">
        <f>SUM(B11:F11)</f>
        <v>18467.75</v>
      </c>
      <c r="I11" s="101"/>
      <c r="L11" s="101">
        <f>E11-E14</f>
        <v>3400.46</v>
      </c>
      <c r="M11" s="100"/>
      <c r="N11" s="101">
        <f>'TGA_WE-HZG_Det_Abs'!C78</f>
        <v>3538.7700000000004</v>
      </c>
      <c r="O11" s="93" t="s">
        <v>1346</v>
      </c>
      <c r="R11" s="93">
        <v>3852</v>
      </c>
      <c r="S11" s="93" t="s">
        <v>1347</v>
      </c>
    </row>
    <row r="13" spans="1:19" s="93" customFormat="1" x14ac:dyDescent="0.25">
      <c r="A13" s="99" t="s">
        <v>1341</v>
      </c>
      <c r="B13" s="100" t="s">
        <v>256</v>
      </c>
      <c r="C13" s="100" t="s">
        <v>1178</v>
      </c>
      <c r="D13" s="100" t="s">
        <v>1335</v>
      </c>
      <c r="E13" s="100" t="s">
        <v>841</v>
      </c>
      <c r="F13" s="100" t="s">
        <v>1336</v>
      </c>
      <c r="G13" s="100" t="s">
        <v>380</v>
      </c>
      <c r="I13" s="99"/>
      <c r="J13" s="99"/>
      <c r="K13" s="100"/>
      <c r="L13" s="100"/>
      <c r="M13" s="100"/>
      <c r="N13" s="100"/>
      <c r="O13" s="100"/>
      <c r="P13" s="100"/>
    </row>
    <row r="14" spans="1:19" s="93" customFormat="1" x14ac:dyDescent="0.25">
      <c r="A14" s="93" t="s">
        <v>1334</v>
      </c>
      <c r="B14" s="101">
        <f>GEB_Erg_Det_End_HZG_Abs!D3+GEB_Erg_Det_End_HZG_Abs!D8</f>
        <v>10915.64</v>
      </c>
      <c r="C14" s="101">
        <v>0</v>
      </c>
      <c r="D14" s="101">
        <v>0</v>
      </c>
      <c r="E14" s="101">
        <f>GEB_Erg_Norm_T8!D4-GEB_Erg_Norm_T8!D7</f>
        <v>4151.6499999999996</v>
      </c>
      <c r="F14" s="101">
        <v>0</v>
      </c>
      <c r="G14" s="101">
        <f>SUM(B14:F14)</f>
        <v>15067.289999999999</v>
      </c>
      <c r="I14" s="101"/>
      <c r="J14" s="101"/>
      <c r="K14" s="101"/>
      <c r="L14" s="101"/>
      <c r="M14" s="101"/>
      <c r="N14" s="101"/>
      <c r="O14" s="101"/>
      <c r="P14" s="101"/>
    </row>
    <row r="16" spans="1:19" s="93" customFormat="1" x14ac:dyDescent="0.25">
      <c r="A16" s="99" t="s">
        <v>1337</v>
      </c>
      <c r="B16" s="100" t="s">
        <v>256</v>
      </c>
      <c r="C16" s="100" t="s">
        <v>1178</v>
      </c>
      <c r="D16" s="100" t="s">
        <v>1338</v>
      </c>
      <c r="E16" s="100" t="s">
        <v>841</v>
      </c>
      <c r="F16" s="100" t="s">
        <v>1336</v>
      </c>
      <c r="G16" s="100" t="s">
        <v>380</v>
      </c>
      <c r="I16" s="99"/>
      <c r="J16" s="99"/>
      <c r="K16" s="100"/>
      <c r="L16" s="100"/>
      <c r="M16" s="100"/>
      <c r="N16" s="100"/>
      <c r="O16" s="100"/>
      <c r="P16" s="100"/>
    </row>
    <row r="17" spans="1:17" s="93" customFormat="1" x14ac:dyDescent="0.25">
      <c r="A17" s="93" t="s">
        <v>1334</v>
      </c>
      <c r="B17" s="101">
        <f>GEB_Erg_Norm_T5!D47</f>
        <v>156.66</v>
      </c>
      <c r="C17" s="101">
        <v>0</v>
      </c>
      <c r="D17" s="101">
        <f>GEB_Erg_Norm_T5!D65</f>
        <v>1030.8399999999999</v>
      </c>
      <c r="E17" s="101">
        <f>GEB_Erg_Det_End_TWW_Abs!D4</f>
        <v>289.63</v>
      </c>
      <c r="F17" s="101">
        <v>0</v>
      </c>
      <c r="G17" s="101">
        <f>SUM(B17:F17)</f>
        <v>1477.13</v>
      </c>
      <c r="I17" s="101"/>
      <c r="J17" s="101"/>
      <c r="K17" s="101"/>
      <c r="L17" s="101"/>
      <c r="M17" s="101"/>
      <c r="N17" s="101"/>
      <c r="O17" s="101"/>
      <c r="P17" s="101"/>
    </row>
    <row r="19" spans="1:17" s="93" customFormat="1" x14ac:dyDescent="0.25">
      <c r="A19" s="99" t="s">
        <v>1291</v>
      </c>
      <c r="B19" s="100" t="s">
        <v>256</v>
      </c>
      <c r="C19" s="100" t="s">
        <v>1178</v>
      </c>
      <c r="D19" s="100" t="s">
        <v>1338</v>
      </c>
      <c r="E19" s="100" t="s">
        <v>1335</v>
      </c>
      <c r="F19" s="100" t="s">
        <v>841</v>
      </c>
      <c r="G19" s="100" t="s">
        <v>1336</v>
      </c>
      <c r="H19" s="100" t="s">
        <v>380</v>
      </c>
      <c r="J19" s="99"/>
      <c r="K19" s="100"/>
      <c r="L19" s="100"/>
      <c r="M19" s="100"/>
      <c r="N19" s="100"/>
      <c r="O19" s="100"/>
      <c r="P19" s="100"/>
      <c r="Q19" s="100"/>
    </row>
    <row r="20" spans="1:17" s="93" customFormat="1" x14ac:dyDescent="0.25">
      <c r="A20" s="93" t="s">
        <v>1334</v>
      </c>
      <c r="B20" s="101">
        <f>B14</f>
        <v>10915.64</v>
      </c>
      <c r="C20" s="101">
        <v>0</v>
      </c>
      <c r="D20" s="101">
        <v>0</v>
      </c>
      <c r="E20" s="101">
        <v>0</v>
      </c>
      <c r="F20" s="101">
        <f>E14</f>
        <v>4151.6499999999996</v>
      </c>
      <c r="G20" s="101">
        <v>0</v>
      </c>
      <c r="H20" s="101">
        <f>SUM(B20:G20)</f>
        <v>15067.289999999999</v>
      </c>
      <c r="I20" s="101"/>
      <c r="J20" s="101"/>
      <c r="K20" s="101"/>
      <c r="L20" s="101"/>
      <c r="M20" s="101"/>
      <c r="N20" s="101"/>
      <c r="O20" s="101"/>
      <c r="Q20" s="101"/>
    </row>
    <row r="22" spans="1:17" s="93" customFormat="1" x14ac:dyDescent="0.25">
      <c r="A22" s="99" t="s">
        <v>1160</v>
      </c>
      <c r="B22" s="100" t="s">
        <v>256</v>
      </c>
      <c r="C22" s="100" t="s">
        <v>1178</v>
      </c>
      <c r="D22" s="100" t="s">
        <v>1338</v>
      </c>
      <c r="E22" s="100" t="s">
        <v>1335</v>
      </c>
      <c r="F22" s="100" t="s">
        <v>841</v>
      </c>
      <c r="G22" s="100" t="s">
        <v>1336</v>
      </c>
      <c r="H22" s="100" t="s">
        <v>380</v>
      </c>
    </row>
    <row r="23" spans="1:17" s="93" customFormat="1" x14ac:dyDescent="0.25">
      <c r="A23" s="93" t="s">
        <v>1334</v>
      </c>
      <c r="B23" s="101">
        <f>B17</f>
        <v>156.66</v>
      </c>
      <c r="C23" s="101">
        <v>0</v>
      </c>
      <c r="D23" s="101">
        <f>D17</f>
        <v>1030.8399999999999</v>
      </c>
      <c r="E23" s="101">
        <v>0</v>
      </c>
      <c r="F23" s="101">
        <f>E17</f>
        <v>289.63</v>
      </c>
      <c r="G23" s="100">
        <v>0</v>
      </c>
      <c r="H23" s="101">
        <f>SUM(B23:G23)</f>
        <v>1477.13</v>
      </c>
      <c r="I23" s="101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-0.249977111117893"/>
  </sheetPr>
  <dimension ref="A1:Q8"/>
  <sheetViews>
    <sheetView showGridLines="0" workbookViewId="0"/>
  </sheetViews>
  <sheetFormatPr baseColWidth="10"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68</v>
      </c>
      <c r="B2" t="s">
        <v>87</v>
      </c>
      <c r="C2" t="s">
        <v>56</v>
      </c>
      <c r="D2" s="1">
        <v>12103.14</v>
      </c>
      <c r="E2" t="s">
        <v>55</v>
      </c>
      <c r="F2" s="1">
        <v>2432.84</v>
      </c>
      <c r="G2" s="1">
        <v>2017.65</v>
      </c>
      <c r="H2" s="1">
        <v>1502.22</v>
      </c>
      <c r="I2">
        <v>470.74</v>
      </c>
      <c r="J2">
        <v>83.79</v>
      </c>
      <c r="K2">
        <v>81.09</v>
      </c>
      <c r="L2">
        <v>83.79</v>
      </c>
      <c r="M2">
        <v>83.79</v>
      </c>
      <c r="N2">
        <v>123.02</v>
      </c>
      <c r="O2">
        <v>817.54</v>
      </c>
      <c r="P2" s="1">
        <v>1872.62</v>
      </c>
      <c r="Q2" s="1">
        <v>2534.0500000000002</v>
      </c>
    </row>
    <row r="3" spans="1:17" x14ac:dyDescent="0.25">
      <c r="A3" t="s">
        <v>71</v>
      </c>
      <c r="B3" t="s">
        <v>87</v>
      </c>
      <c r="C3" t="s">
        <v>56</v>
      </c>
      <c r="D3" s="1">
        <v>9283.4</v>
      </c>
      <c r="E3" t="s">
        <v>55</v>
      </c>
      <c r="F3" s="1">
        <v>1971.69</v>
      </c>
      <c r="G3" s="1">
        <v>1628.92</v>
      </c>
      <c r="H3" s="1">
        <v>1184.28</v>
      </c>
      <c r="I3">
        <v>312.58999999999997</v>
      </c>
      <c r="J3">
        <v>0</v>
      </c>
      <c r="K3">
        <v>0</v>
      </c>
      <c r="L3">
        <v>0</v>
      </c>
      <c r="M3">
        <v>0</v>
      </c>
      <c r="N3">
        <v>26.04</v>
      </c>
      <c r="O3">
        <v>602.41</v>
      </c>
      <c r="P3" s="1">
        <v>1500.36</v>
      </c>
      <c r="Q3" s="1">
        <v>2057.11</v>
      </c>
    </row>
    <row r="4" spans="1:17" x14ac:dyDescent="0.25">
      <c r="A4" t="s">
        <v>72</v>
      </c>
      <c r="B4" t="s">
        <v>96</v>
      </c>
      <c r="C4" t="s">
        <v>56</v>
      </c>
      <c r="D4">
        <v>156.66</v>
      </c>
      <c r="E4" t="s">
        <v>55</v>
      </c>
      <c r="F4">
        <v>26.98</v>
      </c>
      <c r="G4">
        <v>23.52</v>
      </c>
      <c r="H4">
        <v>22.42</v>
      </c>
      <c r="I4">
        <v>12.77</v>
      </c>
      <c r="J4">
        <v>0</v>
      </c>
      <c r="K4">
        <v>0</v>
      </c>
      <c r="L4">
        <v>0</v>
      </c>
      <c r="M4">
        <v>0</v>
      </c>
      <c r="N4">
        <v>1.38</v>
      </c>
      <c r="O4">
        <v>18.350000000000001</v>
      </c>
      <c r="P4">
        <v>23.8</v>
      </c>
      <c r="Q4">
        <v>27.44</v>
      </c>
    </row>
    <row r="5" spans="1:17" x14ac:dyDescent="0.25">
      <c r="A5" t="s">
        <v>74</v>
      </c>
      <c r="B5" t="s">
        <v>97</v>
      </c>
      <c r="C5" t="s">
        <v>56</v>
      </c>
      <c r="D5">
        <v>0</v>
      </c>
      <c r="E5" t="s">
        <v>55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76</v>
      </c>
      <c r="B6" t="s">
        <v>98</v>
      </c>
      <c r="C6" t="s">
        <v>56</v>
      </c>
      <c r="D6">
        <v>0</v>
      </c>
      <c r="E6" t="s">
        <v>55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 x14ac:dyDescent="0.25">
      <c r="A7" t="s">
        <v>78</v>
      </c>
      <c r="B7" t="s">
        <v>99</v>
      </c>
      <c r="C7" t="s">
        <v>56</v>
      </c>
      <c r="D7" s="1">
        <v>1030.8399999999999</v>
      </c>
      <c r="E7" t="s">
        <v>55</v>
      </c>
      <c r="F7">
        <v>90.73</v>
      </c>
      <c r="G7">
        <v>81.8</v>
      </c>
      <c r="H7">
        <v>89.94</v>
      </c>
      <c r="I7">
        <v>85.38</v>
      </c>
      <c r="J7">
        <v>83.79</v>
      </c>
      <c r="K7">
        <v>81.09</v>
      </c>
      <c r="L7">
        <v>83.79</v>
      </c>
      <c r="M7">
        <v>83.79</v>
      </c>
      <c r="N7">
        <v>83.02</v>
      </c>
      <c r="O7">
        <v>89.29</v>
      </c>
      <c r="P7">
        <v>87.41</v>
      </c>
      <c r="Q7">
        <v>90.81</v>
      </c>
    </row>
    <row r="8" spans="1:17" s="119" customFormat="1" x14ac:dyDescent="0.25">
      <c r="A8" s="119" t="s">
        <v>1247</v>
      </c>
      <c r="D8" s="117">
        <f>D2-D3-D4-D5-D6-D7</f>
        <v>1632.24</v>
      </c>
    </row>
  </sheetData>
  <pageMargins left="0.7" right="0.7" top="0.78740157499999996" bottom="0.78740157499999996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-0.249977111117893"/>
  </sheetPr>
  <dimension ref="A1:Q4"/>
  <sheetViews>
    <sheetView showGridLines="0" workbookViewId="0"/>
  </sheetViews>
  <sheetFormatPr baseColWidth="10" defaultRowHeight="15" x14ac:dyDescent="0.25"/>
  <cols>
    <col min="1" max="1" width="26.140625" bestFit="1" customWidth="1"/>
    <col min="2" max="2" width="12.8554687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85546875" bestFit="1" customWidth="1"/>
    <col min="7" max="7" width="7.42578125" bestFit="1" customWidth="1"/>
    <col min="8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66</v>
      </c>
      <c r="B2" t="s">
        <v>86</v>
      </c>
      <c r="C2" t="s">
        <v>56</v>
      </c>
      <c r="D2" s="1">
        <v>4441.2700000000004</v>
      </c>
      <c r="E2" t="s">
        <v>55</v>
      </c>
      <c r="F2">
        <v>525.63</v>
      </c>
      <c r="G2">
        <v>449.03</v>
      </c>
      <c r="H2">
        <v>384.67</v>
      </c>
      <c r="I2">
        <v>139.27000000000001</v>
      </c>
      <c r="J2">
        <v>319.74</v>
      </c>
      <c r="K2">
        <v>257.67</v>
      </c>
      <c r="L2">
        <v>251.62</v>
      </c>
      <c r="M2">
        <v>329.45</v>
      </c>
      <c r="N2">
        <v>337.43</v>
      </c>
      <c r="O2">
        <v>376.09</v>
      </c>
      <c r="P2">
        <v>482.93</v>
      </c>
      <c r="Q2">
        <v>587.75</v>
      </c>
    </row>
    <row r="3" spans="1:17" x14ac:dyDescent="0.25">
      <c r="A3" t="s">
        <v>82</v>
      </c>
      <c r="B3" t="s">
        <v>86</v>
      </c>
      <c r="C3" t="s">
        <v>56</v>
      </c>
      <c r="D3" s="1">
        <v>4151.6499999999996</v>
      </c>
      <c r="E3" t="s">
        <v>55</v>
      </c>
      <c r="F3">
        <v>514.98</v>
      </c>
      <c r="G3">
        <v>438.18</v>
      </c>
      <c r="H3">
        <v>367.2</v>
      </c>
      <c r="I3">
        <v>110.96</v>
      </c>
      <c r="J3">
        <v>282.47000000000003</v>
      </c>
      <c r="K3">
        <v>219.13</v>
      </c>
      <c r="L3">
        <v>211.22</v>
      </c>
      <c r="M3">
        <v>293.01</v>
      </c>
      <c r="N3">
        <v>304.31</v>
      </c>
      <c r="O3">
        <v>358.47</v>
      </c>
      <c r="P3">
        <v>471.52</v>
      </c>
      <c r="Q3">
        <v>580.19000000000005</v>
      </c>
    </row>
    <row r="4" spans="1:17" x14ac:dyDescent="0.25">
      <c r="A4" t="s">
        <v>81</v>
      </c>
      <c r="B4" t="s">
        <v>89</v>
      </c>
      <c r="C4" t="s">
        <v>56</v>
      </c>
      <c r="D4">
        <v>289.63</v>
      </c>
      <c r="E4" t="s">
        <v>55</v>
      </c>
      <c r="F4">
        <v>10.65</v>
      </c>
      <c r="G4">
        <v>10.85</v>
      </c>
      <c r="H4">
        <v>17.47</v>
      </c>
      <c r="I4">
        <v>28.31</v>
      </c>
      <c r="J4">
        <v>37.270000000000003</v>
      </c>
      <c r="K4">
        <v>38.53</v>
      </c>
      <c r="L4">
        <v>40.39</v>
      </c>
      <c r="M4">
        <v>36.44</v>
      </c>
      <c r="N4">
        <v>33.130000000000003</v>
      </c>
      <c r="O4">
        <v>17.62</v>
      </c>
      <c r="P4">
        <v>11.41</v>
      </c>
      <c r="Q4">
        <v>7.56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-0.249977111117893"/>
  </sheetPr>
  <dimension ref="A1:Q2"/>
  <sheetViews>
    <sheetView showGridLines="0" workbookViewId="0"/>
  </sheetViews>
  <sheetFormatPr baseColWidth="10" defaultRowHeight="15" x14ac:dyDescent="0.25"/>
  <cols>
    <col min="1" max="1" width="17.140625" bestFit="1" customWidth="1"/>
    <col min="2" max="2" width="12.85546875" bestFit="1" customWidth="1"/>
    <col min="3" max="3" width="6.5703125" bestFit="1" customWidth="1"/>
    <col min="4" max="4" width="7.85546875" bestFit="1" customWidth="1"/>
    <col min="5" max="5" width="12.85546875" bestFit="1" customWidth="1"/>
    <col min="6" max="6" width="6.42578125" bestFit="1" customWidth="1"/>
    <col min="7" max="7" width="7.42578125" bestFit="1" customWidth="1"/>
    <col min="8" max="13" width="6.85546875" bestFit="1" customWidth="1"/>
    <col min="14" max="14" width="9.85546875" bestFit="1" customWidth="1"/>
    <col min="15" max="15" width="7.5703125" bestFit="1" customWidth="1"/>
    <col min="16" max="16" width="9.5703125" bestFit="1" customWidth="1"/>
    <col min="17" max="17" width="9.42578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101</v>
      </c>
      <c r="B2" t="s">
        <v>100</v>
      </c>
      <c r="C2" t="s">
        <v>56</v>
      </c>
      <c r="D2" s="1">
        <v>1123.5</v>
      </c>
      <c r="E2" t="s">
        <v>55</v>
      </c>
      <c r="F2">
        <v>45.2</v>
      </c>
      <c r="G2">
        <v>50.01</v>
      </c>
      <c r="H2">
        <v>124.29</v>
      </c>
      <c r="I2">
        <v>126.46</v>
      </c>
      <c r="J2">
        <v>121.06</v>
      </c>
      <c r="K2">
        <v>119.62</v>
      </c>
      <c r="L2">
        <v>124.19</v>
      </c>
      <c r="M2">
        <v>120.23</v>
      </c>
      <c r="N2">
        <v>117.53</v>
      </c>
      <c r="O2">
        <v>108.48</v>
      </c>
      <c r="P2">
        <v>40.46</v>
      </c>
      <c r="Q2">
        <v>25.99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46</vt:i4>
      </vt:variant>
      <vt:variant>
        <vt:lpstr>Benannte Bereiche</vt:lpstr>
      </vt:variant>
      <vt:variant>
        <vt:i4>141</vt:i4>
      </vt:variant>
    </vt:vector>
  </HeadingPairs>
  <TitlesOfParts>
    <vt:vector size="187" baseType="lpstr">
      <vt:lpstr>DOKU</vt:lpstr>
      <vt:lpstr>GEB_Belüftung_Details_Abs</vt:lpstr>
      <vt:lpstr>GEB_Erg_Det_Nutz_All_Abs</vt:lpstr>
      <vt:lpstr>GEB_Erg_Det_Nutz_HZG_Abs</vt:lpstr>
      <vt:lpstr>GEB_Erg_Det_Nutz_TWW_Abs</vt:lpstr>
      <vt:lpstr>GEB_Erg_Det_End_All_Abs</vt:lpstr>
      <vt:lpstr>GEB_Erg_Det_End_HZG_Abs</vt:lpstr>
      <vt:lpstr>GEB_Erg_Det_End_TWW_Abs</vt:lpstr>
      <vt:lpstr>GEB_Erg_Det_End_Bon_Abs</vt:lpstr>
      <vt:lpstr>GEB_Erg_Det_Pri_All_Abs</vt:lpstr>
      <vt:lpstr>GEB_Erg_Det_Pri_HZG_Abs</vt:lpstr>
      <vt:lpstr>GEB_Erg_Det_Pri_TWW_Abs</vt:lpstr>
      <vt:lpstr>GEB_Erg_Det_Pri_Bon_Abs</vt:lpstr>
      <vt:lpstr>GEB_Erg_Det_E-Träger_Abs</vt:lpstr>
      <vt:lpstr>GEB_Erg_Norm_HT</vt:lpstr>
      <vt:lpstr>GEB_Erg_Norm_T2_HZG</vt:lpstr>
      <vt:lpstr>GEB_Erg_Norm_T5</vt:lpstr>
      <vt:lpstr>GEB_Erg_Norm_T8</vt:lpstr>
      <vt:lpstr>GEB_Erg_EnEV</vt:lpstr>
      <vt:lpstr>TGA_WE-HZG_Det_Abs</vt:lpstr>
      <vt:lpstr>TGA_WE-HZG_Erz_Det_Abs</vt:lpstr>
      <vt:lpstr>TGA_WE-TWW_Det_Abs</vt:lpstr>
      <vt:lpstr>TGA_WE-TWW_Erz1_Det_Abs</vt:lpstr>
      <vt:lpstr>TGA_WE-TWW_Erz2_Det_Abs</vt:lpstr>
      <vt:lpstr>TGA_EE-PV_Det_Abs</vt:lpstr>
      <vt:lpstr>TGA_VK-HZG_HK_Det_Abs</vt:lpstr>
      <vt:lpstr>TGA_VK-HZG_FBH_Det_Abs</vt:lpstr>
      <vt:lpstr>TGA_VK-TWW_Det_Abs</vt:lpstr>
      <vt:lpstr>TGA_TK-WLA_Det_Abs</vt:lpstr>
      <vt:lpstr>ERG_Erg_Nutz_All_Abs</vt:lpstr>
      <vt:lpstr>ERG_Erg_Nutz_HZG_Abs</vt:lpstr>
      <vt:lpstr>ERG_Erg_Nutz_TWW_Abs</vt:lpstr>
      <vt:lpstr>ERG_Erg_Nutz_WLA_Abs</vt:lpstr>
      <vt:lpstr>ERG_Erg_End_All_Abs</vt:lpstr>
      <vt:lpstr>ERG_Erg_End_HZG_Abs</vt:lpstr>
      <vt:lpstr>ERG_Erg_End_TWW_Abs</vt:lpstr>
      <vt:lpstr>ERG_Erg_End_WLA_Abs</vt:lpstr>
      <vt:lpstr>ERG_Erg_Pri_All_Abs</vt:lpstr>
      <vt:lpstr>ERG_Erg_Pri_HZG_Abs</vt:lpstr>
      <vt:lpstr>ERG_Erg_Pri_TWW_Abs</vt:lpstr>
      <vt:lpstr>ERG_Erg_Pri_WLA_Abs</vt:lpstr>
      <vt:lpstr>ERG_Erg_E-Träger_All_Abs</vt:lpstr>
      <vt:lpstr>ERG_Erg_E-Träger_Strom_Abs</vt:lpstr>
      <vt:lpstr>ERG_Erg_E-Träger_Heizöl_Abs</vt:lpstr>
      <vt:lpstr>ERG_Erg_Emission_CO2</vt:lpstr>
      <vt:lpstr>ERG_EnEV_Detail</vt:lpstr>
      <vt:lpstr>DOKU!_Toc17215762</vt:lpstr>
      <vt:lpstr>DOKU!_Toc17215763</vt:lpstr>
      <vt:lpstr>DOKU!_Toc17215764</vt:lpstr>
      <vt:lpstr>DOKU!_Toc17215765</vt:lpstr>
      <vt:lpstr>DOKU!_Toc17215766</vt:lpstr>
      <vt:lpstr>DOKU!_Toc17215767</vt:lpstr>
      <vt:lpstr>DOKU!_Toc17215768</vt:lpstr>
      <vt:lpstr>DOKU!_Toc17215769</vt:lpstr>
      <vt:lpstr>DOKU!_Toc17215770</vt:lpstr>
      <vt:lpstr>DOKU!_Toc17215771</vt:lpstr>
      <vt:lpstr>DOKU!_Toc17215772</vt:lpstr>
      <vt:lpstr>DOKU!_Toc17215773</vt:lpstr>
      <vt:lpstr>DOKU!_Toc17215774</vt:lpstr>
      <vt:lpstr>DOKU!_Toc17215776</vt:lpstr>
      <vt:lpstr>DOKU!_Toc17215778</vt:lpstr>
      <vt:lpstr>DOKU!_Toc17215779</vt:lpstr>
      <vt:lpstr>DOKU!_Toc17215780</vt:lpstr>
      <vt:lpstr>DOKU!_Toc17215781</vt:lpstr>
      <vt:lpstr>DOKU!_Toc17215782</vt:lpstr>
      <vt:lpstr>DOKU!_Toc17215784</vt:lpstr>
      <vt:lpstr>DOKU!_Toc17215785</vt:lpstr>
      <vt:lpstr>DOKU!_Toc17215786</vt:lpstr>
      <vt:lpstr>DOKU!_Toc17215787</vt:lpstr>
      <vt:lpstr>DOKU!_Toc17215788</vt:lpstr>
      <vt:lpstr>DOKU!_Toc17215789</vt:lpstr>
      <vt:lpstr>DOKU!_Toc17215790</vt:lpstr>
      <vt:lpstr>DOKU!_Toc17215791</vt:lpstr>
      <vt:lpstr>DOKU!_Toc17215794</vt:lpstr>
      <vt:lpstr>DOKU!_Toc17215795</vt:lpstr>
      <vt:lpstr>DOKU!_Toc17215796</vt:lpstr>
      <vt:lpstr>DOKU!_Toc17215797</vt:lpstr>
      <vt:lpstr>DOKU!_Toc17215798</vt:lpstr>
      <vt:lpstr>DOKU!_Toc17215799</vt:lpstr>
      <vt:lpstr>DOKU!_Toc17215800</vt:lpstr>
      <vt:lpstr>DOKU!_Toc17215801</vt:lpstr>
      <vt:lpstr>DOKU!_Toc17215803</vt:lpstr>
      <vt:lpstr>DOKU!_Toc17215804</vt:lpstr>
      <vt:lpstr>DOKU!_Toc17215805</vt:lpstr>
      <vt:lpstr>DOKU!_Toc17215806</vt:lpstr>
      <vt:lpstr>DOKU!_Toc17215807</vt:lpstr>
      <vt:lpstr>DOKU!_Toc17215808</vt:lpstr>
      <vt:lpstr>DOKU!_Toc17215809</vt:lpstr>
      <vt:lpstr>DOKU!_Toc17215811</vt:lpstr>
      <vt:lpstr>DOKU!_Toc17215812</vt:lpstr>
      <vt:lpstr>DOKU!_Toc17215813</vt:lpstr>
      <vt:lpstr>DOKU!_Toc17215814</vt:lpstr>
      <vt:lpstr>DOKU!_Toc17215815</vt:lpstr>
      <vt:lpstr>DOKU!_Toc17215816</vt:lpstr>
      <vt:lpstr>DOKU!_Toc17215817</vt:lpstr>
      <vt:lpstr>DOKU!_Toc17215818</vt:lpstr>
      <vt:lpstr>DOKU!_Toc17215819</vt:lpstr>
      <vt:lpstr>DOKU!_Toc17215820</vt:lpstr>
      <vt:lpstr>DOKU!_Toc17215821</vt:lpstr>
      <vt:lpstr>DOKU!_Toc17215822</vt:lpstr>
      <vt:lpstr>DOKU!_Toc17215823</vt:lpstr>
      <vt:lpstr>DOKU!_Toc17215824</vt:lpstr>
      <vt:lpstr>DOKU!_Toc17215825</vt:lpstr>
      <vt:lpstr>DOKU!_Toc17215826</vt:lpstr>
      <vt:lpstr>DOKU!_Toc17215827</vt:lpstr>
      <vt:lpstr>DOKU!_Toc17215828</vt:lpstr>
      <vt:lpstr>DOKU!_Toc17215830</vt:lpstr>
      <vt:lpstr>DOKU!_Toc17215831</vt:lpstr>
      <vt:lpstr>DOKU!_Toc17215832</vt:lpstr>
      <vt:lpstr>DOKU!_Toc17215833</vt:lpstr>
      <vt:lpstr>DOKU!_Toc17215834</vt:lpstr>
      <vt:lpstr>DOKU!_Toc17215835</vt:lpstr>
      <vt:lpstr>DOKU!_Toc17215836</vt:lpstr>
      <vt:lpstr>DOKU!_Toc17215837</vt:lpstr>
      <vt:lpstr>DOKU!_Toc17215838</vt:lpstr>
      <vt:lpstr>DOKU!_Toc17215840</vt:lpstr>
      <vt:lpstr>DOKU!_Toc17215842</vt:lpstr>
      <vt:lpstr>DOKU!_Toc17215843</vt:lpstr>
      <vt:lpstr>DOKU!_Toc17215844</vt:lpstr>
      <vt:lpstr>DOKU!_Toc17215845</vt:lpstr>
      <vt:lpstr>DOKU!_Toc17215846</vt:lpstr>
      <vt:lpstr>DOKU!_Toc17215847</vt:lpstr>
      <vt:lpstr>DOKU!_Toc17215848</vt:lpstr>
      <vt:lpstr>DOKU!_Toc17215850</vt:lpstr>
      <vt:lpstr>DOKU!_Toc17215851</vt:lpstr>
      <vt:lpstr>DOKU!_Toc17215852</vt:lpstr>
      <vt:lpstr>DOKU!_Toc17215853</vt:lpstr>
      <vt:lpstr>DOKU!_Toc17215854</vt:lpstr>
      <vt:lpstr>DOKU!_Toc17215855</vt:lpstr>
      <vt:lpstr>DOKU!_Toc17215856</vt:lpstr>
      <vt:lpstr>DOKU!_Toc17215858</vt:lpstr>
      <vt:lpstr>DOKU!_Toc17215859</vt:lpstr>
      <vt:lpstr>DOKU!_Toc17215860</vt:lpstr>
      <vt:lpstr>DOKU!_Toc17215866</vt:lpstr>
      <vt:lpstr>DOKU!_Toc17215871</vt:lpstr>
      <vt:lpstr>DOKU!_Toc17215879</vt:lpstr>
      <vt:lpstr>DOKU!_Toc17215892</vt:lpstr>
      <vt:lpstr>DOKU!_Toc17215905</vt:lpstr>
      <vt:lpstr>DOKU!_Toc17215906</vt:lpstr>
      <vt:lpstr>DOKU!_Toc17215913</vt:lpstr>
      <vt:lpstr>DOKU!_Toc17215914</vt:lpstr>
      <vt:lpstr>DOKU!_Toc17215915</vt:lpstr>
      <vt:lpstr>DOKU!_Toc17215916</vt:lpstr>
      <vt:lpstr>DOKU!_Toc17215917</vt:lpstr>
      <vt:lpstr>DOKU!_Toc17215920</vt:lpstr>
      <vt:lpstr>DOKU!_Toc17215921</vt:lpstr>
      <vt:lpstr>DOKU!_Toc17215922</vt:lpstr>
      <vt:lpstr>DOKU!_Toc30794887</vt:lpstr>
      <vt:lpstr>DOKU!_Toc30794898</vt:lpstr>
      <vt:lpstr>DOKU!_Toc30794900</vt:lpstr>
      <vt:lpstr>DOKU!_Toc30794906</vt:lpstr>
      <vt:lpstr>DOKU!_Toc30794915</vt:lpstr>
      <vt:lpstr>DOKU!_Toc30794916</vt:lpstr>
      <vt:lpstr>DOKU!_Toc30794917</vt:lpstr>
      <vt:lpstr>DOKU!_Toc30794922</vt:lpstr>
      <vt:lpstr>DOKU!_Toc30794926</vt:lpstr>
      <vt:lpstr>DOKU!_Toc30794934</vt:lpstr>
      <vt:lpstr>DOKU!_Toc30794945</vt:lpstr>
      <vt:lpstr>DOKU!_Toc30794949</vt:lpstr>
      <vt:lpstr>DOKU!_Toc30794954</vt:lpstr>
      <vt:lpstr>DOKU!_Toc30794955</vt:lpstr>
      <vt:lpstr>DOKU!_Toc30794956</vt:lpstr>
      <vt:lpstr>DOKU!_Toc30794966</vt:lpstr>
      <vt:lpstr>DOKU!_Toc30794967</vt:lpstr>
      <vt:lpstr>DOKU!_Toc30794969</vt:lpstr>
      <vt:lpstr>DOKU!_Toc30794970</vt:lpstr>
      <vt:lpstr>DOKU!_Toc30794974</vt:lpstr>
      <vt:lpstr>DOKU!_Toc30794978</vt:lpstr>
      <vt:lpstr>DOKU!_Toc30794979</vt:lpstr>
      <vt:lpstr>DOKU!_Toc30794985</vt:lpstr>
      <vt:lpstr>DOKU!_Toc30794986</vt:lpstr>
      <vt:lpstr>DOKU!_Toc30794987</vt:lpstr>
      <vt:lpstr>DOKU!_Toc30794990</vt:lpstr>
      <vt:lpstr>DOKU!_Toc30794991</vt:lpstr>
      <vt:lpstr>DOKU!_Toc30794992</vt:lpstr>
      <vt:lpstr>DOKU!_Toc30794993</vt:lpstr>
      <vt:lpstr>DOKU!_Toc30795001</vt:lpstr>
      <vt:lpstr>DOKU!_Toc30795034</vt:lpstr>
      <vt:lpstr>DOKU!_Toc30795044</vt:lpstr>
      <vt:lpstr>DOKU!_Toc30795048</vt:lpstr>
      <vt:lpstr>DOKU!_Toc30795049</vt:lpstr>
      <vt:lpstr>DOKU!_Toc30795050</vt:lpstr>
      <vt:lpstr>DOKU!_Toc30795058</vt:lpstr>
      <vt:lpstr>DOKU!_Toc30795059</vt:lpstr>
      <vt:lpstr>DOKU!_Toc30795063</vt:lpstr>
      <vt:lpstr>DOKU!_Toc30795064</vt:lpstr>
      <vt:lpstr>DOKU!_Toc30795065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Lutz Dorsch</dc:creator>
  <cp:lastModifiedBy>Kati Jagnow</cp:lastModifiedBy>
  <dcterms:created xsi:type="dcterms:W3CDTF">2020-02-01T20:08:13Z</dcterms:created>
  <dcterms:modified xsi:type="dcterms:W3CDTF">2020-03-17T09:37:51Z</dcterms:modified>
</cp:coreProperties>
</file>