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ink/ink1.xml" ContentType="application/inkml+xml"/>
  <Override PartName="/xl/ink/ink2.xml" ContentType="application/inkml+xml"/>
  <Override PartName="/xl/ink/ink3.xml" ContentType="application/inkml+xml"/>
  <Override PartName="/xl/ink/ink4.xml" ContentType="application/inkml+xml"/>
  <Override PartName="/xl/ink/ink5.xml" ContentType="application/inkml+xml"/>
  <Override PartName="/xl/ink/ink6.xml" ContentType="application/inkml+xml"/>
  <Override PartName="/xl/ink/ink7.xml" ContentType="application/inkml+xml"/>
  <Override PartName="/xl/ink/ink8.xml" ContentType="application/inkml+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autoCompressPictures="0" defaultThemeVersion="202300"/>
  <mc:AlternateContent xmlns:mc="http://schemas.openxmlformats.org/markup-compatibility/2006">
    <mc:Choice Requires="x15">
      <x15ac:absPath xmlns:x15ac="http://schemas.microsoft.com/office/spreadsheetml/2010/11/ac" url="C:\DATEN\50 Projekte\2025 - Oldenburg\H-Wert Rechner\"/>
    </mc:Choice>
  </mc:AlternateContent>
  <xr:revisionPtr revIDLastSave="0" documentId="13_ncr:1_{21A7F935-DBBB-4374-9FDE-684192ABE7DF}" xr6:coauthVersionLast="47" xr6:coauthVersionMax="47" xr10:uidLastSave="{00000000-0000-0000-0000-000000000000}"/>
  <bookViews>
    <workbookView xWindow="-110" yWindow="-110" windowWidth="19420" windowHeight="11500" tabRatio="815" xr2:uid="{F055139C-8103-4C62-8710-D03E979B084A}"/>
  </bookViews>
  <sheets>
    <sheet name="Ein- und Ausgabe" sheetId="4" r:id="rId1"/>
    <sheet name="Berechnung" sheetId="1" r:id="rId2"/>
    <sheet name="DB_Ampel_Temp" sheetId="7" r:id="rId3"/>
    <sheet name="DB_Nutzung" sheetId="5" r:id="rId4"/>
    <sheet name="DB_Geometrie" sheetId="2" r:id="rId5"/>
    <sheet name="DB_Hülle" sheetId="3" r:id="rId6"/>
    <sheet name="DB_QS&amp;Rest" sheetId="6" r:id="rId7"/>
  </sheets>
  <calcPr calcId="191029"/>
  <extLst>
    <ext xmlns:x14="http://schemas.microsoft.com/office/spreadsheetml/2009/9/main" uri="{79F54976-1DA5-4618-B147-4CDE4B953A38}">
      <x14:workbookPr defaultImageDpi="32767" discardImageEditData="1"/>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21" i="7" l="1"/>
  <c r="D22" i="7"/>
  <c r="D23" i="7"/>
  <c r="D24" i="7"/>
  <c r="D20" i="7"/>
  <c r="D15" i="7"/>
  <c r="D16" i="7"/>
  <c r="D14" i="7"/>
  <c r="D13" i="7"/>
  <c r="D12" i="7"/>
  <c r="H106" i="1" l="1"/>
  <c r="G106" i="1"/>
  <c r="H68" i="4" s="1"/>
  <c r="H103" i="1"/>
  <c r="N95" i="1"/>
  <c r="N65" i="1"/>
  <c r="H18" i="1"/>
  <c r="J38" i="1"/>
  <c r="N2" i="1"/>
  <c r="F15" i="1" s="1"/>
  <c r="G97" i="1"/>
  <c r="F97" i="1"/>
  <c r="E97" i="1"/>
  <c r="N92" i="1"/>
  <c r="N93" i="1" s="1"/>
  <c r="I106" i="1" s="1"/>
  <c r="H120" i="1"/>
  <c r="H119" i="1"/>
  <c r="F80" i="6"/>
  <c r="F116" i="1" s="1"/>
  <c r="E80" i="6"/>
  <c r="F115" i="1" s="1"/>
  <c r="N114" i="1"/>
  <c r="N115" i="1" s="1"/>
  <c r="F109" i="1"/>
  <c r="F110" i="1"/>
  <c r="F111" i="1"/>
  <c r="F112" i="1"/>
  <c r="F108" i="1"/>
  <c r="N3" i="1" l="1"/>
  <c r="E23" i="1"/>
  <c r="E99" i="1"/>
  <c r="F99" i="1"/>
  <c r="G99" i="1"/>
  <c r="G98" i="1"/>
  <c r="G24" i="1"/>
  <c r="F98" i="1"/>
  <c r="F24" i="1"/>
  <c r="E98" i="1"/>
  <c r="F23" i="1"/>
  <c r="G23" i="1"/>
  <c r="E24" i="1"/>
  <c r="E15" i="1"/>
  <c r="E18" i="1" s="1"/>
  <c r="G15" i="1"/>
  <c r="F120" i="1" a="1"/>
  <c r="F120" i="1" s="1"/>
  <c r="C142" i="1" l="1"/>
  <c r="C138" i="1"/>
  <c r="F138" i="1" s="1"/>
  <c r="G100" i="1"/>
  <c r="F100" i="1"/>
  <c r="F103" i="1"/>
  <c r="E103" i="1"/>
  <c r="E100" i="1"/>
  <c r="H28" i="1"/>
  <c r="H27" i="1"/>
  <c r="N21" i="1"/>
  <c r="F28" i="1" s="1"/>
  <c r="N20" i="1"/>
  <c r="N11" i="1"/>
  <c r="F18" i="1" s="1"/>
  <c r="K142" i="1" l="1"/>
  <c r="J142" i="1"/>
  <c r="F142" i="1"/>
  <c r="G142" i="1"/>
  <c r="G103" i="1"/>
  <c r="I103" i="1"/>
  <c r="F27" i="1"/>
  <c r="G27" i="1" s="1"/>
  <c r="K101" i="5"/>
  <c r="K102" i="5"/>
  <c r="K103" i="5"/>
  <c r="K104" i="5"/>
  <c r="K105" i="5"/>
  <c r="K100" i="5"/>
  <c r="N111" i="1"/>
  <c r="J84" i="1"/>
  <c r="J83" i="1"/>
  <c r="J82" i="1"/>
  <c r="J81" i="1"/>
  <c r="J80" i="1"/>
  <c r="N89" i="1"/>
  <c r="N86" i="1"/>
  <c r="N83" i="1"/>
  <c r="N80" i="1"/>
  <c r="N77" i="1"/>
  <c r="G84" i="1"/>
  <c r="G83" i="1"/>
  <c r="G82" i="1"/>
  <c r="G81" i="1"/>
  <c r="G80" i="1"/>
  <c r="B78" i="1" l="1"/>
  <c r="B79" i="1"/>
  <c r="B80" i="1"/>
  <c r="B81" i="1"/>
  <c r="B82" i="1"/>
  <c r="B83" i="1"/>
  <c r="B84" i="1"/>
  <c r="B77" i="1"/>
  <c r="N87" i="1" s="1"/>
  <c r="D112" i="1"/>
  <c r="D113" i="1"/>
  <c r="D109" i="1"/>
  <c r="D110" i="1"/>
  <c r="D111" i="1"/>
  <c r="D108" i="1"/>
  <c r="N112" i="1" s="1"/>
  <c r="F119" i="1" s="1" a="1"/>
  <c r="F119" i="1" s="1"/>
  <c r="D115" i="1"/>
  <c r="N108" i="1"/>
  <c r="N109" i="1" s="1"/>
  <c r="E120" i="1" l="1"/>
  <c r="N84" i="1"/>
  <c r="H82" i="1" s="1" a="1"/>
  <c r="H82" i="1" s="1"/>
  <c r="I82" i="1" s="1"/>
  <c r="H84" i="4" s="1"/>
  <c r="N81" i="1"/>
  <c r="H81" i="1" s="1" a="1"/>
  <c r="H81" i="1" s="1"/>
  <c r="I81" i="1" s="1"/>
  <c r="H82" i="4" s="1"/>
  <c r="N78" i="1"/>
  <c r="H80" i="1" s="1" a="1"/>
  <c r="H80" i="1" s="1"/>
  <c r="I80" i="1" s="1"/>
  <c r="H80" i="4" s="1"/>
  <c r="N90" i="1"/>
  <c r="H84" i="1" s="1" a="1"/>
  <c r="H84" i="1" s="1"/>
  <c r="I84" i="1" s="1"/>
  <c r="H88" i="4" s="1"/>
  <c r="H83" i="1" l="1" a="1"/>
  <c r="H83" i="1" s="1"/>
  <c r="K83" i="1" s="1"/>
  <c r="E73" i="1" s="1"/>
  <c r="G120" i="1"/>
  <c r="H78" i="4" s="1"/>
  <c r="I120" i="1"/>
  <c r="K80" i="1"/>
  <c r="E70" i="1" s="1"/>
  <c r="K84" i="1"/>
  <c r="E74" i="1" s="1"/>
  <c r="K82" i="1"/>
  <c r="E72" i="1" s="1"/>
  <c r="K81" i="1"/>
  <c r="E71" i="1" s="1"/>
  <c r="N59" i="1"/>
  <c r="N62" i="1"/>
  <c r="N56" i="1"/>
  <c r="N53" i="1"/>
  <c r="N50" i="1"/>
  <c r="B31" i="1"/>
  <c r="B32" i="1"/>
  <c r="B33" i="1"/>
  <c r="B34" i="1"/>
  <c r="B35" i="1"/>
  <c r="B36" i="1"/>
  <c r="B37" i="1"/>
  <c r="B38" i="1"/>
  <c r="B39" i="1"/>
  <c r="B40" i="1"/>
  <c r="B41" i="1"/>
  <c r="B42" i="1"/>
  <c r="B43" i="1"/>
  <c r="B44" i="1"/>
  <c r="B45" i="1"/>
  <c r="B46" i="1"/>
  <c r="B47" i="1"/>
  <c r="B30" i="1"/>
  <c r="N30" i="1"/>
  <c r="H66" i="1"/>
  <c r="H65" i="1"/>
  <c r="H64" i="1"/>
  <c r="H63" i="1"/>
  <c r="H62" i="1"/>
  <c r="H51" i="1"/>
  <c r="H52" i="1"/>
  <c r="H53" i="1"/>
  <c r="H54" i="1"/>
  <c r="H55" i="1"/>
  <c r="H56" i="1"/>
  <c r="H50" i="1"/>
  <c r="F51" i="1"/>
  <c r="F52" i="1"/>
  <c r="F53" i="1"/>
  <c r="F54" i="1"/>
  <c r="F55" i="1"/>
  <c r="F56" i="1"/>
  <c r="F50" i="1"/>
  <c r="D51" i="1"/>
  <c r="D52" i="1"/>
  <c r="D53" i="1"/>
  <c r="D54" i="1"/>
  <c r="D55" i="1"/>
  <c r="D56" i="1"/>
  <c r="D50" i="1"/>
  <c r="N66" i="1" s="1"/>
  <c r="I75" i="3"/>
  <c r="J75" i="3" s="1"/>
  <c r="K75" i="3" s="1"/>
  <c r="I73" i="3"/>
  <c r="J73" i="3" s="1"/>
  <c r="K73" i="3" s="1"/>
  <c r="I76" i="3"/>
  <c r="J76" i="3" s="1"/>
  <c r="K76" i="3" s="1"/>
  <c r="I74" i="3"/>
  <c r="J74" i="3" s="1"/>
  <c r="K74" i="3" s="1"/>
  <c r="I72" i="3"/>
  <c r="J72" i="3" s="1"/>
  <c r="K72" i="3" s="1"/>
  <c r="I71" i="3"/>
  <c r="J71" i="3" s="1"/>
  <c r="K71" i="3" s="1"/>
  <c r="B62" i="1"/>
  <c r="B63" i="1"/>
  <c r="B51" i="1"/>
  <c r="B52" i="1"/>
  <c r="B53" i="1"/>
  <c r="B54" i="1"/>
  <c r="B55" i="1"/>
  <c r="B56" i="1"/>
  <c r="B57" i="1"/>
  <c r="B58" i="1"/>
  <c r="B59" i="1"/>
  <c r="B60" i="1"/>
  <c r="B61" i="1"/>
  <c r="B50" i="1"/>
  <c r="U139" i="2"/>
  <c r="T139" i="2" s="1"/>
  <c r="U138" i="2"/>
  <c r="U144" i="2"/>
  <c r="U150" i="2"/>
  <c r="T150" i="2"/>
  <c r="T144" i="2"/>
  <c r="T138" i="2"/>
  <c r="X150" i="2"/>
  <c r="U153" i="2" s="1"/>
  <c r="X144" i="2"/>
  <c r="U145" i="2" s="1"/>
  <c r="V152" i="2"/>
  <c r="V150" i="2"/>
  <c r="V145" i="2"/>
  <c r="W139" i="2"/>
  <c r="V139" i="2"/>
  <c r="V144" i="2"/>
  <c r="V148" i="2"/>
  <c r="V151" i="2"/>
  <c r="V153" i="2"/>
  <c r="W144" i="2"/>
  <c r="W145" i="2"/>
  <c r="W148" i="2"/>
  <c r="W150" i="2"/>
  <c r="W151" i="2"/>
  <c r="W152" i="2"/>
  <c r="W153" i="2"/>
  <c r="V138" i="2"/>
  <c r="S138" i="2"/>
  <c r="R150" i="2"/>
  <c r="R149" i="2" s="1"/>
  <c r="J149" i="2" s="1"/>
  <c r="R144" i="2"/>
  <c r="R147" i="2" s="1"/>
  <c r="J147" i="2" s="1"/>
  <c r="R138" i="2"/>
  <c r="R141" i="2" s="1"/>
  <c r="S139" i="2"/>
  <c r="S144" i="2"/>
  <c r="S145" i="2"/>
  <c r="S148" i="2"/>
  <c r="S150" i="2"/>
  <c r="S151" i="2"/>
  <c r="S152" i="2"/>
  <c r="S153" i="2"/>
  <c r="J45" i="1"/>
  <c r="J44" i="1"/>
  <c r="J39" i="1"/>
  <c r="J40" i="1"/>
  <c r="J41" i="1"/>
  <c r="J42" i="1"/>
  <c r="Q154" i="2"/>
  <c r="M148" i="2"/>
  <c r="P148" i="2" s="1"/>
  <c r="M144" i="2"/>
  <c r="Q144" i="2" s="1"/>
  <c r="Q155" i="2"/>
  <c r="Q146" i="2"/>
  <c r="Q147" i="2"/>
  <c r="Q149" i="2"/>
  <c r="Q140" i="2"/>
  <c r="N149" i="2"/>
  <c r="N155" i="2"/>
  <c r="F143" i="2"/>
  <c r="D143" i="2"/>
  <c r="N143" i="2"/>
  <c r="I143" i="2"/>
  <c r="I142" i="2"/>
  <c r="F142" i="2"/>
  <c r="D142" i="2"/>
  <c r="N142" i="2"/>
  <c r="F141" i="2"/>
  <c r="D141" i="2"/>
  <c r="N141" i="2"/>
  <c r="N140" i="2"/>
  <c r="M151" i="2"/>
  <c r="P151" i="2" s="1"/>
  <c r="M152" i="2"/>
  <c r="P152" i="2" s="1"/>
  <c r="M153" i="2"/>
  <c r="P153" i="2" s="1"/>
  <c r="M145" i="2"/>
  <c r="P145" i="2" s="1"/>
  <c r="M139" i="2"/>
  <c r="P139" i="2" s="1"/>
  <c r="L138" i="2"/>
  <c r="O138" i="2" s="1"/>
  <c r="L150" i="2"/>
  <c r="L144" i="2"/>
  <c r="M138" i="2"/>
  <c r="Q138" i="2" s="1"/>
  <c r="M150" i="2"/>
  <c r="Q150" i="2" s="1"/>
  <c r="X138" i="2"/>
  <c r="O151" i="2"/>
  <c r="O152" i="2"/>
  <c r="O153" i="2"/>
  <c r="O145" i="2"/>
  <c r="O139" i="2"/>
  <c r="O148" i="2"/>
  <c r="W138" i="2"/>
  <c r="R139" i="2"/>
  <c r="K139" i="2" s="1"/>
  <c r="N139" i="2" s="1"/>
  <c r="E9" i="1"/>
  <c r="G18" i="1" s="1"/>
  <c r="I18" i="1" s="1"/>
  <c r="N54" i="1" l="1"/>
  <c r="F62" i="1" s="1" a="1"/>
  <c r="F62" i="1" s="1"/>
  <c r="N63" i="1"/>
  <c r="F65" i="1" s="1" a="1"/>
  <c r="F65" i="1" s="1"/>
  <c r="N51" i="1"/>
  <c r="E62" i="1" s="1" a="1"/>
  <c r="E62" i="1" s="1"/>
  <c r="N57" i="1"/>
  <c r="F63" i="1" s="1" a="1"/>
  <c r="F63" i="1" s="1"/>
  <c r="N31" i="1"/>
  <c r="H31" i="1" s="1" a="1"/>
  <c r="H31" i="1" s="1"/>
  <c r="N60" i="1"/>
  <c r="F64" i="1" s="1" a="1"/>
  <c r="F64" i="1" s="1"/>
  <c r="I83" i="1"/>
  <c r="H86" i="4" s="1"/>
  <c r="F66" i="1" a="1"/>
  <c r="F66" i="1" s="1"/>
  <c r="U148" i="2"/>
  <c r="T148" i="2" s="1"/>
  <c r="X148" i="2" s="1"/>
  <c r="T145" i="2"/>
  <c r="X145" i="2" s="1"/>
  <c r="T153" i="2"/>
  <c r="X153" i="2" s="1"/>
  <c r="U147" i="2"/>
  <c r="T147" i="2" s="1"/>
  <c r="X147" i="2" s="1"/>
  <c r="W147" i="2"/>
  <c r="S147" i="2"/>
  <c r="V147" i="2"/>
  <c r="U149" i="2"/>
  <c r="T149" i="2" s="1"/>
  <c r="X149" i="2" s="1"/>
  <c r="V149" i="2"/>
  <c r="W149" i="2"/>
  <c r="S149" i="2"/>
  <c r="U151" i="2"/>
  <c r="U152" i="2"/>
  <c r="P144" i="2"/>
  <c r="P146" i="2" s="1"/>
  <c r="L146" i="2" s="1"/>
  <c r="R148" i="2"/>
  <c r="K148" i="2" s="1"/>
  <c r="N148" i="2" s="1"/>
  <c r="R155" i="2"/>
  <c r="J155" i="2" s="1"/>
  <c r="Q142" i="2"/>
  <c r="R154" i="2"/>
  <c r="J154" i="2" s="1"/>
  <c r="R146" i="2"/>
  <c r="J146" i="2" s="1"/>
  <c r="O144" i="2"/>
  <c r="R140" i="2"/>
  <c r="J140" i="2" s="1"/>
  <c r="R145" i="2"/>
  <c r="K145" i="2" s="1"/>
  <c r="N145" i="2" s="1"/>
  <c r="R142" i="2"/>
  <c r="J142" i="2" s="1"/>
  <c r="J141" i="2"/>
  <c r="S141" i="2" s="1"/>
  <c r="Q141" i="2"/>
  <c r="Q143" i="2"/>
  <c r="R143" i="2"/>
  <c r="J143" i="2" s="1"/>
  <c r="S143" i="2" s="1"/>
  <c r="R151" i="2"/>
  <c r="R152" i="2"/>
  <c r="K152" i="2" s="1"/>
  <c r="N152" i="2" s="1"/>
  <c r="P138" i="2"/>
  <c r="P140" i="2" s="1"/>
  <c r="L140" i="2" s="1"/>
  <c r="P150" i="2"/>
  <c r="O150" i="2"/>
  <c r="X139" i="2"/>
  <c r="H33" i="1" l="1" a="1"/>
  <c r="H33" i="1" s="1"/>
  <c r="I33" i="1" s="1"/>
  <c r="I38" i="1" s="1"/>
  <c r="E29" i="4" s="1"/>
  <c r="H66" i="4"/>
  <c r="E28" i="1"/>
  <c r="I28" i="1"/>
  <c r="E27" i="1"/>
  <c r="E66" i="1" a="1"/>
  <c r="E66" i="1" s="1"/>
  <c r="G66" i="1" s="1"/>
  <c r="H58" i="4" s="1"/>
  <c r="G62" i="1"/>
  <c r="H36" i="1" a="1"/>
  <c r="H36" i="1" s="1"/>
  <c r="H41" i="1" s="1" a="1"/>
  <c r="H41" i="1" s="1"/>
  <c r="H37" i="1" a="1"/>
  <c r="H37" i="1" s="1"/>
  <c r="I37" i="1" s="1"/>
  <c r="I42" i="1" s="1"/>
  <c r="E33" i="4" s="1"/>
  <c r="I31" i="1"/>
  <c r="H45" i="1" a="1"/>
  <c r="H45" i="1" s="1"/>
  <c r="H32" i="1" a="1"/>
  <c r="H32" i="1" s="1"/>
  <c r="I32" i="1" s="1"/>
  <c r="E39" i="4" s="1"/>
  <c r="H35" i="1" a="1"/>
  <c r="H35" i="1" s="1"/>
  <c r="H48" i="1" a="1"/>
  <c r="H48" i="1" s="1"/>
  <c r="E40" i="4" s="1"/>
  <c r="I62" i="1"/>
  <c r="D70" i="1" s="1"/>
  <c r="E64" i="1" a="1"/>
  <c r="E64" i="1" s="1"/>
  <c r="G64" i="1" s="1"/>
  <c r="H54" i="4" s="1"/>
  <c r="H44" i="1" a="1"/>
  <c r="H44" i="1" s="1"/>
  <c r="E63" i="1" a="1"/>
  <c r="E63" i="1" s="1"/>
  <c r="I63" i="1" s="1"/>
  <c r="D71" i="1" s="1"/>
  <c r="E65" i="1" a="1"/>
  <c r="E65" i="1" s="1"/>
  <c r="I65" i="1" s="1"/>
  <c r="D73" i="1" s="1"/>
  <c r="U141" i="2"/>
  <c r="T141" i="2" s="1"/>
  <c r="X141" i="2" s="1"/>
  <c r="T151" i="2"/>
  <c r="X151" i="2" s="1"/>
  <c r="W146" i="2"/>
  <c r="S146" i="2"/>
  <c r="U146" i="2"/>
  <c r="T146" i="2" s="1"/>
  <c r="X146" i="2" s="1"/>
  <c r="V146" i="2"/>
  <c r="U154" i="2"/>
  <c r="T154" i="2" s="1"/>
  <c r="W154" i="2"/>
  <c r="S154" i="2"/>
  <c r="V154" i="2"/>
  <c r="V141" i="2"/>
  <c r="W141" i="2"/>
  <c r="V155" i="2"/>
  <c r="W155" i="2"/>
  <c r="S155" i="2"/>
  <c r="U155" i="2"/>
  <c r="T155" i="2" s="1"/>
  <c r="U140" i="2"/>
  <c r="T140" i="2" s="1"/>
  <c r="W140" i="2"/>
  <c r="S140" i="2"/>
  <c r="V140" i="2"/>
  <c r="V143" i="2"/>
  <c r="W143" i="2"/>
  <c r="V142" i="2"/>
  <c r="W142" i="2"/>
  <c r="S142" i="2"/>
  <c r="U142" i="2"/>
  <c r="T142" i="2" s="1"/>
  <c r="T152" i="2"/>
  <c r="X152" i="2" s="1"/>
  <c r="U143" i="2"/>
  <c r="T143" i="2" s="1"/>
  <c r="P147" i="2"/>
  <c r="L147" i="2" s="1"/>
  <c r="O147" i="2" s="1"/>
  <c r="O146" i="2"/>
  <c r="O140" i="2"/>
  <c r="R153" i="2"/>
  <c r="K153" i="2" s="1"/>
  <c r="N153" i="2" s="1"/>
  <c r="K151" i="2"/>
  <c r="N151" i="2" s="1"/>
  <c r="P143" i="2"/>
  <c r="L143" i="2" s="1"/>
  <c r="O143" i="2" s="1"/>
  <c r="P142" i="2"/>
  <c r="L142" i="2" s="1"/>
  <c r="O142" i="2" s="1"/>
  <c r="P141" i="2"/>
  <c r="L141" i="2" s="1"/>
  <c r="O141" i="2" s="1"/>
  <c r="P155" i="2"/>
  <c r="L155" i="2" s="1"/>
  <c r="O155" i="2" s="1"/>
  <c r="P154" i="2"/>
  <c r="L154" i="2" s="1"/>
  <c r="O154" i="2" s="1"/>
  <c r="P149" i="2"/>
  <c r="L149" i="2" s="1"/>
  <c r="O149" i="2" s="1"/>
  <c r="K38" i="1" l="1"/>
  <c r="C70" i="1" s="1"/>
  <c r="F70" i="1" s="1"/>
  <c r="H38" i="1" a="1"/>
  <c r="H38" i="1" s="1"/>
  <c r="C130" i="1"/>
  <c r="H19" i="4"/>
  <c r="I27" i="1"/>
  <c r="E130" i="1" s="1"/>
  <c r="G28" i="1"/>
  <c r="H21" i="4" s="1"/>
  <c r="G63" i="1"/>
  <c r="H52" i="4" s="1"/>
  <c r="H17" i="4"/>
  <c r="I66" i="1"/>
  <c r="D74" i="1" s="1"/>
  <c r="K42" i="1"/>
  <c r="C74" i="1" s="1"/>
  <c r="H42" i="1" a="1"/>
  <c r="H42" i="1" s="1"/>
  <c r="I36" i="1"/>
  <c r="I41" i="1" s="1"/>
  <c r="E32" i="4" s="1"/>
  <c r="I64" i="1"/>
  <c r="D72" i="1" s="1"/>
  <c r="I48" i="1"/>
  <c r="H50" i="4"/>
  <c r="G65" i="1"/>
  <c r="H56" i="4" s="1"/>
  <c r="X154" i="2"/>
  <c r="X142" i="2"/>
  <c r="X155" i="2"/>
  <c r="X140" i="2"/>
  <c r="X143" i="2"/>
  <c r="K33" i="1" l="1"/>
  <c r="F130" i="1"/>
  <c r="F74" i="1"/>
  <c r="K37" i="1"/>
  <c r="K41" i="1"/>
  <c r="C73" i="1" s="1"/>
  <c r="F73" i="1" s="1"/>
  <c r="H34" i="1" a="1"/>
  <c r="H34" i="1" s="1"/>
  <c r="K36" i="1" l="1"/>
  <c r="I34" i="1"/>
  <c r="I39" i="1" s="1"/>
  <c r="K39" i="1" s="1"/>
  <c r="K47" i="1" s="1"/>
  <c r="H39" i="1" a="1"/>
  <c r="H39" i="1" s="1"/>
  <c r="H40" i="1" a="1"/>
  <c r="H40" i="1" s="1"/>
  <c r="I35" i="1"/>
  <c r="I40" i="1" s="1"/>
  <c r="C71" i="1" l="1"/>
  <c r="F71" i="1" s="1"/>
  <c r="G42" i="4"/>
  <c r="K34" i="1"/>
  <c r="K46" i="1"/>
  <c r="G41" i="4" s="1"/>
  <c r="H43" i="1"/>
  <c r="E31" i="4"/>
  <c r="K40" i="1"/>
  <c r="C72" i="1" s="1"/>
  <c r="F72" i="1" s="1"/>
  <c r="H47" i="1"/>
  <c r="H46" i="1"/>
  <c r="E30" i="4"/>
  <c r="I47" i="1"/>
  <c r="E42" i="4" s="1"/>
  <c r="I46" i="1"/>
  <c r="E41" i="4" s="1"/>
  <c r="I43" i="1"/>
  <c r="F75" i="1" l="1"/>
  <c r="F124" i="1" s="1"/>
  <c r="I45" i="1"/>
  <c r="E34" i="4"/>
  <c r="K43" i="1"/>
  <c r="C131" i="1" s="1"/>
  <c r="K35" i="1"/>
  <c r="F131" i="1" l="1"/>
  <c r="F132" i="1" s="1"/>
  <c r="G34" i="4"/>
  <c r="C75" i="1"/>
  <c r="I44" i="1"/>
  <c r="K45" i="1"/>
  <c r="E37" i="4"/>
  <c r="G132" i="1" l="1"/>
  <c r="C125" i="1"/>
  <c r="G70" i="1"/>
  <c r="G75" i="1"/>
  <c r="D116" i="1" s="1"/>
  <c r="E119" i="1" s="1"/>
  <c r="G74" i="1"/>
  <c r="G73" i="1"/>
  <c r="G72" i="1"/>
  <c r="G71" i="1"/>
  <c r="E36" i="4"/>
  <c r="K44" i="1"/>
  <c r="K32" i="1"/>
  <c r="G39" i="4" s="1"/>
  <c r="G119" i="1" l="1"/>
  <c r="H76" i="4" s="1"/>
  <c r="I119" i="1"/>
  <c r="D125" i="1" s="1"/>
  <c r="F125" i="1" s="1"/>
  <c r="F126" i="1" s="1"/>
  <c r="K48" i="1"/>
  <c r="G40" i="4" s="1"/>
  <c r="K31" i="1"/>
  <c r="G126" i="1" l="1"/>
  <c r="F134" i="1"/>
  <c r="G134" i="1" s="1"/>
  <c r="E142" i="1" l="1"/>
  <c r="E138" i="1"/>
  <c r="G138" i="1" s="1"/>
  <c r="K7" i="4" s="1"/>
  <c r="H7" i="4"/>
  <c r="D7" i="4"/>
  <c r="H142" i="1" l="1"/>
  <c r="J92" i="4" s="1"/>
  <c r="L142" i="1"/>
  <c r="K92" i="4"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<sst xmlns="http://schemas.openxmlformats.org/spreadsheetml/2006/main" count="684" uniqueCount="323">
  <si>
    <t>[7]</t>
  </si>
  <si>
    <t>[8]</t>
  </si>
  <si>
    <t>[6]</t>
  </si>
  <si>
    <t>Modell</t>
  </si>
  <si>
    <t>Gebäudetyp</t>
  </si>
  <si>
    <t>Berechnet wird ein Gebäude aus folgender Kategorie:</t>
  </si>
  <si>
    <t>Kindertagesstätte</t>
  </si>
  <si>
    <t>Grundschule</t>
  </si>
  <si>
    <t>Weiterführende Schule</t>
  </si>
  <si>
    <t>Berufsschule</t>
  </si>
  <si>
    <t>Sporthalle</t>
  </si>
  <si>
    <t>Verwaltungsgebäude</t>
  </si>
  <si>
    <t>Wahl:</t>
  </si>
  <si>
    <t>übersetzt:</t>
  </si>
  <si>
    <t>Nettogrundfläche:</t>
  </si>
  <si>
    <t>m²</t>
  </si>
  <si>
    <t>NGF</t>
  </si>
  <si>
    <t>ANGF</t>
  </si>
  <si>
    <t>Hüllflächen A, in m²</t>
  </si>
  <si>
    <t>Wand</t>
  </si>
  <si>
    <t>Fenster</t>
  </si>
  <si>
    <t>Tür</t>
  </si>
  <si>
    <t xml:space="preserve">oben </t>
  </si>
  <si>
    <t>unten</t>
  </si>
  <si>
    <t>GEMOD</t>
  </si>
  <si>
    <t>Grundflächen A, in m²</t>
  </si>
  <si>
    <t>ABGF</t>
  </si>
  <si>
    <t>Höhe h, in m</t>
  </si>
  <si>
    <t>netto</t>
  </si>
  <si>
    <t>Volumen V, in m³</t>
  </si>
  <si>
    <t>Geschosse</t>
  </si>
  <si>
    <t>Bildung</t>
  </si>
  <si>
    <t>Büro</t>
  </si>
  <si>
    <t>AW/NGF</t>
  </si>
  <si>
    <t>ANGF/ABGF</t>
  </si>
  <si>
    <t>FE/NGF</t>
  </si>
  <si>
    <t>TÜR/NGF</t>
  </si>
  <si>
    <t>OGA/NGF</t>
  </si>
  <si>
    <t>UGA/NGF</t>
  </si>
  <si>
    <t>IBP</t>
  </si>
  <si>
    <t>KiTa</t>
  </si>
  <si>
    <t>unbeheizt</t>
  </si>
  <si>
    <t>k.A.</t>
  </si>
  <si>
    <t>TÜR/TRANSP</t>
  </si>
  <si>
    <t>ZUB</t>
  </si>
  <si>
    <t>Büro klein</t>
  </si>
  <si>
    <t>Büro groß</t>
  </si>
  <si>
    <t>Büro Atrium</t>
  </si>
  <si>
    <t>Büro Turm</t>
  </si>
  <si>
    <t>Schule klein</t>
  </si>
  <si>
    <t>Schule groß</t>
  </si>
  <si>
    <t>brutto</t>
  </si>
  <si>
    <t>Vn/Vb</t>
  </si>
  <si>
    <t>A/Ve in 1/m</t>
  </si>
  <si>
    <t>Sporthalle Einfeld</t>
  </si>
  <si>
    <t>Sporthalle Dreifeld</t>
  </si>
  <si>
    <t>Hüllflächen und Volumen</t>
  </si>
  <si>
    <t>Schätzgeometrie anzeigen für folgendes Modell:</t>
  </si>
  <si>
    <t>Modelldaten</t>
  </si>
  <si>
    <t>Geometrie</t>
  </si>
  <si>
    <t>aus dem Schätzmodell</t>
  </si>
  <si>
    <t>eigener Wert (überschreibt das Modell)</t>
  </si>
  <si>
    <t>[m²]</t>
  </si>
  <si>
    <t>Außenwand</t>
  </si>
  <si>
    <t>Türen</t>
  </si>
  <si>
    <t>oberer Abschluss</t>
  </si>
  <si>
    <t>unterer Abschluss</t>
  </si>
  <si>
    <t>[m³]</t>
  </si>
  <si>
    <t>[m²/m³]</t>
  </si>
  <si>
    <t>Fensterflächenanteil Fassade</t>
  </si>
  <si>
    <t>Fensterfläche je Nettogrundfläche</t>
  </si>
  <si>
    <t>[m²/m²]</t>
  </si>
  <si>
    <t>skaliert</t>
  </si>
  <si>
    <t>Wahl</t>
  </si>
  <si>
    <t>Außentüren</t>
  </si>
  <si>
    <t>Kennwerte</t>
  </si>
  <si>
    <t>Index</t>
  </si>
  <si>
    <t>Hülle Summe</t>
  </si>
  <si>
    <t>Summe</t>
  </si>
  <si>
    <t>Kompaktheit (A/Ve)</t>
  </si>
  <si>
    <t>Fensterfläche pro NGF</t>
  </si>
  <si>
    <t>Transmission</t>
  </si>
  <si>
    <t>Das Objekt gehört in folgende Baualtersklasse:</t>
  </si>
  <si>
    <t>Datenbank</t>
  </si>
  <si>
    <t>Rohdaten</t>
  </si>
  <si>
    <t>Datenbank Baualtersklasse</t>
  </si>
  <si>
    <t>eigener</t>
  </si>
  <si>
    <t>Altersklasse</t>
  </si>
  <si>
    <t>bis 1859</t>
  </si>
  <si>
    <t>1860 bis 1918</t>
  </si>
  <si>
    <t>1919 bis 1948</t>
  </si>
  <si>
    <t>1949 bis 1957</t>
  </si>
  <si>
    <t>1958 bis 1968</t>
  </si>
  <si>
    <t>1969 bis 1978</t>
  </si>
  <si>
    <t>1979 bis 1983</t>
  </si>
  <si>
    <t>1984 bis 1994</t>
  </si>
  <si>
    <t>1995 bis 2001</t>
  </si>
  <si>
    <t>2002 bis 2009</t>
  </si>
  <si>
    <t>2010 bis 2020</t>
  </si>
  <si>
    <t>ab 2020</t>
  </si>
  <si>
    <t>U in [W/(m²K)]</t>
  </si>
  <si>
    <t>Details einblenden und ändern.</t>
  </si>
  <si>
    <t>richtig gut</t>
  </si>
  <si>
    <t>best</t>
  </si>
  <si>
    <t>Volumen</t>
  </si>
  <si>
    <t>U-Wert</t>
  </si>
  <si>
    <t>[W/(m²K)]</t>
  </si>
  <si>
    <t>gemäß Altersklasse</t>
  </si>
  <si>
    <t>mäßig (ca. 5 … 7 cm Dämmung)</t>
  </si>
  <si>
    <t>minimal (ca. 2 … 4 cm Dämmung)</t>
  </si>
  <si>
    <t>best (ca. 20 … 30 cm Dämmung)</t>
  </si>
  <si>
    <t>mittel (ca. 8 … 11 cm Dämmung)</t>
  </si>
  <si>
    <t>gut (ca. 12 … 15 cm Dämmung)</t>
  </si>
  <si>
    <t>sehr gut (ca. 16 … 20 cm Dämmung)</t>
  </si>
  <si>
    <t>RSI/RSE</t>
  </si>
  <si>
    <t>Rohne</t>
  </si>
  <si>
    <t>opak</t>
  </si>
  <si>
    <t>Dicke</t>
  </si>
  <si>
    <t>RDä</t>
  </si>
  <si>
    <t>R</t>
  </si>
  <si>
    <t>U</t>
  </si>
  <si>
    <t>Wahl global:</t>
  </si>
  <si>
    <t>Wahl AW:</t>
  </si>
  <si>
    <t>Wahl OGD:</t>
  </si>
  <si>
    <t>Wahl UGD:</t>
  </si>
  <si>
    <t>Datenbank Qualität opak</t>
  </si>
  <si>
    <t>minimal (Einscheibenverglasung)</t>
  </si>
  <si>
    <t>mäßig (2-Scheiben-Iso)</t>
  </si>
  <si>
    <t>sehr gut (3-Scheiben-Wärmeschutz)</t>
  </si>
  <si>
    <t>best (Passivhaus)</t>
  </si>
  <si>
    <t>mittel (2-Scheiben-Wärmeschutz 90er)</t>
  </si>
  <si>
    <t>gut (2-Scheiben-Wärmeschutz neu)</t>
  </si>
  <si>
    <t>Datenbank Qualität Fenster</t>
  </si>
  <si>
    <t>sehr gut (2020er)</t>
  </si>
  <si>
    <t>gut (2000er)</t>
  </si>
  <si>
    <t>mittel (1990er)</t>
  </si>
  <si>
    <t>mäßig (1980er )</t>
  </si>
  <si>
    <t>minimal (bis 1970er)</t>
  </si>
  <si>
    <t>Datenbank Qualität Tür</t>
  </si>
  <si>
    <t>Wahl Fenster:</t>
  </si>
  <si>
    <t>Wahl Tür</t>
  </si>
  <si>
    <t>nach BAK</t>
  </si>
  <si>
    <t>nach Qualität</t>
  </si>
  <si>
    <t>eigene</t>
  </si>
  <si>
    <t>Flächen</t>
  </si>
  <si>
    <t>umbaut</t>
  </si>
  <si>
    <t>Name</t>
  </si>
  <si>
    <t>1 Büro (allgemein) | GEMOD</t>
  </si>
  <si>
    <t>1 Büro (allgemein) | IBP</t>
  </si>
  <si>
    <t>1 Büro (klein) | ZUB</t>
  </si>
  <si>
    <t>1 Büro (Atrium) | ZUB</t>
  </si>
  <si>
    <t>4 Schule (klein) | ZUB</t>
  </si>
  <si>
    <t>1 Büro (groß) | ZUB</t>
  </si>
  <si>
    <t>1 Büro (Turm) | ZUB</t>
  </si>
  <si>
    <t>2 Sporthalle (allgemein) | GEMOD</t>
  </si>
  <si>
    <t>2 Sporthalle (allgemein) | IBP</t>
  </si>
  <si>
    <t>2 Sporthalle (Einfeld) | ZUB</t>
  </si>
  <si>
    <t>2 Sporthalle (Dreifeld) | ZUB</t>
  </si>
  <si>
    <t>3 KiTa (allgemein) | IBP</t>
  </si>
  <si>
    <t>3 KiTa (allgemein) | ZUB</t>
  </si>
  <si>
    <t>4 Schule (allgemein) | GEMOD</t>
  </si>
  <si>
    <t>4 Schule (Grund-) | IBP</t>
  </si>
  <si>
    <t>4 Schule (weiterführend) | IBP</t>
  </si>
  <si>
    <t>4 Schule (Berufs-) | IBP</t>
  </si>
  <si>
    <t>4 Schule (groß) | ZUB</t>
  </si>
  <si>
    <t>HT</t>
  </si>
  <si>
    <t>H und h</t>
  </si>
  <si>
    <t>belüftet</t>
  </si>
  <si>
    <t>Ergebnis für h und H</t>
  </si>
  <si>
    <t>Fingerabdruck H</t>
  </si>
  <si>
    <t>W/(m²K)</t>
  </si>
  <si>
    <t>W/K</t>
  </si>
  <si>
    <t>flächenbezogen</t>
  </si>
  <si>
    <t>Lüftung</t>
  </si>
  <si>
    <t>lichte Raumhöhe</t>
  </si>
  <si>
    <t>[m]</t>
  </si>
  <si>
    <t xml:space="preserve">Name --&gt; </t>
  </si>
  <si>
    <t>Belegung</t>
  </si>
  <si>
    <t>h/d</t>
  </si>
  <si>
    <t>d/a</t>
  </si>
  <si>
    <t>Jahresnutzung</t>
  </si>
  <si>
    <t>Tagesnutzung</t>
  </si>
  <si>
    <t>-</t>
  </si>
  <si>
    <t>[3]</t>
  </si>
  <si>
    <t>[9]</t>
  </si>
  <si>
    <t>[4]</t>
  </si>
  <si>
    <t>Das Objekt hat eine bauliche Qualitätssicherung erfahren</t>
  </si>
  <si>
    <t>Qualitätssicherung</t>
  </si>
  <si>
    <t>U-Werte</t>
  </si>
  <si>
    <t>ja</t>
  </si>
  <si>
    <t>nein</t>
  </si>
  <si>
    <t>Wärmebrücken</t>
  </si>
  <si>
    <t>WB</t>
  </si>
  <si>
    <t>Wärmebrückenzuschlag</t>
  </si>
  <si>
    <t>global</t>
  </si>
  <si>
    <t>nach Menü</t>
  </si>
  <si>
    <t>Luftdichtheit, hüllflächenbezogen</t>
  </si>
  <si>
    <t>gemäß pauschaler Bewertung</t>
  </si>
  <si>
    <t>Wärmebrücken (reale Wirksamkeit!)</t>
  </si>
  <si>
    <t>mit QS</t>
  </si>
  <si>
    <t>ohne QS</t>
  </si>
  <si>
    <t>ΔUWB</t>
  </si>
  <si>
    <t>· HT' +</t>
  </si>
  <si>
    <t>Berechnung HT und HT' ohne Wärmebrücken</t>
  </si>
  <si>
    <t xml:space="preserve">A </t>
  </si>
  <si>
    <t>F</t>
  </si>
  <si>
    <t>[-]</t>
  </si>
  <si>
    <t>[W/K]</t>
  </si>
  <si>
    <t>h</t>
  </si>
  <si>
    <t>ΔU in [W/(m²K)]</t>
  </si>
  <si>
    <t>sehr hoch (über ca. 0,10 W/(m²K) Zuschlag)</t>
  </si>
  <si>
    <t>mittel (ca. 0,03 … 0,05 W/(m²K) Zuschlag)</t>
  </si>
  <si>
    <t>hoch (ca. 0,06 … 0,10 W/(m²K) Zuschlag)</t>
  </si>
  <si>
    <t>gering (ca. 0,00 … 0,02 W/(m²K) Zuschlag)</t>
  </si>
  <si>
    <t>minimal (ca. 0,00 W/(m²K) Zuschlag)</t>
  </si>
  <si>
    <t>Wahl WB:</t>
  </si>
  <si>
    <t>Berechnung</t>
  </si>
  <si>
    <t>[1]</t>
  </si>
  <si>
    <t>Fx-Faktoren</t>
  </si>
  <si>
    <t>Qualitätsklasse</t>
  </si>
  <si>
    <t>Nebenraum</t>
  </si>
  <si>
    <t>[2]</t>
  </si>
  <si>
    <t>1,0 (angrenzend: Außenluft)</t>
  </si>
  <si>
    <t>0,8 (angenzend: unbeheizter Dachraum)</t>
  </si>
  <si>
    <t>0,6 (angrenzend: unbeheizter Keller)</t>
  </si>
  <si>
    <t>0,4 (angrenzend: Erdreich)</t>
  </si>
  <si>
    <t>0,0 (andere beheizte Gebäude)</t>
  </si>
  <si>
    <t>0,9 (angrenzend: teils Außenluft &amp; Dachraum)</t>
  </si>
  <si>
    <t>0,5 (angrenzend: Treppen oder teils Keller &amp; Erdreich)</t>
  </si>
  <si>
    <t>Nebenraumbedingung</t>
  </si>
  <si>
    <t>[m³/(m²h)]</t>
  </si>
  <si>
    <t>pauschal</t>
  </si>
  <si>
    <t>pauschale Fx-Faktoren</t>
  </si>
  <si>
    <t>Fx, unten</t>
  </si>
  <si>
    <t>Fx, oben</t>
  </si>
  <si>
    <t>(je zu 50 % OGD und DA)</t>
  </si>
  <si>
    <t>Fx Wand, Fenster, Tür</t>
  </si>
  <si>
    <t>(je zu 50 % KD und BP)</t>
  </si>
  <si>
    <t>HV</t>
  </si>
  <si>
    <t>ohne WB</t>
  </si>
  <si>
    <t xml:space="preserve">V̇ </t>
  </si>
  <si>
    <t>[m³/h]</t>
  </si>
  <si>
    <t>ρ · cP</t>
  </si>
  <si>
    <t>[Wh/(m³K)]</t>
  </si>
  <si>
    <t>HT'</t>
  </si>
  <si>
    <t>Infiltration</t>
  </si>
  <si>
    <t>V̇/A in [m³/(m²h)]</t>
  </si>
  <si>
    <t>Hauptnutzungsanteil</t>
  </si>
  <si>
    <t>Belegung HN</t>
  </si>
  <si>
    <t>m²/P</t>
  </si>
  <si>
    <t xml:space="preserve">Belegung Ø </t>
  </si>
  <si>
    <t>geringer</t>
  </si>
  <si>
    <t>höher</t>
  </si>
  <si>
    <t>durchschnittlich</t>
  </si>
  <si>
    <t>Personenzahl</t>
  </si>
  <si>
    <t>[P]</t>
  </si>
  <si>
    <t>Personen</t>
  </si>
  <si>
    <t>m²/P aus Datenbank für diese Nutzung</t>
  </si>
  <si>
    <t>nach Dichte</t>
  </si>
  <si>
    <t>Nutzungszeiten</t>
  </si>
  <si>
    <t>täglich</t>
  </si>
  <si>
    <t>jährlich</t>
  </si>
  <si>
    <t>[h/d]</t>
  </si>
  <si>
    <t>[d/a]</t>
  </si>
  <si>
    <t>Zeiten</t>
  </si>
  <si>
    <t>Zeiten aus Datenbank für diese Nutzung</t>
  </si>
  <si>
    <t>Gebäudenutzung, -belegung und -größe</t>
  </si>
  <si>
    <t>Korrekturfaktoren Fx</t>
  </si>
  <si>
    <t>nutzungsbezogene Lüftung</t>
  </si>
  <si>
    <t>Infiltration abhängig von QS</t>
  </si>
  <si>
    <t>Wärmerückgewinnungsgrad</t>
  </si>
  <si>
    <t>Luftvolumenstrom</t>
  </si>
  <si>
    <t>eher undichtes Bestandsgebäude (über ca. 0,35 m³/(m²h) Leckagevolumenstrom)</t>
  </si>
  <si>
    <t>neubauähnliche Gebäudedichtheit (ca. 0,1 … 0,2 m³/(m²h) Leckagevolumenstrom)</t>
  </si>
  <si>
    <t>übliche Dichtheit des Bestandes (ca. 0,2 … 0,35 m³/(m²h) Leckagevolumenstrom)</t>
  </si>
  <si>
    <t>sehr hohe Dichtheit (unter ca. 0,1 m³/(m²h) Leckagevolumenstrom)</t>
  </si>
  <si>
    <t>Wahl  LD:</t>
  </si>
  <si>
    <t>Infiltrationsvolumenstrom (reale Wirksamkeit!)</t>
  </si>
  <si>
    <t>qV</t>
  </si>
  <si>
    <t>[m³/m²h]</t>
  </si>
  <si>
    <t>[m³/m²h)]</t>
  </si>
  <si>
    <t>qinf</t>
  </si>
  <si>
    <t>Ende des Blattes</t>
  </si>
  <si>
    <t>Die Lüftung erfolgt auf folgende Art:</t>
  </si>
  <si>
    <t>m³(h P)</t>
  </si>
  <si>
    <t>Luftvolumenstrom (reale Werte!) Fensterlüftung</t>
  </si>
  <si>
    <t>Luftvolumenstrom (reale Werte!) mit Anlage</t>
  </si>
  <si>
    <t>Fensterlüftung (ggf. zusätzlich Abluftanlage)</t>
  </si>
  <si>
    <t>mechanische Lüftungsanlage mit Wärmerückgewinnung</t>
  </si>
  <si>
    <t>Luftvolumenstrom pro Person</t>
  </si>
  <si>
    <t>[m³/(h P)]</t>
  </si>
  <si>
    <t>Wärmerückgewinnungsgrad der Anlage</t>
  </si>
  <si>
    <t>[%]</t>
  </si>
  <si>
    <t>höhere Lüftung</t>
  </si>
  <si>
    <t>geringe Lüftung</t>
  </si>
  <si>
    <t>Anlage</t>
  </si>
  <si>
    <t>Lüftung aus Datenbank für diese Nutzung</t>
  </si>
  <si>
    <t>WRG</t>
  </si>
  <si>
    <t>Nutzung</t>
  </si>
  <si>
    <t>Zeitanteil</t>
  </si>
  <si>
    <t>Qualitätssicherung und weitere Details</t>
  </si>
  <si>
    <t>Umrechnungsfaktor für Ampel</t>
  </si>
  <si>
    <t>Ampel</t>
  </si>
  <si>
    <t>Ampelwert</t>
  </si>
  <si>
    <t>Gebäude</t>
  </si>
  <si>
    <t>Faktor</t>
  </si>
  <si>
    <t>Note</t>
  </si>
  <si>
    <t>Vorlauf</t>
  </si>
  <si>
    <t>Steigung</t>
  </si>
  <si>
    <t>Achse</t>
  </si>
  <si>
    <t>Vorlauftemperatur</t>
  </si>
  <si>
    <t>Vor- und Rücklauftemperatur</t>
  </si>
  <si>
    <t>[°C]</t>
  </si>
  <si>
    <t>Rücklauftemperatur</t>
  </si>
  <si>
    <t>°C</t>
  </si>
  <si>
    <t>ϑV/ϑR</t>
  </si>
  <si>
    <t>Es handelt sich um eine Schätzung auf Basis des mittleren Zustandes der Gebäudehülle, um eine Wärmepumpentauglichkeit grob vorzubewerten. Die Angabe ist kritisch zu hinterfragen, wenn das Gebäude einzelne Hüllflächen (insbesondere Decken, Dächer und Bodenplatten) aufweist, die deutlich vom Mittelwert abweichen. Beispiel: gute Fenster und Außenwand, aber schlechte Bodenplatte. Diese Näherung kann verifiziert werden, wenn für alle (oder mindestens einige) Räume eine Raumheizlastberechnung erfolgt, auf deren Basis die Bestandsheizkörper nachgerechnet werden.</t>
  </si>
  <si>
    <t>Erläuterung einblenden.</t>
  </si>
  <si>
    <t>Es werden auf Basis des h-Wertes als Auslegungstemperaturen der Heizkörper geschätzt:</t>
  </si>
  <si>
    <t>Geschätzte Vor- und Rücklauftemperaturen für Heizkörper</t>
  </si>
  <si>
    <t>Projektdaten</t>
  </si>
  <si>
    <t>Projektdaten (Kürzel, Adresse o.ä.)</t>
  </si>
  <si>
    <t>Rücklauf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</si>
</sst>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0.0%"/>
    <numFmt numFmtId="166" formatCode="0.000"/>
  </numFmts>
  <fonts count="8" x14ac:knownFonts="1">
    <font>
      <sz val="11"/>
      <color theme="1"/>
      <name val="Aptos Narrow"/>
      <family val="2"/>
      <scheme val="minor"/>
    </font>
    <font>
      <b/>
      <sz val="11"/>
      <color theme="0"/>
      <name val="Aptos Narrow"/>
      <family val="2"/>
      <scheme val="minor"/>
    </font>
    <font>
      <sz val="11"/>
      <color theme="0" tint="-0.249977111117893"/>
      <name val="Aptos Narrow"/>
      <family val="2"/>
      <scheme val="minor"/>
    </font>
    <font>
      <sz val="11"/>
      <color rgb="FF0070C0"/>
      <name val="Aptos Narrow"/>
      <family val="2"/>
      <scheme val="minor"/>
    </font>
    <font>
      <sz val="11"/>
      <color theme="1"/>
      <name val="Aptos Narrow"/>
      <family val="2"/>
      <scheme val="minor"/>
    </font>
    <font>
      <sz val="11"/>
      <color theme="0" tint="-0.34998626667073579"/>
      <name val="Aptos Narrow"/>
      <family val="2"/>
      <scheme val="minor"/>
    </font>
    <font>
      <sz val="10"/>
      <color rgb="FF0070C0"/>
      <name val="Aptos Narrow"/>
      <family val="2"/>
      <scheme val="minor"/>
    </font>
    <font>
      <sz val="10"/>
      <color theme="1"/>
      <name val="Aptos Narrow"/>
      <family val="2"/>
      <scheme val="minor"/>
    </font>
  </fonts>
  <fills count="12">
    <fill>
      <patternFill patternType="none"/>
    </fill>
    <fill>
      <patternFill patternType="gray125"/>
    </fill>
    <fill>
      <patternFill patternType="solid">
        <fgColor theme="1"/>
        <bgColor indexed="64"/>
      </patternFill>
    </fill>
    <fill>
      <patternFill patternType="solid">
        <fgColor theme="0" tint="-0.34998626667073579"/>
        <bgColor indexed="64"/>
      </patternFill>
    </fill>
    <fill>
      <patternFill patternType="solid">
        <fgColor theme="8" tint="0.79998168889431442"/>
        <bgColor indexed="64"/>
      </patternFill>
    </fill>
    <fill>
      <patternFill patternType="solid">
        <fgColor theme="8" tint="0.39997558519241921"/>
        <bgColor indexed="64"/>
      </patternFill>
    </fill>
    <fill>
      <patternFill patternType="solid">
        <fgColor rgb="FFFFFF99"/>
        <bgColor indexed="64"/>
      </patternFill>
    </fill>
    <fill>
      <patternFill patternType="solid">
        <fgColor theme="9" tint="0.79998168889431442"/>
        <bgColor indexed="64"/>
      </patternFill>
    </fill>
    <fill>
      <patternFill patternType="solid">
        <fgColor rgb="FFBF33B2"/>
        <bgColor indexed="64"/>
      </patternFill>
    </fill>
    <fill>
      <patternFill patternType="solid">
        <fgColor theme="0" tint="-0.14999847407452621"/>
        <bgColor indexed="64"/>
      </patternFill>
    </fill>
    <fill>
      <patternFill patternType="solid">
        <fgColor rgb="FFFBEFFA"/>
        <bgColor indexed="64"/>
      </patternFill>
    </fill>
    <fill>
      <patternFill patternType="solid">
        <fgColor rgb="FF00B050"/>
        <bgColor indexed="64"/>
      </patternFill>
    </fill>
  </fills>
  <borders count="1">
    <border>
      <left/>
      <right/>
      <top/>
      <bottom/>
      <diagonal/>
    </border>
  </borders>
  <cellStyleXfs count="2">
    <xf numFmtId="0" fontId="0" fillId="0" borderId="0"/>
    <xf numFmtId="9" fontId="4" fillId="0" borderId="0" applyFont="0" applyFill="0" applyBorder="0" applyAlignment="0" applyProtection="0"/>
  </cellStyleXfs>
  <cellXfs count="66">
    <xf numFmtId="0" fontId="0" fillId="0" borderId="0" xfId="0"/>
    <xf numFmtId="0" fontId="0" fillId="2" borderId="0" xfId="0" applyFill="1"/>
    <xf numFmtId="0" fontId="1" fillId="2" borderId="0" xfId="0" applyFont="1" applyFill="1"/>
    <xf numFmtId="0" fontId="0" fillId="3" borderId="0" xfId="0" applyFill="1"/>
    <xf numFmtId="0" fontId="0" fillId="3" borderId="0" xfId="0" applyFill="1" applyAlignment="1">
      <alignment horizontal="left"/>
    </xf>
    <xf numFmtId="0" fontId="0" fillId="3" borderId="0" xfId="0" applyFill="1" applyAlignment="1">
      <alignment horizontal="right"/>
    </xf>
    <xf numFmtId="2" fontId="0" fillId="0" borderId="0" xfId="0" applyNumberFormat="1" applyAlignment="1">
      <alignment horizontal="center"/>
    </xf>
    <xf numFmtId="0" fontId="0" fillId="0" borderId="0" xfId="0" applyAlignment="1">
      <alignment horizontal="center"/>
    </xf>
    <xf numFmtId="164" fontId="0" fillId="0" borderId="0" xfId="0" applyNumberFormat="1" applyAlignment="1">
      <alignment horizontal="center"/>
    </xf>
    <xf numFmtId="2" fontId="2" fillId="0" borderId="0" xfId="0" applyNumberFormat="1" applyFont="1" applyAlignment="1">
      <alignment horizontal="center"/>
    </xf>
    <xf numFmtId="2" fontId="0" fillId="4" borderId="0" xfId="0" applyNumberFormat="1" applyFill="1" applyAlignment="1">
      <alignment horizontal="center"/>
    </xf>
    <xf numFmtId="164" fontId="0" fillId="4" borderId="0" xfId="0" applyNumberFormat="1" applyFill="1" applyAlignment="1">
      <alignment horizontal="center"/>
    </xf>
    <xf numFmtId="164" fontId="3" fillId="6" borderId="0" xfId="0" applyNumberFormat="1" applyFont="1" applyFill="1" applyAlignment="1">
      <alignment horizontal="center"/>
    </xf>
    <xf numFmtId="2" fontId="0" fillId="7" borderId="0" xfId="0" applyNumberFormat="1" applyFill="1" applyAlignment="1">
      <alignment horizontal="center"/>
    </xf>
    <xf numFmtId="2" fontId="3" fillId="6" borderId="0" xfId="0" applyNumberFormat="1" applyFont="1" applyFill="1" applyAlignment="1">
      <alignment horizontal="center"/>
    </xf>
    <xf numFmtId="0" fontId="0" fillId="4" borderId="0" xfId="0" applyFill="1" applyAlignment="1">
      <alignment horizontal="center"/>
    </xf>
    <xf numFmtId="2" fontId="0" fillId="5" borderId="0" xfId="0" applyNumberFormat="1" applyFill="1" applyAlignment="1">
      <alignment horizontal="center"/>
    </xf>
    <xf numFmtId="164" fontId="0" fillId="5" borderId="0" xfId="0" applyNumberFormat="1" applyFill="1" applyAlignment="1">
      <alignment horizontal="center"/>
    </xf>
    <xf numFmtId="0" fontId="0" fillId="3" borderId="0" xfId="0" applyFill="1" applyAlignment="1">
      <alignment horizontal="center"/>
    </xf>
    <xf numFmtId="0" fontId="5" fillId="0" borderId="0" xfId="0" applyFont="1"/>
    <xf numFmtId="0" fontId="0" fillId="0" borderId="0" xfId="0" applyAlignment="1">
      <alignment horizontal="left"/>
    </xf>
    <xf numFmtId="1" fontId="0" fillId="0" borderId="0" xfId="0" applyNumberFormat="1" applyAlignment="1">
      <alignment horizontal="center"/>
    </xf>
    <xf numFmtId="0" fontId="0" fillId="0" borderId="0" xfId="0" applyAlignment="1">
      <alignment horizontal="right"/>
    </xf>
    <xf numFmtId="0" fontId="7" fillId="0" borderId="0" xfId="0" applyFont="1"/>
    <xf numFmtId="164" fontId="7" fillId="7" borderId="0" xfId="0" applyNumberFormat="1" applyFont="1" applyFill="1" applyAlignment="1">
      <alignment horizontal="center"/>
    </xf>
    <xf numFmtId="164" fontId="6" fillId="6" borderId="0" xfId="0" applyNumberFormat="1" applyFont="1" applyFill="1" applyAlignment="1">
      <alignment horizontal="center"/>
    </xf>
    <xf numFmtId="1" fontId="7" fillId="7" borderId="0" xfId="0" applyNumberFormat="1" applyFont="1" applyFill="1" applyAlignment="1">
      <alignment horizontal="center"/>
    </xf>
    <xf numFmtId="1" fontId="6" fillId="6" borderId="0" xfId="0" applyNumberFormat="1" applyFont="1" applyFill="1" applyAlignment="1">
      <alignment horizontal="center"/>
    </xf>
    <xf numFmtId="2" fontId="7" fillId="7" borderId="0" xfId="0" applyNumberFormat="1" applyFont="1" applyFill="1" applyAlignment="1">
      <alignment horizontal="center"/>
    </xf>
    <xf numFmtId="165" fontId="7" fillId="7" borderId="0" xfId="1" applyNumberFormat="1" applyFont="1" applyFill="1" applyAlignment="1">
      <alignment horizontal="center"/>
    </xf>
    <xf numFmtId="0" fontId="0" fillId="4" borderId="0" xfId="0" applyFill="1" applyAlignment="1">
      <alignment horizontal="left"/>
    </xf>
    <xf numFmtId="2" fontId="0" fillId="4" borderId="0" xfId="0" applyNumberFormat="1" applyFill="1" applyAlignment="1">
      <alignment horizontal="left"/>
    </xf>
    <xf numFmtId="1" fontId="0" fillId="7" borderId="0" xfId="0" applyNumberFormat="1" applyFill="1" applyAlignment="1">
      <alignment horizontal="center"/>
    </xf>
    <xf numFmtId="0" fontId="0" fillId="8" borderId="0" xfId="0" applyFill="1"/>
    <xf numFmtId="49" fontId="0" fillId="8" borderId="0" xfId="0" applyNumberFormat="1" applyFill="1"/>
    <xf numFmtId="0" fontId="1" fillId="2" borderId="0" xfId="0" applyFont="1" applyFill="1" applyAlignment="1">
      <alignment horizontal="left"/>
    </xf>
    <xf numFmtId="0" fontId="0" fillId="9" borderId="0" xfId="0" applyFill="1"/>
    <xf numFmtId="0" fontId="0" fillId="9" borderId="0" xfId="0" applyFill="1" applyAlignment="1">
      <alignment horizontal="center"/>
    </xf>
    <xf numFmtId="166" fontId="0" fillId="5" borderId="0" xfId="0" applyNumberFormat="1" applyFill="1" applyAlignment="1">
      <alignment horizontal="center"/>
    </xf>
    <xf numFmtId="166" fontId="7" fillId="7" borderId="0" xfId="0" applyNumberFormat="1" applyFont="1" applyFill="1" applyAlignment="1">
      <alignment horizontal="center"/>
    </xf>
    <xf numFmtId="166" fontId="6" fillId="6" borderId="0" xfId="0" applyNumberFormat="1" applyFont="1" applyFill="1" applyAlignment="1">
      <alignment horizontal="center"/>
    </xf>
    <xf numFmtId="166" fontId="0" fillId="4" borderId="0" xfId="0" applyNumberFormat="1" applyFill="1" applyAlignment="1">
      <alignment horizontal="center"/>
    </xf>
    <xf numFmtId="166" fontId="0" fillId="0" borderId="0" xfId="0" applyNumberFormat="1" applyAlignment="1">
      <alignment horizontal="center"/>
    </xf>
    <xf numFmtId="1" fontId="0" fillId="4" borderId="0" xfId="0" applyNumberFormat="1" applyFill="1" applyAlignment="1">
      <alignment horizontal="center"/>
    </xf>
    <xf numFmtId="2" fontId="0" fillId="10" borderId="0" xfId="0" applyNumberFormat="1" applyFill="1" applyAlignment="1">
      <alignment horizontal="center"/>
    </xf>
    <xf numFmtId="164" fontId="0" fillId="10" borderId="0" xfId="0" applyNumberFormat="1" applyFill="1" applyAlignment="1">
      <alignment horizontal="center"/>
    </xf>
    <xf numFmtId="166" fontId="0" fillId="10" borderId="0" xfId="0" applyNumberFormat="1" applyFill="1" applyAlignment="1">
      <alignment horizontal="center"/>
    </xf>
    <xf numFmtId="0" fontId="0" fillId="10" borderId="0" xfId="0" applyFill="1" applyAlignment="1">
      <alignment horizontal="center"/>
    </xf>
    <xf numFmtId="1" fontId="0" fillId="10" borderId="0" xfId="0" applyNumberFormat="1" applyFill="1" applyAlignment="1">
      <alignment horizontal="center"/>
    </xf>
    <xf numFmtId="2" fontId="6" fillId="6" borderId="0" xfId="0" applyNumberFormat="1" applyFont="1" applyFill="1" applyAlignment="1">
      <alignment horizontal="center"/>
    </xf>
    <xf numFmtId="1" fontId="0" fillId="5" borderId="0" xfId="0" applyNumberFormat="1" applyFill="1" applyAlignment="1">
      <alignment horizontal="center"/>
    </xf>
    <xf numFmtId="9" fontId="6" fillId="6" borderId="0" xfId="0" applyNumberFormat="1" applyFont="1" applyFill="1" applyAlignment="1">
      <alignment horizontal="center"/>
    </xf>
    <xf numFmtId="0" fontId="0" fillId="10" borderId="0" xfId="0" applyFill="1"/>
    <xf numFmtId="9" fontId="7" fillId="7" borderId="0" xfId="1" applyFont="1" applyFill="1" applyAlignment="1">
      <alignment horizontal="center"/>
    </xf>
    <xf numFmtId="0" fontId="1" fillId="0" borderId="0" xfId="0" applyFont="1"/>
    <xf numFmtId="0" fontId="0" fillId="11" borderId="0" xfId="0" applyFill="1" applyAlignment="1">
      <alignment horizontal="center"/>
    </xf>
    <xf numFmtId="1" fontId="0" fillId="0" borderId="0" xfId="0" applyNumberFormat="1"/>
    <xf numFmtId="0" fontId="3" fillId="6" borderId="0" xfId="0" applyFont="1" applyFill="1"/>
    <xf numFmtId="0" fontId="3" fillId="0" borderId="0" xfId="0" applyFont="1"/>
    <xf numFmtId="2" fontId="6" fillId="6" borderId="0" xfId="0" applyNumberFormat="1" applyFont="1" applyFill="1" applyAlignment="1">
      <alignment horizontal="left"/>
    </xf>
    <xf numFmtId="0" fontId="7" fillId="0" borderId="0" xfId="0" applyFont="1"/>
    <xf numFmtId="0" fontId="6" fillId="6" borderId="0" xfId="0" applyFont="1" applyFill="1"/>
    <xf numFmtId="0" fontId="0" fillId="0" borderId="0" xfId="0"/>
    <xf numFmtId="0" fontId="0" fillId="0" borderId="0" xfId="0" applyAlignment="1">
      <alignment wrapText="1"/>
    </xf>
    <xf numFmtId="0" fontId="7" fillId="6" borderId="0" xfId="0" applyFont="1" applyFill="1"/>
    <xf numFmtId="0" fontId="0" fillId="6" borderId="0" xfId="0" applyFill="1"/>
  </cellXfs>
  <cellStyles count="2">
    <cellStyle name="Prozent" xfId="1" builtinId="5"/>
    <cellStyle name="Standard" xfId="0" builtinId="0"/>
  </cellStyles>
  <dxfs count="6">
    <dxf>
      <fill>
        <patternFill>
          <bgColor rgb="FFFF0000"/>
        </patternFill>
      </fill>
    </dxf>
    <dxf>
      <fill>
        <patternFill>
          <bgColor theme="5"/>
        </patternFill>
      </fill>
    </dxf>
    <dxf>
      <fill>
        <patternFill>
          <bgColor rgb="FFFFC000"/>
        </patternFill>
      </fill>
    </dxf>
    <dxf>
      <fill>
        <patternFill>
          <bgColor rgb="FFFFFF00"/>
        </patternFill>
      </fill>
    </dxf>
    <dxf>
      <fill>
        <patternFill>
          <bgColor rgb="FF92D050"/>
        </patternFill>
      </fill>
    </dxf>
    <dxf>
      <fill>
        <patternFill>
          <bgColor rgb="FF00B050"/>
        </patternFill>
      </fill>
    </dxf>
  </dxfs>
  <tableStyles count="0" defaultTableStyle="TableStyleMedium2" defaultPivotStyle="PivotStyleLight16"/>
  <colors>
    <mruColors>
      <color rgb="FFFFFF99"/>
      <color rgb="FFFBEFFA"/>
      <color rgb="FFF8E4F6"/>
      <color rgb="FFBF33B2"/>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eetMetadata" Target="metadata.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png"/><Relationship Id="rId26" Type="http://schemas.openxmlformats.org/officeDocument/2006/relationships/image" Target="../media/image26.png"/><Relationship Id="rId3" Type="http://schemas.openxmlformats.org/officeDocument/2006/relationships/image" Target="../media/image3.png"/><Relationship Id="rId21" Type="http://schemas.openxmlformats.org/officeDocument/2006/relationships/image" Target="../media/image21.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25.png"/><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20.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24" Type="http://schemas.openxmlformats.org/officeDocument/2006/relationships/image" Target="../media/image24.png"/><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image" Target="../media/image23.png"/><Relationship Id="rId28" Type="http://schemas.openxmlformats.org/officeDocument/2006/relationships/image" Target="../media/image28.png"/><Relationship Id="rId10" Type="http://schemas.openxmlformats.org/officeDocument/2006/relationships/image" Target="../media/image10.png"/><Relationship Id="rId19" Type="http://schemas.openxmlformats.org/officeDocument/2006/relationships/image" Target="../media/image19.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png"/><Relationship Id="rId27" Type="http://schemas.openxmlformats.org/officeDocument/2006/relationships/image" Target="../media/image27.png"/></Relationships>
</file>

<file path=xl/drawings/_rels/drawing2.xml.rels><?xml version="1.0" encoding="UTF-8" standalone="yes"?>
<Relationships xmlns="http://schemas.openxmlformats.org/package/2006/relationships"><Relationship Id="rId13" Type="http://schemas.openxmlformats.org/officeDocument/2006/relationships/image" Target="../media/image41.png"/><Relationship Id="rId18" Type="http://schemas.openxmlformats.org/officeDocument/2006/relationships/image" Target="../media/image46.png"/><Relationship Id="rId26" Type="http://schemas.openxmlformats.org/officeDocument/2006/relationships/image" Target="../media/image220.png"/><Relationship Id="rId3" Type="http://schemas.openxmlformats.org/officeDocument/2006/relationships/image" Target="../media/image31.png"/><Relationship Id="rId21" Type="http://schemas.openxmlformats.org/officeDocument/2006/relationships/customXml" Target="../ink/ink2.xml"/><Relationship Id="rId34" Type="http://schemas.openxmlformats.org/officeDocument/2006/relationships/image" Target="../media/image260.png"/><Relationship Id="rId7" Type="http://schemas.openxmlformats.org/officeDocument/2006/relationships/image" Target="../media/image35.png"/><Relationship Id="rId12" Type="http://schemas.openxmlformats.org/officeDocument/2006/relationships/image" Target="../media/image40.png"/><Relationship Id="rId17" Type="http://schemas.openxmlformats.org/officeDocument/2006/relationships/image" Target="../media/image45.png"/><Relationship Id="rId25" Type="http://schemas.openxmlformats.org/officeDocument/2006/relationships/customXml" Target="../ink/ink4.xml"/><Relationship Id="rId33" Type="http://schemas.openxmlformats.org/officeDocument/2006/relationships/customXml" Target="../ink/ink8.xml"/><Relationship Id="rId2" Type="http://schemas.openxmlformats.org/officeDocument/2006/relationships/image" Target="../media/image30.png"/><Relationship Id="rId16" Type="http://schemas.openxmlformats.org/officeDocument/2006/relationships/image" Target="../media/image44.png"/><Relationship Id="rId20" Type="http://schemas.openxmlformats.org/officeDocument/2006/relationships/image" Target="../media/image190.png"/><Relationship Id="rId29" Type="http://schemas.openxmlformats.org/officeDocument/2006/relationships/customXml" Target="../ink/ink6.xml"/><Relationship Id="rId1" Type="http://schemas.openxmlformats.org/officeDocument/2006/relationships/image" Target="../media/image29.png"/><Relationship Id="rId6" Type="http://schemas.openxmlformats.org/officeDocument/2006/relationships/image" Target="../media/image34.png"/><Relationship Id="rId11" Type="http://schemas.openxmlformats.org/officeDocument/2006/relationships/image" Target="../media/image39.png"/><Relationship Id="rId24" Type="http://schemas.openxmlformats.org/officeDocument/2006/relationships/image" Target="../media/image210.png"/><Relationship Id="rId32" Type="http://schemas.openxmlformats.org/officeDocument/2006/relationships/image" Target="../media/image250.png"/><Relationship Id="rId5" Type="http://schemas.openxmlformats.org/officeDocument/2006/relationships/image" Target="../media/image33.png"/><Relationship Id="rId15" Type="http://schemas.openxmlformats.org/officeDocument/2006/relationships/image" Target="../media/image43.png"/><Relationship Id="rId23" Type="http://schemas.openxmlformats.org/officeDocument/2006/relationships/customXml" Target="../ink/ink3.xml"/><Relationship Id="rId28" Type="http://schemas.openxmlformats.org/officeDocument/2006/relationships/image" Target="../media/image230.png"/><Relationship Id="rId10" Type="http://schemas.openxmlformats.org/officeDocument/2006/relationships/image" Target="../media/image38.png"/><Relationship Id="rId19" Type="http://schemas.openxmlformats.org/officeDocument/2006/relationships/customXml" Target="../ink/ink1.xml"/><Relationship Id="rId31" Type="http://schemas.openxmlformats.org/officeDocument/2006/relationships/customXml" Target="../ink/ink7.xml"/><Relationship Id="rId4" Type="http://schemas.openxmlformats.org/officeDocument/2006/relationships/image" Target="../media/image32.png"/><Relationship Id="rId9" Type="http://schemas.openxmlformats.org/officeDocument/2006/relationships/image" Target="../media/image37.png"/><Relationship Id="rId14" Type="http://schemas.openxmlformats.org/officeDocument/2006/relationships/image" Target="../media/image42.png"/><Relationship Id="rId22" Type="http://schemas.openxmlformats.org/officeDocument/2006/relationships/image" Target="../media/image200.png"/><Relationship Id="rId27" Type="http://schemas.openxmlformats.org/officeDocument/2006/relationships/customXml" Target="../ink/ink5.xml"/><Relationship Id="rId30" Type="http://schemas.openxmlformats.org/officeDocument/2006/relationships/image" Target="../media/image240.png"/><Relationship Id="rId8" Type="http://schemas.openxmlformats.org/officeDocument/2006/relationships/image" Target="../media/image36.png"/></Relationships>
</file>

<file path=xl/drawings/_rels/drawing3.xml.rels><?xml version="1.0" encoding="UTF-8" standalone="yes"?>
<Relationships xmlns="http://schemas.openxmlformats.org/package/2006/relationships"><Relationship Id="rId3" Type="http://schemas.openxmlformats.org/officeDocument/2006/relationships/image" Target="../media/image49.png"/><Relationship Id="rId2" Type="http://schemas.openxmlformats.org/officeDocument/2006/relationships/image" Target="../media/image48.png"/><Relationship Id="rId1" Type="http://schemas.openxmlformats.org/officeDocument/2006/relationships/image" Target="../media/image47.png"/><Relationship Id="rId6" Type="http://schemas.openxmlformats.org/officeDocument/2006/relationships/image" Target="../media/image52.png"/><Relationship Id="rId5" Type="http://schemas.openxmlformats.org/officeDocument/2006/relationships/image" Target="../media/image51.png"/><Relationship Id="rId4" Type="http://schemas.openxmlformats.org/officeDocument/2006/relationships/image" Target="../media/image50.png"/></Relationships>
</file>

<file path=xl/drawings/_rels/drawing4.xml.rels><?xml version="1.0" encoding="UTF-8" standalone="yes"?>
<Relationships xmlns="http://schemas.openxmlformats.org/package/2006/relationships"><Relationship Id="rId3" Type="http://schemas.openxmlformats.org/officeDocument/2006/relationships/image" Target="../media/image55.png"/><Relationship Id="rId2" Type="http://schemas.openxmlformats.org/officeDocument/2006/relationships/image" Target="../media/image54.png"/><Relationship Id="rId1" Type="http://schemas.openxmlformats.org/officeDocument/2006/relationships/image" Target="../media/image53.png"/><Relationship Id="rId4" Type="http://schemas.openxmlformats.org/officeDocument/2006/relationships/image" Target="../media/image56.png"/></Relationships>
</file>

<file path=xl/drawings/drawing1.xml><?xml version="1.0" encoding="utf-8"?>
<xdr:wsDr xmlns:xdr="http://schemas.openxmlformats.org/drawingml/2006/spreadsheetDrawing" xmlns:a="http://schemas.openxmlformats.org/drawingml/2006/main">
  <xdr:twoCellAnchor editAs="oneCell">
    <xdr:from>
      <xdr:col>1</xdr:col>
      <xdr:colOff>199571</xdr:colOff>
      <xdr:row>1</xdr:row>
      <xdr:rowOff>145143</xdr:rowOff>
    </xdr:from>
    <xdr:to>
      <xdr:col>12</xdr:col>
      <xdr:colOff>390512</xdr:colOff>
      <xdr:row>22</xdr:row>
      <xdr:rowOff>113587</xdr:rowOff>
    </xdr:to>
    <xdr:pic>
      <xdr:nvPicPr>
        <xdr:cNvPr id="2" name="Grafik 1">
          <a:extLst>
            <a:ext uri="{FF2B5EF4-FFF2-40B4-BE49-F238E27FC236}">
              <a16:creationId xmlns:a16="http://schemas.microsoft.com/office/drawing/2014/main" id="{D2A96FF6-67F2-8140-1724-12F72FE098A9}"/>
            </a:ext>
          </a:extLst>
        </xdr:cNvPr>
        <xdr:cNvPicPr>
          <a:picLocks noChangeAspect="1"/>
        </xdr:cNvPicPr>
      </xdr:nvPicPr>
      <xdr:blipFill>
        <a:blip xmlns:r="http://schemas.openxmlformats.org/officeDocument/2006/relationships" r:embed="rId1"/>
        <a:stretch>
          <a:fillRect/>
        </a:stretch>
      </xdr:blipFill>
      <xdr:spPr>
        <a:xfrm>
          <a:off x="961571" y="326572"/>
          <a:ext cx="8572941" cy="3778444"/>
        </a:xfrm>
        <a:prstGeom prst="rect">
          <a:avLst/>
        </a:prstGeom>
      </xdr:spPr>
    </xdr:pic>
    <xdr:clientData/>
  </xdr:twoCellAnchor>
  <xdr:twoCellAnchor editAs="oneCell">
    <xdr:from>
      <xdr:col>13</xdr:col>
      <xdr:colOff>0</xdr:colOff>
      <xdr:row>2</xdr:row>
      <xdr:rowOff>0</xdr:rowOff>
    </xdr:from>
    <xdr:to>
      <xdr:col>24</xdr:col>
      <xdr:colOff>133788</xdr:colOff>
      <xdr:row>23</xdr:row>
      <xdr:rowOff>6546</xdr:rowOff>
    </xdr:to>
    <xdr:pic>
      <xdr:nvPicPr>
        <xdr:cNvPr id="3" name="Grafik 2">
          <a:extLst>
            <a:ext uri="{FF2B5EF4-FFF2-40B4-BE49-F238E27FC236}">
              <a16:creationId xmlns:a16="http://schemas.microsoft.com/office/drawing/2014/main" id="{09030476-83D0-0363-C147-1B73775745B2}"/>
            </a:ext>
          </a:extLst>
        </xdr:cNvPr>
        <xdr:cNvPicPr>
          <a:picLocks noChangeAspect="1"/>
        </xdr:cNvPicPr>
      </xdr:nvPicPr>
      <xdr:blipFill>
        <a:blip xmlns:r="http://schemas.openxmlformats.org/officeDocument/2006/relationships" r:embed="rId2"/>
        <a:stretch>
          <a:fillRect/>
        </a:stretch>
      </xdr:blipFill>
      <xdr:spPr>
        <a:xfrm>
          <a:off x="9906000" y="362857"/>
          <a:ext cx="8515788" cy="3816546"/>
        </a:xfrm>
        <a:prstGeom prst="rect">
          <a:avLst/>
        </a:prstGeom>
      </xdr:spPr>
    </xdr:pic>
    <xdr:clientData/>
  </xdr:twoCellAnchor>
  <xdr:twoCellAnchor editAs="oneCell">
    <xdr:from>
      <xdr:col>0</xdr:col>
      <xdr:colOff>725716</xdr:colOff>
      <xdr:row>23</xdr:row>
      <xdr:rowOff>154216</xdr:rowOff>
    </xdr:from>
    <xdr:to>
      <xdr:col>10</xdr:col>
      <xdr:colOff>192680</xdr:colOff>
      <xdr:row>40</xdr:row>
      <xdr:rowOff>124437</xdr:rowOff>
    </xdr:to>
    <xdr:pic>
      <xdr:nvPicPr>
        <xdr:cNvPr id="4" name="Grafik 3">
          <a:extLst>
            <a:ext uri="{FF2B5EF4-FFF2-40B4-BE49-F238E27FC236}">
              <a16:creationId xmlns:a16="http://schemas.microsoft.com/office/drawing/2014/main" id="{FEE27CB5-48BA-BA18-FF32-E5E08803A578}"/>
            </a:ext>
          </a:extLst>
        </xdr:cNvPr>
        <xdr:cNvPicPr>
          <a:picLocks noChangeAspect="1"/>
        </xdr:cNvPicPr>
      </xdr:nvPicPr>
      <xdr:blipFill>
        <a:blip xmlns:r="http://schemas.openxmlformats.org/officeDocument/2006/relationships" r:embed="rId3"/>
        <a:stretch>
          <a:fillRect/>
        </a:stretch>
      </xdr:blipFill>
      <xdr:spPr>
        <a:xfrm>
          <a:off x="725716" y="4327073"/>
          <a:ext cx="7086964" cy="3054507"/>
        </a:xfrm>
        <a:prstGeom prst="rect">
          <a:avLst/>
        </a:prstGeom>
      </xdr:spPr>
    </xdr:pic>
    <xdr:clientData/>
  </xdr:twoCellAnchor>
  <xdr:twoCellAnchor editAs="oneCell">
    <xdr:from>
      <xdr:col>1</xdr:col>
      <xdr:colOff>0</xdr:colOff>
      <xdr:row>40</xdr:row>
      <xdr:rowOff>163286</xdr:rowOff>
    </xdr:from>
    <xdr:to>
      <xdr:col>10</xdr:col>
      <xdr:colOff>159111</xdr:colOff>
      <xdr:row>43</xdr:row>
      <xdr:rowOff>152427</xdr:rowOff>
    </xdr:to>
    <xdr:pic>
      <xdr:nvPicPr>
        <xdr:cNvPr id="5" name="Grafik 4">
          <a:extLst>
            <a:ext uri="{FF2B5EF4-FFF2-40B4-BE49-F238E27FC236}">
              <a16:creationId xmlns:a16="http://schemas.microsoft.com/office/drawing/2014/main" id="{450BF66B-0C3E-54F9-855B-1AE65F9D41FE}"/>
            </a:ext>
          </a:extLst>
        </xdr:cNvPr>
        <xdr:cNvPicPr>
          <a:picLocks noChangeAspect="1"/>
        </xdr:cNvPicPr>
      </xdr:nvPicPr>
      <xdr:blipFill>
        <a:blip xmlns:r="http://schemas.openxmlformats.org/officeDocument/2006/relationships" r:embed="rId4"/>
        <a:stretch>
          <a:fillRect/>
        </a:stretch>
      </xdr:blipFill>
      <xdr:spPr>
        <a:xfrm>
          <a:off x="762000" y="7420429"/>
          <a:ext cx="7017111" cy="533427"/>
        </a:xfrm>
        <a:prstGeom prst="rect">
          <a:avLst/>
        </a:prstGeom>
      </xdr:spPr>
    </xdr:pic>
    <xdr:clientData/>
  </xdr:twoCellAnchor>
  <xdr:twoCellAnchor editAs="oneCell">
    <xdr:from>
      <xdr:col>1</xdr:col>
      <xdr:colOff>0</xdr:colOff>
      <xdr:row>44</xdr:row>
      <xdr:rowOff>0</xdr:rowOff>
    </xdr:from>
    <xdr:to>
      <xdr:col>10</xdr:col>
      <xdr:colOff>152760</xdr:colOff>
      <xdr:row>50</xdr:row>
      <xdr:rowOff>60837</xdr:rowOff>
    </xdr:to>
    <xdr:pic>
      <xdr:nvPicPr>
        <xdr:cNvPr id="6" name="Grafik 5">
          <a:extLst>
            <a:ext uri="{FF2B5EF4-FFF2-40B4-BE49-F238E27FC236}">
              <a16:creationId xmlns:a16="http://schemas.microsoft.com/office/drawing/2014/main" id="{61AEAF0F-14FB-D5D5-1E34-6380CCA90E40}"/>
            </a:ext>
          </a:extLst>
        </xdr:cNvPr>
        <xdr:cNvPicPr>
          <a:picLocks noChangeAspect="1"/>
        </xdr:cNvPicPr>
      </xdr:nvPicPr>
      <xdr:blipFill>
        <a:blip xmlns:r="http://schemas.openxmlformats.org/officeDocument/2006/relationships" r:embed="rId5"/>
        <a:stretch>
          <a:fillRect/>
        </a:stretch>
      </xdr:blipFill>
      <xdr:spPr>
        <a:xfrm>
          <a:off x="762000" y="7982857"/>
          <a:ext cx="7010760" cy="1149409"/>
        </a:xfrm>
        <a:prstGeom prst="rect">
          <a:avLst/>
        </a:prstGeom>
      </xdr:spPr>
    </xdr:pic>
    <xdr:clientData/>
  </xdr:twoCellAnchor>
  <xdr:twoCellAnchor editAs="oneCell">
    <xdr:from>
      <xdr:col>1</xdr:col>
      <xdr:colOff>0</xdr:colOff>
      <xdr:row>51</xdr:row>
      <xdr:rowOff>9071</xdr:rowOff>
    </xdr:from>
    <xdr:to>
      <xdr:col>10</xdr:col>
      <xdr:colOff>159111</xdr:colOff>
      <xdr:row>52</xdr:row>
      <xdr:rowOff>119757</xdr:rowOff>
    </xdr:to>
    <xdr:pic>
      <xdr:nvPicPr>
        <xdr:cNvPr id="7" name="Grafik 6">
          <a:extLst>
            <a:ext uri="{FF2B5EF4-FFF2-40B4-BE49-F238E27FC236}">
              <a16:creationId xmlns:a16="http://schemas.microsoft.com/office/drawing/2014/main" id="{7D953ACE-C14C-AE0B-BD48-6895DFE25FB7}"/>
            </a:ext>
          </a:extLst>
        </xdr:cNvPr>
        <xdr:cNvPicPr>
          <a:picLocks noChangeAspect="1"/>
        </xdr:cNvPicPr>
      </xdr:nvPicPr>
      <xdr:blipFill>
        <a:blip xmlns:r="http://schemas.openxmlformats.org/officeDocument/2006/relationships" r:embed="rId6"/>
        <a:stretch>
          <a:fillRect/>
        </a:stretch>
      </xdr:blipFill>
      <xdr:spPr>
        <a:xfrm>
          <a:off x="762000" y="9261928"/>
          <a:ext cx="7017111" cy="292115"/>
        </a:xfrm>
        <a:prstGeom prst="rect">
          <a:avLst/>
        </a:prstGeom>
      </xdr:spPr>
    </xdr:pic>
    <xdr:clientData/>
  </xdr:twoCellAnchor>
  <xdr:twoCellAnchor editAs="oneCell">
    <xdr:from>
      <xdr:col>11</xdr:col>
      <xdr:colOff>0</xdr:colOff>
      <xdr:row>26</xdr:row>
      <xdr:rowOff>136070</xdr:rowOff>
    </xdr:from>
    <xdr:to>
      <xdr:col>20</xdr:col>
      <xdr:colOff>152760</xdr:colOff>
      <xdr:row>40</xdr:row>
      <xdr:rowOff>40946</xdr:rowOff>
    </xdr:to>
    <xdr:pic>
      <xdr:nvPicPr>
        <xdr:cNvPr id="8" name="Grafik 7">
          <a:extLst>
            <a:ext uri="{FF2B5EF4-FFF2-40B4-BE49-F238E27FC236}">
              <a16:creationId xmlns:a16="http://schemas.microsoft.com/office/drawing/2014/main" id="{63CE2693-5719-DA05-637D-E6FE3CF40566}"/>
            </a:ext>
          </a:extLst>
        </xdr:cNvPr>
        <xdr:cNvPicPr>
          <a:picLocks noChangeAspect="1"/>
        </xdr:cNvPicPr>
      </xdr:nvPicPr>
      <xdr:blipFill>
        <a:blip xmlns:r="http://schemas.openxmlformats.org/officeDocument/2006/relationships" r:embed="rId7"/>
        <a:stretch>
          <a:fillRect/>
        </a:stretch>
      </xdr:blipFill>
      <xdr:spPr>
        <a:xfrm>
          <a:off x="8382000" y="4853213"/>
          <a:ext cx="7010760" cy="2444876"/>
        </a:xfrm>
        <a:prstGeom prst="rect">
          <a:avLst/>
        </a:prstGeom>
      </xdr:spPr>
    </xdr:pic>
    <xdr:clientData/>
  </xdr:twoCellAnchor>
  <xdr:twoCellAnchor editAs="oneCell">
    <xdr:from>
      <xdr:col>11</xdr:col>
      <xdr:colOff>0</xdr:colOff>
      <xdr:row>41</xdr:row>
      <xdr:rowOff>0</xdr:rowOff>
    </xdr:from>
    <xdr:to>
      <xdr:col>20</xdr:col>
      <xdr:colOff>159111</xdr:colOff>
      <xdr:row>42</xdr:row>
      <xdr:rowOff>110686</xdr:rowOff>
    </xdr:to>
    <xdr:pic>
      <xdr:nvPicPr>
        <xdr:cNvPr id="9" name="Grafik 8">
          <a:extLst>
            <a:ext uri="{FF2B5EF4-FFF2-40B4-BE49-F238E27FC236}">
              <a16:creationId xmlns:a16="http://schemas.microsoft.com/office/drawing/2014/main" id="{DCF274E1-EF44-9C58-C824-C584534E8565}"/>
            </a:ext>
          </a:extLst>
        </xdr:cNvPr>
        <xdr:cNvPicPr>
          <a:picLocks noChangeAspect="1"/>
        </xdr:cNvPicPr>
      </xdr:nvPicPr>
      <xdr:blipFill>
        <a:blip xmlns:r="http://schemas.openxmlformats.org/officeDocument/2006/relationships" r:embed="rId8"/>
        <a:stretch>
          <a:fillRect/>
        </a:stretch>
      </xdr:blipFill>
      <xdr:spPr>
        <a:xfrm>
          <a:off x="8382000" y="7438571"/>
          <a:ext cx="7017111" cy="292115"/>
        </a:xfrm>
        <a:prstGeom prst="rect">
          <a:avLst/>
        </a:prstGeom>
      </xdr:spPr>
    </xdr:pic>
    <xdr:clientData/>
  </xdr:twoCellAnchor>
  <xdr:twoCellAnchor editAs="oneCell">
    <xdr:from>
      <xdr:col>11</xdr:col>
      <xdr:colOff>0</xdr:colOff>
      <xdr:row>44</xdr:row>
      <xdr:rowOff>0</xdr:rowOff>
    </xdr:from>
    <xdr:to>
      <xdr:col>20</xdr:col>
      <xdr:colOff>140060</xdr:colOff>
      <xdr:row>45</xdr:row>
      <xdr:rowOff>110686</xdr:rowOff>
    </xdr:to>
    <xdr:pic>
      <xdr:nvPicPr>
        <xdr:cNvPr id="10" name="Grafik 9">
          <a:extLst>
            <a:ext uri="{FF2B5EF4-FFF2-40B4-BE49-F238E27FC236}">
              <a16:creationId xmlns:a16="http://schemas.microsoft.com/office/drawing/2014/main" id="{1C590DAF-608C-2DD9-A57F-10FF1764364B}"/>
            </a:ext>
          </a:extLst>
        </xdr:cNvPr>
        <xdr:cNvPicPr>
          <a:picLocks noChangeAspect="1"/>
        </xdr:cNvPicPr>
      </xdr:nvPicPr>
      <xdr:blipFill>
        <a:blip xmlns:r="http://schemas.openxmlformats.org/officeDocument/2006/relationships" r:embed="rId9"/>
        <a:stretch>
          <a:fillRect/>
        </a:stretch>
      </xdr:blipFill>
      <xdr:spPr>
        <a:xfrm>
          <a:off x="8382000" y="7982857"/>
          <a:ext cx="6998060" cy="292115"/>
        </a:xfrm>
        <a:prstGeom prst="rect">
          <a:avLst/>
        </a:prstGeom>
      </xdr:spPr>
    </xdr:pic>
    <xdr:clientData/>
  </xdr:twoCellAnchor>
  <xdr:twoCellAnchor editAs="oneCell">
    <xdr:from>
      <xdr:col>11</xdr:col>
      <xdr:colOff>0</xdr:colOff>
      <xdr:row>46</xdr:row>
      <xdr:rowOff>0</xdr:rowOff>
    </xdr:from>
    <xdr:to>
      <xdr:col>20</xdr:col>
      <xdr:colOff>159111</xdr:colOff>
      <xdr:row>49</xdr:row>
      <xdr:rowOff>84396</xdr:rowOff>
    </xdr:to>
    <xdr:pic>
      <xdr:nvPicPr>
        <xdr:cNvPr id="11" name="Grafik 10">
          <a:extLst>
            <a:ext uri="{FF2B5EF4-FFF2-40B4-BE49-F238E27FC236}">
              <a16:creationId xmlns:a16="http://schemas.microsoft.com/office/drawing/2014/main" id="{A088A614-4655-DDCD-0E76-6F6C1707E6DA}"/>
            </a:ext>
          </a:extLst>
        </xdr:cNvPr>
        <xdr:cNvPicPr>
          <a:picLocks noChangeAspect="1"/>
        </xdr:cNvPicPr>
      </xdr:nvPicPr>
      <xdr:blipFill>
        <a:blip xmlns:r="http://schemas.openxmlformats.org/officeDocument/2006/relationships" r:embed="rId10"/>
        <a:stretch>
          <a:fillRect/>
        </a:stretch>
      </xdr:blipFill>
      <xdr:spPr>
        <a:xfrm>
          <a:off x="8382000" y="8345714"/>
          <a:ext cx="7017111" cy="628682"/>
        </a:xfrm>
        <a:prstGeom prst="rect">
          <a:avLst/>
        </a:prstGeom>
      </xdr:spPr>
    </xdr:pic>
    <xdr:clientData/>
  </xdr:twoCellAnchor>
  <xdr:twoCellAnchor editAs="oneCell">
    <xdr:from>
      <xdr:col>11</xdr:col>
      <xdr:colOff>0</xdr:colOff>
      <xdr:row>51</xdr:row>
      <xdr:rowOff>0</xdr:rowOff>
    </xdr:from>
    <xdr:to>
      <xdr:col>20</xdr:col>
      <xdr:colOff>133709</xdr:colOff>
      <xdr:row>52</xdr:row>
      <xdr:rowOff>129737</xdr:rowOff>
    </xdr:to>
    <xdr:pic>
      <xdr:nvPicPr>
        <xdr:cNvPr id="12" name="Grafik 11">
          <a:extLst>
            <a:ext uri="{FF2B5EF4-FFF2-40B4-BE49-F238E27FC236}">
              <a16:creationId xmlns:a16="http://schemas.microsoft.com/office/drawing/2014/main" id="{AD6548BF-A2D6-7AB9-05B8-3F1E7E99FFA8}"/>
            </a:ext>
          </a:extLst>
        </xdr:cNvPr>
        <xdr:cNvPicPr>
          <a:picLocks noChangeAspect="1"/>
        </xdr:cNvPicPr>
      </xdr:nvPicPr>
      <xdr:blipFill>
        <a:blip xmlns:r="http://schemas.openxmlformats.org/officeDocument/2006/relationships" r:embed="rId11"/>
        <a:stretch>
          <a:fillRect/>
        </a:stretch>
      </xdr:blipFill>
      <xdr:spPr>
        <a:xfrm>
          <a:off x="8382000" y="9252857"/>
          <a:ext cx="6991709" cy="311166"/>
        </a:xfrm>
        <a:prstGeom prst="rect">
          <a:avLst/>
        </a:prstGeom>
      </xdr:spPr>
    </xdr:pic>
    <xdr:clientData/>
  </xdr:twoCellAnchor>
  <xdr:twoCellAnchor editAs="oneCell">
    <xdr:from>
      <xdr:col>1</xdr:col>
      <xdr:colOff>0</xdr:colOff>
      <xdr:row>54</xdr:row>
      <xdr:rowOff>0</xdr:rowOff>
    </xdr:from>
    <xdr:to>
      <xdr:col>8</xdr:col>
      <xdr:colOff>139981</xdr:colOff>
      <xdr:row>72</xdr:row>
      <xdr:rowOff>169813</xdr:rowOff>
    </xdr:to>
    <xdr:pic>
      <xdr:nvPicPr>
        <xdr:cNvPr id="13" name="Grafik 12">
          <a:extLst>
            <a:ext uri="{FF2B5EF4-FFF2-40B4-BE49-F238E27FC236}">
              <a16:creationId xmlns:a16="http://schemas.microsoft.com/office/drawing/2014/main" id="{60119D72-369B-94CF-901A-955DD20A1568}"/>
            </a:ext>
          </a:extLst>
        </xdr:cNvPr>
        <xdr:cNvPicPr>
          <a:picLocks noChangeAspect="1"/>
        </xdr:cNvPicPr>
      </xdr:nvPicPr>
      <xdr:blipFill>
        <a:blip xmlns:r="http://schemas.openxmlformats.org/officeDocument/2006/relationships" r:embed="rId12"/>
        <a:stretch>
          <a:fillRect/>
        </a:stretch>
      </xdr:blipFill>
      <xdr:spPr>
        <a:xfrm>
          <a:off x="762000" y="9797143"/>
          <a:ext cx="5473981" cy="3435527"/>
        </a:xfrm>
        <a:prstGeom prst="rect">
          <a:avLst/>
        </a:prstGeom>
      </xdr:spPr>
    </xdr:pic>
    <xdr:clientData/>
  </xdr:twoCellAnchor>
  <xdr:twoCellAnchor editAs="oneCell">
    <xdr:from>
      <xdr:col>8</xdr:col>
      <xdr:colOff>335643</xdr:colOff>
      <xdr:row>54</xdr:row>
      <xdr:rowOff>0</xdr:rowOff>
    </xdr:from>
    <xdr:to>
      <xdr:col>15</xdr:col>
      <xdr:colOff>526427</xdr:colOff>
      <xdr:row>72</xdr:row>
      <xdr:rowOff>169813</xdr:rowOff>
    </xdr:to>
    <xdr:pic>
      <xdr:nvPicPr>
        <xdr:cNvPr id="14" name="Grafik 13">
          <a:extLst>
            <a:ext uri="{FF2B5EF4-FFF2-40B4-BE49-F238E27FC236}">
              <a16:creationId xmlns:a16="http://schemas.microsoft.com/office/drawing/2014/main" id="{4D984A33-BC68-9357-6D4A-9DCDB6E95BC3}"/>
            </a:ext>
          </a:extLst>
        </xdr:cNvPr>
        <xdr:cNvPicPr>
          <a:picLocks noChangeAspect="1"/>
        </xdr:cNvPicPr>
      </xdr:nvPicPr>
      <xdr:blipFill>
        <a:blip xmlns:r="http://schemas.openxmlformats.org/officeDocument/2006/relationships" r:embed="rId13"/>
        <a:stretch>
          <a:fillRect/>
        </a:stretch>
      </xdr:blipFill>
      <xdr:spPr>
        <a:xfrm>
          <a:off x="6431643" y="9797143"/>
          <a:ext cx="5524784" cy="3435527"/>
        </a:xfrm>
        <a:prstGeom prst="rect">
          <a:avLst/>
        </a:prstGeom>
      </xdr:spPr>
    </xdr:pic>
    <xdr:clientData/>
  </xdr:twoCellAnchor>
  <xdr:twoCellAnchor editAs="oneCell">
    <xdr:from>
      <xdr:col>16</xdr:col>
      <xdr:colOff>0</xdr:colOff>
      <xdr:row>54</xdr:row>
      <xdr:rowOff>0</xdr:rowOff>
    </xdr:from>
    <xdr:to>
      <xdr:col>23</xdr:col>
      <xdr:colOff>171733</xdr:colOff>
      <xdr:row>73</xdr:row>
      <xdr:rowOff>7435</xdr:rowOff>
    </xdr:to>
    <xdr:pic>
      <xdr:nvPicPr>
        <xdr:cNvPr id="15" name="Grafik 14">
          <a:extLst>
            <a:ext uri="{FF2B5EF4-FFF2-40B4-BE49-F238E27FC236}">
              <a16:creationId xmlns:a16="http://schemas.microsoft.com/office/drawing/2014/main" id="{BA049D70-3415-D0D5-8835-51C259D3E241}"/>
            </a:ext>
          </a:extLst>
        </xdr:cNvPr>
        <xdr:cNvPicPr>
          <a:picLocks noChangeAspect="1"/>
        </xdr:cNvPicPr>
      </xdr:nvPicPr>
      <xdr:blipFill>
        <a:blip xmlns:r="http://schemas.openxmlformats.org/officeDocument/2006/relationships" r:embed="rId14"/>
        <a:stretch>
          <a:fillRect/>
        </a:stretch>
      </xdr:blipFill>
      <xdr:spPr>
        <a:xfrm>
          <a:off x="12192000" y="9797143"/>
          <a:ext cx="5505733" cy="3454578"/>
        </a:xfrm>
        <a:prstGeom prst="rect">
          <a:avLst/>
        </a:prstGeom>
      </xdr:spPr>
    </xdr:pic>
    <xdr:clientData/>
  </xdr:twoCellAnchor>
  <xdr:twoCellAnchor editAs="oneCell">
    <xdr:from>
      <xdr:col>23</xdr:col>
      <xdr:colOff>308429</xdr:colOff>
      <xdr:row>53</xdr:row>
      <xdr:rowOff>172357</xdr:rowOff>
    </xdr:from>
    <xdr:to>
      <xdr:col>30</xdr:col>
      <xdr:colOff>486512</xdr:colOff>
      <xdr:row>72</xdr:row>
      <xdr:rowOff>65486</xdr:rowOff>
    </xdr:to>
    <xdr:pic>
      <xdr:nvPicPr>
        <xdr:cNvPr id="16" name="Grafik 15">
          <a:extLst>
            <a:ext uri="{FF2B5EF4-FFF2-40B4-BE49-F238E27FC236}">
              <a16:creationId xmlns:a16="http://schemas.microsoft.com/office/drawing/2014/main" id="{8CC16566-11F5-AE56-113F-E491D893514C}"/>
            </a:ext>
          </a:extLst>
        </xdr:cNvPr>
        <xdr:cNvPicPr>
          <a:picLocks noChangeAspect="1"/>
        </xdr:cNvPicPr>
      </xdr:nvPicPr>
      <xdr:blipFill>
        <a:blip xmlns:r="http://schemas.openxmlformats.org/officeDocument/2006/relationships" r:embed="rId15"/>
        <a:stretch>
          <a:fillRect/>
        </a:stretch>
      </xdr:blipFill>
      <xdr:spPr>
        <a:xfrm>
          <a:off x="17834429" y="9788071"/>
          <a:ext cx="5512083" cy="3340272"/>
        </a:xfrm>
        <a:prstGeom prst="rect">
          <a:avLst/>
        </a:prstGeom>
      </xdr:spPr>
    </xdr:pic>
    <xdr:clientData/>
  </xdr:twoCellAnchor>
  <xdr:twoCellAnchor editAs="oneCell">
    <xdr:from>
      <xdr:col>21</xdr:col>
      <xdr:colOff>0</xdr:colOff>
      <xdr:row>27</xdr:row>
      <xdr:rowOff>0</xdr:rowOff>
    </xdr:from>
    <xdr:to>
      <xdr:col>29</xdr:col>
      <xdr:colOff>178122</xdr:colOff>
      <xdr:row>28</xdr:row>
      <xdr:rowOff>53533</xdr:rowOff>
    </xdr:to>
    <xdr:pic>
      <xdr:nvPicPr>
        <xdr:cNvPr id="17" name="Grafik 16">
          <a:extLst>
            <a:ext uri="{FF2B5EF4-FFF2-40B4-BE49-F238E27FC236}">
              <a16:creationId xmlns:a16="http://schemas.microsoft.com/office/drawing/2014/main" id="{42076595-6887-1131-FB23-0DE970C7C401}"/>
            </a:ext>
          </a:extLst>
        </xdr:cNvPr>
        <xdr:cNvPicPr>
          <a:picLocks noChangeAspect="1"/>
        </xdr:cNvPicPr>
      </xdr:nvPicPr>
      <xdr:blipFill>
        <a:blip xmlns:r="http://schemas.openxmlformats.org/officeDocument/2006/relationships" r:embed="rId16"/>
        <a:stretch>
          <a:fillRect/>
        </a:stretch>
      </xdr:blipFill>
      <xdr:spPr>
        <a:xfrm>
          <a:off x="16002000" y="4898571"/>
          <a:ext cx="6274122" cy="234962"/>
        </a:xfrm>
        <a:prstGeom prst="rect">
          <a:avLst/>
        </a:prstGeom>
      </xdr:spPr>
    </xdr:pic>
    <xdr:clientData/>
  </xdr:twoCellAnchor>
  <xdr:twoCellAnchor editAs="oneCell">
    <xdr:from>
      <xdr:col>21</xdr:col>
      <xdr:colOff>0</xdr:colOff>
      <xdr:row>29</xdr:row>
      <xdr:rowOff>0</xdr:rowOff>
    </xdr:from>
    <xdr:to>
      <xdr:col>29</xdr:col>
      <xdr:colOff>178122</xdr:colOff>
      <xdr:row>33</xdr:row>
      <xdr:rowOff>80777</xdr:rowOff>
    </xdr:to>
    <xdr:pic>
      <xdr:nvPicPr>
        <xdr:cNvPr id="18" name="Grafik 17">
          <a:extLst>
            <a:ext uri="{FF2B5EF4-FFF2-40B4-BE49-F238E27FC236}">
              <a16:creationId xmlns:a16="http://schemas.microsoft.com/office/drawing/2014/main" id="{6BDA38C3-0117-D7CE-80B4-F14F8C0649FE}"/>
            </a:ext>
          </a:extLst>
        </xdr:cNvPr>
        <xdr:cNvPicPr>
          <a:picLocks noChangeAspect="1"/>
        </xdr:cNvPicPr>
      </xdr:nvPicPr>
      <xdr:blipFill>
        <a:blip xmlns:r="http://schemas.openxmlformats.org/officeDocument/2006/relationships" r:embed="rId17"/>
        <a:stretch>
          <a:fillRect/>
        </a:stretch>
      </xdr:blipFill>
      <xdr:spPr>
        <a:xfrm>
          <a:off x="16002000" y="5261429"/>
          <a:ext cx="6274122" cy="806491"/>
        </a:xfrm>
        <a:prstGeom prst="rect">
          <a:avLst/>
        </a:prstGeom>
      </xdr:spPr>
    </xdr:pic>
    <xdr:clientData/>
  </xdr:twoCellAnchor>
  <xdr:twoCellAnchor editAs="oneCell">
    <xdr:from>
      <xdr:col>21</xdr:col>
      <xdr:colOff>0</xdr:colOff>
      <xdr:row>33</xdr:row>
      <xdr:rowOff>127002</xdr:rowOff>
    </xdr:from>
    <xdr:to>
      <xdr:col>29</xdr:col>
      <xdr:colOff>178122</xdr:colOff>
      <xdr:row>36</xdr:row>
      <xdr:rowOff>58990</xdr:rowOff>
    </xdr:to>
    <xdr:pic>
      <xdr:nvPicPr>
        <xdr:cNvPr id="19" name="Grafik 18">
          <a:extLst>
            <a:ext uri="{FF2B5EF4-FFF2-40B4-BE49-F238E27FC236}">
              <a16:creationId xmlns:a16="http://schemas.microsoft.com/office/drawing/2014/main" id="{34A94BF4-3FB8-2E65-BFB3-D1E81AC53E98}"/>
            </a:ext>
          </a:extLst>
        </xdr:cNvPr>
        <xdr:cNvPicPr>
          <a:picLocks noChangeAspect="1"/>
        </xdr:cNvPicPr>
      </xdr:nvPicPr>
      <xdr:blipFill>
        <a:blip xmlns:r="http://schemas.openxmlformats.org/officeDocument/2006/relationships" r:embed="rId18"/>
        <a:stretch>
          <a:fillRect/>
        </a:stretch>
      </xdr:blipFill>
      <xdr:spPr>
        <a:xfrm>
          <a:off x="16002000" y="6114145"/>
          <a:ext cx="6274122" cy="476274"/>
        </a:xfrm>
        <a:prstGeom prst="rect">
          <a:avLst/>
        </a:prstGeom>
      </xdr:spPr>
    </xdr:pic>
    <xdr:clientData/>
  </xdr:twoCellAnchor>
  <xdr:twoCellAnchor editAs="oneCell">
    <xdr:from>
      <xdr:col>21</xdr:col>
      <xdr:colOff>27213</xdr:colOff>
      <xdr:row>36</xdr:row>
      <xdr:rowOff>90716</xdr:rowOff>
    </xdr:from>
    <xdr:to>
      <xdr:col>29</xdr:col>
      <xdr:colOff>205335</xdr:colOff>
      <xdr:row>43</xdr:row>
      <xdr:rowOff>116183</xdr:rowOff>
    </xdr:to>
    <xdr:pic>
      <xdr:nvPicPr>
        <xdr:cNvPr id="20" name="Grafik 19">
          <a:extLst>
            <a:ext uri="{FF2B5EF4-FFF2-40B4-BE49-F238E27FC236}">
              <a16:creationId xmlns:a16="http://schemas.microsoft.com/office/drawing/2014/main" id="{9EB91D6A-13EF-88D4-672B-8437CD37428A}"/>
            </a:ext>
          </a:extLst>
        </xdr:cNvPr>
        <xdr:cNvPicPr>
          <a:picLocks noChangeAspect="1"/>
        </xdr:cNvPicPr>
      </xdr:nvPicPr>
      <xdr:blipFill>
        <a:blip xmlns:r="http://schemas.openxmlformats.org/officeDocument/2006/relationships" r:embed="rId19"/>
        <a:stretch>
          <a:fillRect/>
        </a:stretch>
      </xdr:blipFill>
      <xdr:spPr>
        <a:xfrm>
          <a:off x="16029213" y="6622145"/>
          <a:ext cx="6274122" cy="1295467"/>
        </a:xfrm>
        <a:prstGeom prst="rect">
          <a:avLst/>
        </a:prstGeom>
      </xdr:spPr>
    </xdr:pic>
    <xdr:clientData/>
  </xdr:twoCellAnchor>
  <xdr:twoCellAnchor editAs="oneCell">
    <xdr:from>
      <xdr:col>30</xdr:col>
      <xdr:colOff>0</xdr:colOff>
      <xdr:row>27</xdr:row>
      <xdr:rowOff>0</xdr:rowOff>
    </xdr:from>
    <xdr:to>
      <xdr:col>38</xdr:col>
      <xdr:colOff>254326</xdr:colOff>
      <xdr:row>28</xdr:row>
      <xdr:rowOff>34482</xdr:rowOff>
    </xdr:to>
    <xdr:pic>
      <xdr:nvPicPr>
        <xdr:cNvPr id="22" name="Grafik 21">
          <a:extLst>
            <a:ext uri="{FF2B5EF4-FFF2-40B4-BE49-F238E27FC236}">
              <a16:creationId xmlns:a16="http://schemas.microsoft.com/office/drawing/2014/main" id="{78782558-6679-ADAB-5767-6D2B6ADF7F5B}"/>
            </a:ext>
          </a:extLst>
        </xdr:cNvPr>
        <xdr:cNvPicPr>
          <a:picLocks noChangeAspect="1"/>
        </xdr:cNvPicPr>
      </xdr:nvPicPr>
      <xdr:blipFill>
        <a:blip xmlns:r="http://schemas.openxmlformats.org/officeDocument/2006/relationships" r:embed="rId20"/>
        <a:stretch>
          <a:fillRect/>
        </a:stretch>
      </xdr:blipFill>
      <xdr:spPr>
        <a:xfrm>
          <a:off x="22860000" y="4898571"/>
          <a:ext cx="6350326" cy="215911"/>
        </a:xfrm>
        <a:prstGeom prst="rect">
          <a:avLst/>
        </a:prstGeom>
      </xdr:spPr>
    </xdr:pic>
    <xdr:clientData/>
  </xdr:twoCellAnchor>
  <xdr:twoCellAnchor editAs="oneCell">
    <xdr:from>
      <xdr:col>30</xdr:col>
      <xdr:colOff>0</xdr:colOff>
      <xdr:row>29</xdr:row>
      <xdr:rowOff>0</xdr:rowOff>
    </xdr:from>
    <xdr:to>
      <xdr:col>38</xdr:col>
      <xdr:colOff>140020</xdr:colOff>
      <xdr:row>33</xdr:row>
      <xdr:rowOff>55376</xdr:rowOff>
    </xdr:to>
    <xdr:pic>
      <xdr:nvPicPr>
        <xdr:cNvPr id="23" name="Grafik 22">
          <a:extLst>
            <a:ext uri="{FF2B5EF4-FFF2-40B4-BE49-F238E27FC236}">
              <a16:creationId xmlns:a16="http://schemas.microsoft.com/office/drawing/2014/main" id="{DED81574-E41D-FF53-89C9-3C31EFE0752D}"/>
            </a:ext>
          </a:extLst>
        </xdr:cNvPr>
        <xdr:cNvPicPr>
          <a:picLocks noChangeAspect="1"/>
        </xdr:cNvPicPr>
      </xdr:nvPicPr>
      <xdr:blipFill>
        <a:blip xmlns:r="http://schemas.openxmlformats.org/officeDocument/2006/relationships" r:embed="rId21"/>
        <a:stretch>
          <a:fillRect/>
        </a:stretch>
      </xdr:blipFill>
      <xdr:spPr>
        <a:xfrm>
          <a:off x="22860000" y="5261429"/>
          <a:ext cx="6236020" cy="781090"/>
        </a:xfrm>
        <a:prstGeom prst="rect">
          <a:avLst/>
        </a:prstGeom>
      </xdr:spPr>
    </xdr:pic>
    <xdr:clientData/>
  </xdr:twoCellAnchor>
  <xdr:twoCellAnchor editAs="oneCell">
    <xdr:from>
      <xdr:col>30</xdr:col>
      <xdr:colOff>0</xdr:colOff>
      <xdr:row>36</xdr:row>
      <xdr:rowOff>72570</xdr:rowOff>
    </xdr:from>
    <xdr:to>
      <xdr:col>38</xdr:col>
      <xdr:colOff>190823</xdr:colOff>
      <xdr:row>43</xdr:row>
      <xdr:rowOff>104387</xdr:rowOff>
    </xdr:to>
    <xdr:pic>
      <xdr:nvPicPr>
        <xdr:cNvPr id="24" name="Grafik 23">
          <a:extLst>
            <a:ext uri="{FF2B5EF4-FFF2-40B4-BE49-F238E27FC236}">
              <a16:creationId xmlns:a16="http://schemas.microsoft.com/office/drawing/2014/main" id="{2C11A2A0-7F5A-A92F-A65F-520E19F513D2}"/>
            </a:ext>
          </a:extLst>
        </xdr:cNvPr>
        <xdr:cNvPicPr>
          <a:picLocks noChangeAspect="1"/>
        </xdr:cNvPicPr>
      </xdr:nvPicPr>
      <xdr:blipFill>
        <a:blip xmlns:r="http://schemas.openxmlformats.org/officeDocument/2006/relationships" r:embed="rId22"/>
        <a:stretch>
          <a:fillRect/>
        </a:stretch>
      </xdr:blipFill>
      <xdr:spPr>
        <a:xfrm>
          <a:off x="22860000" y="6603999"/>
          <a:ext cx="6286823" cy="1301817"/>
        </a:xfrm>
        <a:prstGeom prst="rect">
          <a:avLst/>
        </a:prstGeom>
      </xdr:spPr>
    </xdr:pic>
    <xdr:clientData/>
  </xdr:twoCellAnchor>
  <xdr:twoCellAnchor editAs="oneCell">
    <xdr:from>
      <xdr:col>39</xdr:col>
      <xdr:colOff>0</xdr:colOff>
      <xdr:row>27</xdr:row>
      <xdr:rowOff>0</xdr:rowOff>
    </xdr:from>
    <xdr:to>
      <xdr:col>47</xdr:col>
      <xdr:colOff>247976</xdr:colOff>
      <xdr:row>28</xdr:row>
      <xdr:rowOff>34482</xdr:rowOff>
    </xdr:to>
    <xdr:pic>
      <xdr:nvPicPr>
        <xdr:cNvPr id="25" name="Grafik 24">
          <a:extLst>
            <a:ext uri="{FF2B5EF4-FFF2-40B4-BE49-F238E27FC236}">
              <a16:creationId xmlns:a16="http://schemas.microsoft.com/office/drawing/2014/main" id="{AC8672C3-D01D-C708-A135-846034061304}"/>
            </a:ext>
          </a:extLst>
        </xdr:cNvPr>
        <xdr:cNvPicPr>
          <a:picLocks noChangeAspect="1"/>
        </xdr:cNvPicPr>
      </xdr:nvPicPr>
      <xdr:blipFill>
        <a:blip xmlns:r="http://schemas.openxmlformats.org/officeDocument/2006/relationships" r:embed="rId23"/>
        <a:stretch>
          <a:fillRect/>
        </a:stretch>
      </xdr:blipFill>
      <xdr:spPr>
        <a:xfrm>
          <a:off x="29718000" y="4898571"/>
          <a:ext cx="6343976" cy="215911"/>
        </a:xfrm>
        <a:prstGeom prst="rect">
          <a:avLst/>
        </a:prstGeom>
      </xdr:spPr>
    </xdr:pic>
    <xdr:clientData/>
  </xdr:twoCellAnchor>
  <xdr:twoCellAnchor editAs="oneCell">
    <xdr:from>
      <xdr:col>39</xdr:col>
      <xdr:colOff>0</xdr:colOff>
      <xdr:row>29</xdr:row>
      <xdr:rowOff>0</xdr:rowOff>
    </xdr:from>
    <xdr:to>
      <xdr:col>47</xdr:col>
      <xdr:colOff>159071</xdr:colOff>
      <xdr:row>33</xdr:row>
      <xdr:rowOff>42675</xdr:rowOff>
    </xdr:to>
    <xdr:pic>
      <xdr:nvPicPr>
        <xdr:cNvPr id="26" name="Grafik 25">
          <a:extLst>
            <a:ext uri="{FF2B5EF4-FFF2-40B4-BE49-F238E27FC236}">
              <a16:creationId xmlns:a16="http://schemas.microsoft.com/office/drawing/2014/main" id="{EB3D54DA-2164-7A7F-6CD6-23A45BFB792E}"/>
            </a:ext>
          </a:extLst>
        </xdr:cNvPr>
        <xdr:cNvPicPr>
          <a:picLocks noChangeAspect="1"/>
        </xdr:cNvPicPr>
      </xdr:nvPicPr>
      <xdr:blipFill>
        <a:blip xmlns:r="http://schemas.openxmlformats.org/officeDocument/2006/relationships" r:embed="rId24"/>
        <a:stretch>
          <a:fillRect/>
        </a:stretch>
      </xdr:blipFill>
      <xdr:spPr>
        <a:xfrm>
          <a:off x="29718000" y="5261429"/>
          <a:ext cx="6255071" cy="768389"/>
        </a:xfrm>
        <a:prstGeom prst="rect">
          <a:avLst/>
        </a:prstGeom>
      </xdr:spPr>
    </xdr:pic>
    <xdr:clientData/>
  </xdr:twoCellAnchor>
  <xdr:twoCellAnchor editAs="oneCell">
    <xdr:from>
      <xdr:col>39</xdr:col>
      <xdr:colOff>0</xdr:colOff>
      <xdr:row>36</xdr:row>
      <xdr:rowOff>45355</xdr:rowOff>
    </xdr:from>
    <xdr:to>
      <xdr:col>47</xdr:col>
      <xdr:colOff>171772</xdr:colOff>
      <xdr:row>43</xdr:row>
      <xdr:rowOff>58121</xdr:rowOff>
    </xdr:to>
    <xdr:pic>
      <xdr:nvPicPr>
        <xdr:cNvPr id="27" name="Grafik 26">
          <a:extLst>
            <a:ext uri="{FF2B5EF4-FFF2-40B4-BE49-F238E27FC236}">
              <a16:creationId xmlns:a16="http://schemas.microsoft.com/office/drawing/2014/main" id="{6621060D-75FC-9F66-B514-FF9DF967EE8C}"/>
            </a:ext>
          </a:extLst>
        </xdr:cNvPr>
        <xdr:cNvPicPr>
          <a:picLocks noChangeAspect="1"/>
        </xdr:cNvPicPr>
      </xdr:nvPicPr>
      <xdr:blipFill>
        <a:blip xmlns:r="http://schemas.openxmlformats.org/officeDocument/2006/relationships" r:embed="rId25"/>
        <a:stretch>
          <a:fillRect/>
        </a:stretch>
      </xdr:blipFill>
      <xdr:spPr>
        <a:xfrm>
          <a:off x="29718000" y="6576784"/>
          <a:ext cx="6267772" cy="1282766"/>
        </a:xfrm>
        <a:prstGeom prst="rect">
          <a:avLst/>
        </a:prstGeom>
      </xdr:spPr>
    </xdr:pic>
    <xdr:clientData/>
  </xdr:twoCellAnchor>
  <xdr:twoCellAnchor editAs="oneCell">
    <xdr:from>
      <xdr:col>8</xdr:col>
      <xdr:colOff>63500</xdr:colOff>
      <xdr:row>74</xdr:row>
      <xdr:rowOff>0</xdr:rowOff>
    </xdr:from>
    <xdr:to>
      <xdr:col>14</xdr:col>
      <xdr:colOff>298697</xdr:colOff>
      <xdr:row>86</xdr:row>
      <xdr:rowOff>1019</xdr:rowOff>
    </xdr:to>
    <xdr:pic>
      <xdr:nvPicPr>
        <xdr:cNvPr id="29" name="Grafik 28">
          <a:extLst>
            <a:ext uri="{FF2B5EF4-FFF2-40B4-BE49-F238E27FC236}">
              <a16:creationId xmlns:a16="http://schemas.microsoft.com/office/drawing/2014/main" id="{0856C5F6-BDFA-7BEB-2C09-EF33D366B4FA}"/>
            </a:ext>
          </a:extLst>
        </xdr:cNvPr>
        <xdr:cNvPicPr>
          <a:picLocks noChangeAspect="1"/>
        </xdr:cNvPicPr>
      </xdr:nvPicPr>
      <xdr:blipFill>
        <a:blip xmlns:r="http://schemas.openxmlformats.org/officeDocument/2006/relationships" r:embed="rId26"/>
        <a:stretch>
          <a:fillRect/>
        </a:stretch>
      </xdr:blipFill>
      <xdr:spPr>
        <a:xfrm>
          <a:off x="6159500" y="13627100"/>
          <a:ext cx="4807197" cy="2210819"/>
        </a:xfrm>
        <a:prstGeom prst="rect">
          <a:avLst/>
        </a:prstGeom>
      </xdr:spPr>
    </xdr:pic>
    <xdr:clientData/>
  </xdr:twoCellAnchor>
  <xdr:twoCellAnchor editAs="oneCell">
    <xdr:from>
      <xdr:col>1</xdr:col>
      <xdr:colOff>0</xdr:colOff>
      <xdr:row>74</xdr:row>
      <xdr:rowOff>0</xdr:rowOff>
    </xdr:from>
    <xdr:to>
      <xdr:col>7</xdr:col>
      <xdr:colOff>209796</xdr:colOff>
      <xdr:row>94</xdr:row>
      <xdr:rowOff>162573</xdr:rowOff>
    </xdr:to>
    <xdr:pic>
      <xdr:nvPicPr>
        <xdr:cNvPr id="30" name="Grafik 29">
          <a:extLst>
            <a:ext uri="{FF2B5EF4-FFF2-40B4-BE49-F238E27FC236}">
              <a16:creationId xmlns:a16="http://schemas.microsoft.com/office/drawing/2014/main" id="{C3BCFD95-0CBB-72CA-0BBD-7E669FEC8905}"/>
            </a:ext>
          </a:extLst>
        </xdr:cNvPr>
        <xdr:cNvPicPr>
          <a:picLocks noChangeAspect="1"/>
        </xdr:cNvPicPr>
      </xdr:nvPicPr>
      <xdr:blipFill>
        <a:blip xmlns:r="http://schemas.openxmlformats.org/officeDocument/2006/relationships" r:embed="rId27"/>
        <a:stretch>
          <a:fillRect/>
        </a:stretch>
      </xdr:blipFill>
      <xdr:spPr>
        <a:xfrm>
          <a:off x="762000" y="13425714"/>
          <a:ext cx="4781796" cy="3791145"/>
        </a:xfrm>
        <a:prstGeom prst="rect">
          <a:avLst/>
        </a:prstGeom>
      </xdr:spPr>
    </xdr:pic>
    <xdr:clientData/>
  </xdr:twoCellAnchor>
  <xdr:twoCellAnchor editAs="oneCell">
    <xdr:from>
      <xdr:col>15</xdr:col>
      <xdr:colOff>0</xdr:colOff>
      <xdr:row>74</xdr:row>
      <xdr:rowOff>0</xdr:rowOff>
    </xdr:from>
    <xdr:to>
      <xdr:col>21</xdr:col>
      <xdr:colOff>197095</xdr:colOff>
      <xdr:row>86</xdr:row>
      <xdr:rowOff>96274</xdr:rowOff>
    </xdr:to>
    <xdr:pic>
      <xdr:nvPicPr>
        <xdr:cNvPr id="31" name="Grafik 30">
          <a:extLst>
            <a:ext uri="{FF2B5EF4-FFF2-40B4-BE49-F238E27FC236}">
              <a16:creationId xmlns:a16="http://schemas.microsoft.com/office/drawing/2014/main" id="{91DE870E-0A4B-5B7F-FBA0-5EE681523E2D}"/>
            </a:ext>
          </a:extLst>
        </xdr:cNvPr>
        <xdr:cNvPicPr>
          <a:picLocks noChangeAspect="1"/>
        </xdr:cNvPicPr>
      </xdr:nvPicPr>
      <xdr:blipFill>
        <a:blip xmlns:r="http://schemas.openxmlformats.org/officeDocument/2006/relationships" r:embed="rId28"/>
        <a:stretch>
          <a:fillRect/>
        </a:stretch>
      </xdr:blipFill>
      <xdr:spPr>
        <a:xfrm>
          <a:off x="11430000" y="13425714"/>
          <a:ext cx="4769095" cy="227341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501650</xdr:colOff>
      <xdr:row>2</xdr:row>
      <xdr:rowOff>25400</xdr:rowOff>
    </xdr:from>
    <xdr:to>
      <xdr:col>10</xdr:col>
      <xdr:colOff>365016</xdr:colOff>
      <xdr:row>29</xdr:row>
      <xdr:rowOff>120909</xdr:rowOff>
    </xdr:to>
    <xdr:pic>
      <xdr:nvPicPr>
        <xdr:cNvPr id="2" name="Grafik 1">
          <a:extLst>
            <a:ext uri="{FF2B5EF4-FFF2-40B4-BE49-F238E27FC236}">
              <a16:creationId xmlns:a16="http://schemas.microsoft.com/office/drawing/2014/main" id="{69571D82-BD3C-5363-F022-702733F77B18}"/>
            </a:ext>
          </a:extLst>
        </xdr:cNvPr>
        <xdr:cNvPicPr>
          <a:picLocks noChangeAspect="1"/>
        </xdr:cNvPicPr>
      </xdr:nvPicPr>
      <xdr:blipFill>
        <a:blip xmlns:r="http://schemas.openxmlformats.org/officeDocument/2006/relationships" r:embed="rId1"/>
        <a:stretch>
          <a:fillRect/>
        </a:stretch>
      </xdr:blipFill>
      <xdr:spPr>
        <a:xfrm>
          <a:off x="1263650" y="209550"/>
          <a:ext cx="6712295" cy="5067560"/>
        </a:xfrm>
        <a:prstGeom prst="rect">
          <a:avLst/>
        </a:prstGeom>
      </xdr:spPr>
    </xdr:pic>
    <xdr:clientData/>
  </xdr:twoCellAnchor>
  <xdr:twoCellAnchor editAs="oneCell">
    <xdr:from>
      <xdr:col>11</xdr:col>
      <xdr:colOff>690336</xdr:colOff>
      <xdr:row>1</xdr:row>
      <xdr:rowOff>156937</xdr:rowOff>
    </xdr:from>
    <xdr:to>
      <xdr:col>20</xdr:col>
      <xdr:colOff>747841</xdr:colOff>
      <xdr:row>26</xdr:row>
      <xdr:rowOff>144473</xdr:rowOff>
    </xdr:to>
    <xdr:pic>
      <xdr:nvPicPr>
        <xdr:cNvPr id="3" name="Grafik 2">
          <a:extLst>
            <a:ext uri="{FF2B5EF4-FFF2-40B4-BE49-F238E27FC236}">
              <a16:creationId xmlns:a16="http://schemas.microsoft.com/office/drawing/2014/main" id="{C2CD9EA6-1675-250B-C954-BCFEC11A106A}"/>
            </a:ext>
          </a:extLst>
        </xdr:cNvPr>
        <xdr:cNvPicPr>
          <a:picLocks noChangeAspect="1"/>
        </xdr:cNvPicPr>
      </xdr:nvPicPr>
      <xdr:blipFill>
        <a:blip xmlns:r="http://schemas.openxmlformats.org/officeDocument/2006/relationships" r:embed="rId2"/>
        <a:stretch>
          <a:fillRect/>
        </a:stretch>
      </xdr:blipFill>
      <xdr:spPr>
        <a:xfrm>
          <a:off x="8310336" y="156937"/>
          <a:ext cx="6915505" cy="4523250"/>
        </a:xfrm>
        <a:prstGeom prst="rect">
          <a:avLst/>
        </a:prstGeom>
      </xdr:spPr>
    </xdr:pic>
    <xdr:clientData/>
  </xdr:twoCellAnchor>
  <xdr:twoCellAnchor editAs="oneCell">
    <xdr:from>
      <xdr:col>2</xdr:col>
      <xdr:colOff>18144</xdr:colOff>
      <xdr:row>31</xdr:row>
      <xdr:rowOff>81644</xdr:rowOff>
    </xdr:from>
    <xdr:to>
      <xdr:col>8</xdr:col>
      <xdr:colOff>14749</xdr:colOff>
      <xdr:row>53</xdr:row>
      <xdr:rowOff>59170</xdr:rowOff>
    </xdr:to>
    <xdr:pic>
      <xdr:nvPicPr>
        <xdr:cNvPr id="4" name="Grafik 3">
          <a:extLst>
            <a:ext uri="{FF2B5EF4-FFF2-40B4-BE49-F238E27FC236}">
              <a16:creationId xmlns:a16="http://schemas.microsoft.com/office/drawing/2014/main" id="{7E3EC297-35A2-0A62-522D-89C758F5EDF5}"/>
            </a:ext>
          </a:extLst>
        </xdr:cNvPr>
        <xdr:cNvPicPr>
          <a:picLocks noChangeAspect="1"/>
        </xdr:cNvPicPr>
      </xdr:nvPicPr>
      <xdr:blipFill>
        <a:blip xmlns:r="http://schemas.openxmlformats.org/officeDocument/2006/relationships" r:embed="rId3"/>
        <a:stretch>
          <a:fillRect/>
        </a:stretch>
      </xdr:blipFill>
      <xdr:spPr>
        <a:xfrm>
          <a:off x="1542144" y="5524501"/>
          <a:ext cx="4559534" cy="3968954"/>
        </a:xfrm>
        <a:prstGeom prst="rect">
          <a:avLst/>
        </a:prstGeom>
      </xdr:spPr>
    </xdr:pic>
    <xdr:clientData/>
  </xdr:twoCellAnchor>
  <xdr:twoCellAnchor editAs="oneCell">
    <xdr:from>
      <xdr:col>2</xdr:col>
      <xdr:colOff>0</xdr:colOff>
      <xdr:row>64</xdr:row>
      <xdr:rowOff>0</xdr:rowOff>
    </xdr:from>
    <xdr:to>
      <xdr:col>5</xdr:col>
      <xdr:colOff>606119</xdr:colOff>
      <xdr:row>98</xdr:row>
      <xdr:rowOff>48399</xdr:rowOff>
    </xdr:to>
    <xdr:pic>
      <xdr:nvPicPr>
        <xdr:cNvPr id="5" name="Grafik 4">
          <a:extLst>
            <a:ext uri="{FF2B5EF4-FFF2-40B4-BE49-F238E27FC236}">
              <a16:creationId xmlns:a16="http://schemas.microsoft.com/office/drawing/2014/main" id="{46E8C6B7-01E3-A044-02F3-80B6CC5FEE97}"/>
            </a:ext>
          </a:extLst>
        </xdr:cNvPr>
        <xdr:cNvPicPr>
          <a:picLocks noChangeAspect="1"/>
        </xdr:cNvPicPr>
      </xdr:nvPicPr>
      <xdr:blipFill>
        <a:blip xmlns:r="http://schemas.openxmlformats.org/officeDocument/2006/relationships" r:embed="rId4"/>
        <a:stretch>
          <a:fillRect/>
        </a:stretch>
      </xdr:blipFill>
      <xdr:spPr>
        <a:xfrm>
          <a:off x="1524000" y="9797143"/>
          <a:ext cx="2883048" cy="6216970"/>
        </a:xfrm>
        <a:prstGeom prst="rect">
          <a:avLst/>
        </a:prstGeom>
      </xdr:spPr>
    </xdr:pic>
    <xdr:clientData/>
  </xdr:twoCellAnchor>
  <xdr:twoCellAnchor editAs="oneCell">
    <xdr:from>
      <xdr:col>1</xdr:col>
      <xdr:colOff>689429</xdr:colOff>
      <xdr:row>55</xdr:row>
      <xdr:rowOff>9069</xdr:rowOff>
    </xdr:from>
    <xdr:to>
      <xdr:col>8</xdr:col>
      <xdr:colOff>305054</xdr:colOff>
      <xdr:row>61</xdr:row>
      <xdr:rowOff>31804</xdr:rowOff>
    </xdr:to>
    <xdr:pic>
      <xdr:nvPicPr>
        <xdr:cNvPr id="6" name="Grafik 5">
          <a:extLst>
            <a:ext uri="{FF2B5EF4-FFF2-40B4-BE49-F238E27FC236}">
              <a16:creationId xmlns:a16="http://schemas.microsoft.com/office/drawing/2014/main" id="{7E97E290-3229-3422-F034-BA551B276D7A}"/>
            </a:ext>
          </a:extLst>
        </xdr:cNvPr>
        <xdr:cNvPicPr>
          <a:picLocks noChangeAspect="1"/>
        </xdr:cNvPicPr>
      </xdr:nvPicPr>
      <xdr:blipFill>
        <a:blip xmlns:r="http://schemas.openxmlformats.org/officeDocument/2006/relationships" r:embed="rId5"/>
        <a:stretch>
          <a:fillRect/>
        </a:stretch>
      </xdr:blipFill>
      <xdr:spPr>
        <a:xfrm>
          <a:off x="1451429" y="9806212"/>
          <a:ext cx="4940554" cy="1111307"/>
        </a:xfrm>
        <a:prstGeom prst="rect">
          <a:avLst/>
        </a:prstGeom>
      </xdr:spPr>
    </xdr:pic>
    <xdr:clientData/>
  </xdr:twoCellAnchor>
  <xdr:twoCellAnchor editAs="oneCell">
    <xdr:from>
      <xdr:col>7</xdr:col>
      <xdr:colOff>244929</xdr:colOff>
      <xdr:row>63</xdr:row>
      <xdr:rowOff>99787</xdr:rowOff>
    </xdr:from>
    <xdr:to>
      <xdr:col>11</xdr:col>
      <xdr:colOff>111729</xdr:colOff>
      <xdr:row>97</xdr:row>
      <xdr:rowOff>148186</xdr:rowOff>
    </xdr:to>
    <xdr:pic>
      <xdr:nvPicPr>
        <xdr:cNvPr id="7" name="Grafik 6">
          <a:extLst>
            <a:ext uri="{FF2B5EF4-FFF2-40B4-BE49-F238E27FC236}">
              <a16:creationId xmlns:a16="http://schemas.microsoft.com/office/drawing/2014/main" id="{BB5F040B-48F8-127A-9097-F274ABB4B1DD}"/>
            </a:ext>
          </a:extLst>
        </xdr:cNvPr>
        <xdr:cNvPicPr>
          <a:picLocks noChangeAspect="1"/>
        </xdr:cNvPicPr>
      </xdr:nvPicPr>
      <xdr:blipFill>
        <a:blip xmlns:r="http://schemas.openxmlformats.org/officeDocument/2006/relationships" r:embed="rId6"/>
        <a:stretch>
          <a:fillRect/>
        </a:stretch>
      </xdr:blipFill>
      <xdr:spPr>
        <a:xfrm>
          <a:off x="4816929" y="11348358"/>
          <a:ext cx="2914800" cy="6216970"/>
        </a:xfrm>
        <a:prstGeom prst="rect">
          <a:avLst/>
        </a:prstGeom>
      </xdr:spPr>
    </xdr:pic>
    <xdr:clientData/>
  </xdr:twoCellAnchor>
  <xdr:twoCellAnchor editAs="oneCell">
    <xdr:from>
      <xdr:col>7</xdr:col>
      <xdr:colOff>272142</xdr:colOff>
      <xdr:row>97</xdr:row>
      <xdr:rowOff>172358</xdr:rowOff>
    </xdr:from>
    <xdr:to>
      <xdr:col>11</xdr:col>
      <xdr:colOff>107190</xdr:colOff>
      <xdr:row>113</xdr:row>
      <xdr:rowOff>152548</xdr:rowOff>
    </xdr:to>
    <xdr:pic>
      <xdr:nvPicPr>
        <xdr:cNvPr id="8" name="Grafik 7">
          <a:extLst>
            <a:ext uri="{FF2B5EF4-FFF2-40B4-BE49-F238E27FC236}">
              <a16:creationId xmlns:a16="http://schemas.microsoft.com/office/drawing/2014/main" id="{CEC554EB-D355-0FB5-A209-78B66027CB10}"/>
            </a:ext>
          </a:extLst>
        </xdr:cNvPr>
        <xdr:cNvPicPr>
          <a:picLocks noChangeAspect="1"/>
        </xdr:cNvPicPr>
      </xdr:nvPicPr>
      <xdr:blipFill>
        <a:blip xmlns:r="http://schemas.openxmlformats.org/officeDocument/2006/relationships" r:embed="rId7"/>
        <a:stretch>
          <a:fillRect/>
        </a:stretch>
      </xdr:blipFill>
      <xdr:spPr>
        <a:xfrm>
          <a:off x="4844142" y="17589501"/>
          <a:ext cx="2883048" cy="2883048"/>
        </a:xfrm>
        <a:prstGeom prst="rect">
          <a:avLst/>
        </a:prstGeom>
      </xdr:spPr>
    </xdr:pic>
    <xdr:clientData/>
  </xdr:twoCellAnchor>
  <xdr:twoCellAnchor editAs="oneCell">
    <xdr:from>
      <xdr:col>11</xdr:col>
      <xdr:colOff>399143</xdr:colOff>
      <xdr:row>63</xdr:row>
      <xdr:rowOff>108857</xdr:rowOff>
    </xdr:from>
    <xdr:to>
      <xdr:col>15</xdr:col>
      <xdr:colOff>284994</xdr:colOff>
      <xdr:row>97</xdr:row>
      <xdr:rowOff>157256</xdr:rowOff>
    </xdr:to>
    <xdr:pic>
      <xdr:nvPicPr>
        <xdr:cNvPr id="9" name="Grafik 8">
          <a:extLst>
            <a:ext uri="{FF2B5EF4-FFF2-40B4-BE49-F238E27FC236}">
              <a16:creationId xmlns:a16="http://schemas.microsoft.com/office/drawing/2014/main" id="{1F90C666-959C-6194-1FB9-5356E7D8AE4F}"/>
            </a:ext>
          </a:extLst>
        </xdr:cNvPr>
        <xdr:cNvPicPr>
          <a:picLocks noChangeAspect="1"/>
        </xdr:cNvPicPr>
      </xdr:nvPicPr>
      <xdr:blipFill>
        <a:blip xmlns:r="http://schemas.openxmlformats.org/officeDocument/2006/relationships" r:embed="rId8"/>
        <a:stretch>
          <a:fillRect/>
        </a:stretch>
      </xdr:blipFill>
      <xdr:spPr>
        <a:xfrm>
          <a:off x="8019143" y="11357428"/>
          <a:ext cx="2933851" cy="6216970"/>
        </a:xfrm>
        <a:prstGeom prst="rect">
          <a:avLst/>
        </a:prstGeom>
      </xdr:spPr>
    </xdr:pic>
    <xdr:clientData/>
  </xdr:twoCellAnchor>
  <xdr:twoCellAnchor editAs="oneCell">
    <xdr:from>
      <xdr:col>11</xdr:col>
      <xdr:colOff>471714</xdr:colOff>
      <xdr:row>97</xdr:row>
      <xdr:rowOff>145142</xdr:rowOff>
    </xdr:from>
    <xdr:to>
      <xdr:col>15</xdr:col>
      <xdr:colOff>299357</xdr:colOff>
      <xdr:row>132</xdr:row>
      <xdr:rowOff>144872</xdr:rowOff>
    </xdr:to>
    <xdr:pic>
      <xdr:nvPicPr>
        <xdr:cNvPr id="10" name="Grafik 9">
          <a:extLst>
            <a:ext uri="{FF2B5EF4-FFF2-40B4-BE49-F238E27FC236}">
              <a16:creationId xmlns:a16="http://schemas.microsoft.com/office/drawing/2014/main" id="{06B44EDD-C7EA-43EA-2669-3CB05B7BDF1C}"/>
            </a:ext>
          </a:extLst>
        </xdr:cNvPr>
        <xdr:cNvPicPr>
          <a:picLocks noChangeAspect="1"/>
        </xdr:cNvPicPr>
      </xdr:nvPicPr>
      <xdr:blipFill>
        <a:blip xmlns:r="http://schemas.openxmlformats.org/officeDocument/2006/relationships" r:embed="rId9"/>
        <a:stretch>
          <a:fillRect/>
        </a:stretch>
      </xdr:blipFill>
      <xdr:spPr>
        <a:xfrm>
          <a:off x="8091714" y="17562285"/>
          <a:ext cx="2875643" cy="6349730"/>
        </a:xfrm>
        <a:prstGeom prst="rect">
          <a:avLst/>
        </a:prstGeom>
      </xdr:spPr>
    </xdr:pic>
    <xdr:clientData/>
  </xdr:twoCellAnchor>
  <xdr:twoCellAnchor editAs="oneCell">
    <xdr:from>
      <xdr:col>15</xdr:col>
      <xdr:colOff>707572</xdr:colOff>
      <xdr:row>63</xdr:row>
      <xdr:rowOff>136074</xdr:rowOff>
    </xdr:from>
    <xdr:to>
      <xdr:col>19</xdr:col>
      <xdr:colOff>546717</xdr:colOff>
      <xdr:row>97</xdr:row>
      <xdr:rowOff>125833</xdr:rowOff>
    </xdr:to>
    <xdr:pic>
      <xdr:nvPicPr>
        <xdr:cNvPr id="11" name="Grafik 10">
          <a:extLst>
            <a:ext uri="{FF2B5EF4-FFF2-40B4-BE49-F238E27FC236}">
              <a16:creationId xmlns:a16="http://schemas.microsoft.com/office/drawing/2014/main" id="{D8D7A110-18A2-B71A-7536-67484AC1BC39}"/>
            </a:ext>
          </a:extLst>
        </xdr:cNvPr>
        <xdr:cNvPicPr>
          <a:picLocks noChangeAspect="1"/>
        </xdr:cNvPicPr>
      </xdr:nvPicPr>
      <xdr:blipFill>
        <a:blip xmlns:r="http://schemas.openxmlformats.org/officeDocument/2006/relationships" r:embed="rId10"/>
        <a:stretch>
          <a:fillRect/>
        </a:stretch>
      </xdr:blipFill>
      <xdr:spPr>
        <a:xfrm>
          <a:off x="11375572" y="11384645"/>
          <a:ext cx="2887145" cy="6158330"/>
        </a:xfrm>
        <a:prstGeom prst="rect">
          <a:avLst/>
        </a:prstGeom>
      </xdr:spPr>
    </xdr:pic>
    <xdr:clientData/>
  </xdr:twoCellAnchor>
  <xdr:twoCellAnchor editAs="oneCell">
    <xdr:from>
      <xdr:col>15</xdr:col>
      <xdr:colOff>698501</xdr:colOff>
      <xdr:row>97</xdr:row>
      <xdr:rowOff>163286</xdr:rowOff>
    </xdr:from>
    <xdr:to>
      <xdr:col>19</xdr:col>
      <xdr:colOff>578794</xdr:colOff>
      <xdr:row>113</xdr:row>
      <xdr:rowOff>127000</xdr:rowOff>
    </xdr:to>
    <xdr:pic>
      <xdr:nvPicPr>
        <xdr:cNvPr id="12" name="Grafik 11">
          <a:extLst>
            <a:ext uri="{FF2B5EF4-FFF2-40B4-BE49-F238E27FC236}">
              <a16:creationId xmlns:a16="http://schemas.microsoft.com/office/drawing/2014/main" id="{EED645C8-C36A-5944-01C5-A32CE64259D7}"/>
            </a:ext>
          </a:extLst>
        </xdr:cNvPr>
        <xdr:cNvPicPr>
          <a:picLocks noChangeAspect="1"/>
        </xdr:cNvPicPr>
      </xdr:nvPicPr>
      <xdr:blipFill>
        <a:blip xmlns:r="http://schemas.openxmlformats.org/officeDocument/2006/relationships" r:embed="rId11"/>
        <a:stretch>
          <a:fillRect/>
        </a:stretch>
      </xdr:blipFill>
      <xdr:spPr>
        <a:xfrm>
          <a:off x="11366501" y="17580429"/>
          <a:ext cx="2928293" cy="2866572"/>
        </a:xfrm>
        <a:prstGeom prst="rect">
          <a:avLst/>
        </a:prstGeom>
      </xdr:spPr>
    </xdr:pic>
    <xdr:clientData/>
  </xdr:twoCellAnchor>
  <xdr:twoCellAnchor editAs="oneCell">
    <xdr:from>
      <xdr:col>21</xdr:col>
      <xdr:colOff>0</xdr:colOff>
      <xdr:row>55</xdr:row>
      <xdr:rowOff>0</xdr:rowOff>
    </xdr:from>
    <xdr:to>
      <xdr:col>27</xdr:col>
      <xdr:colOff>324102</xdr:colOff>
      <xdr:row>59</xdr:row>
      <xdr:rowOff>42674</xdr:rowOff>
    </xdr:to>
    <xdr:pic>
      <xdr:nvPicPr>
        <xdr:cNvPr id="13" name="Grafik 12">
          <a:extLst>
            <a:ext uri="{FF2B5EF4-FFF2-40B4-BE49-F238E27FC236}">
              <a16:creationId xmlns:a16="http://schemas.microsoft.com/office/drawing/2014/main" id="{FC446898-F8CC-EB83-9E95-915D85FF4A05}"/>
            </a:ext>
          </a:extLst>
        </xdr:cNvPr>
        <xdr:cNvPicPr>
          <a:picLocks noChangeAspect="1"/>
        </xdr:cNvPicPr>
      </xdr:nvPicPr>
      <xdr:blipFill>
        <a:blip xmlns:r="http://schemas.openxmlformats.org/officeDocument/2006/relationships" r:embed="rId12"/>
        <a:stretch>
          <a:fillRect/>
        </a:stretch>
      </xdr:blipFill>
      <xdr:spPr>
        <a:xfrm>
          <a:off x="15240000" y="9797143"/>
          <a:ext cx="4896102" cy="768389"/>
        </a:xfrm>
        <a:prstGeom prst="rect">
          <a:avLst/>
        </a:prstGeom>
      </xdr:spPr>
    </xdr:pic>
    <xdr:clientData/>
  </xdr:twoCellAnchor>
  <xdr:twoCellAnchor editAs="oneCell">
    <xdr:from>
      <xdr:col>21</xdr:col>
      <xdr:colOff>0</xdr:colOff>
      <xdr:row>63</xdr:row>
      <xdr:rowOff>36284</xdr:rowOff>
    </xdr:from>
    <xdr:to>
      <xdr:col>23</xdr:col>
      <xdr:colOff>730366</xdr:colOff>
      <xdr:row>94</xdr:row>
      <xdr:rowOff>51088</xdr:rowOff>
    </xdr:to>
    <xdr:pic>
      <xdr:nvPicPr>
        <xdr:cNvPr id="14" name="Grafik 13">
          <a:extLst>
            <a:ext uri="{FF2B5EF4-FFF2-40B4-BE49-F238E27FC236}">
              <a16:creationId xmlns:a16="http://schemas.microsoft.com/office/drawing/2014/main" id="{501944F0-6409-20A1-A322-B54AF5E1DBD5}"/>
            </a:ext>
          </a:extLst>
        </xdr:cNvPr>
        <xdr:cNvPicPr>
          <a:picLocks noChangeAspect="1"/>
        </xdr:cNvPicPr>
      </xdr:nvPicPr>
      <xdr:blipFill>
        <a:blip xmlns:r="http://schemas.openxmlformats.org/officeDocument/2006/relationships" r:embed="rId13"/>
        <a:stretch>
          <a:fillRect/>
        </a:stretch>
      </xdr:blipFill>
      <xdr:spPr>
        <a:xfrm>
          <a:off x="15240000" y="11284855"/>
          <a:ext cx="2254366" cy="5639090"/>
        </a:xfrm>
        <a:prstGeom prst="rect">
          <a:avLst/>
        </a:prstGeom>
      </xdr:spPr>
    </xdr:pic>
    <xdr:clientData/>
  </xdr:twoCellAnchor>
  <xdr:twoCellAnchor editAs="oneCell">
    <xdr:from>
      <xdr:col>25</xdr:col>
      <xdr:colOff>0</xdr:colOff>
      <xdr:row>64</xdr:row>
      <xdr:rowOff>0</xdr:rowOff>
    </xdr:from>
    <xdr:to>
      <xdr:col>28</xdr:col>
      <xdr:colOff>285882</xdr:colOff>
      <xdr:row>98</xdr:row>
      <xdr:rowOff>105551</xdr:rowOff>
    </xdr:to>
    <xdr:pic>
      <xdr:nvPicPr>
        <xdr:cNvPr id="15" name="Grafik 14">
          <a:extLst>
            <a:ext uri="{FF2B5EF4-FFF2-40B4-BE49-F238E27FC236}">
              <a16:creationId xmlns:a16="http://schemas.microsoft.com/office/drawing/2014/main" id="{4D7344D2-1D98-0C19-E726-9BA414DD4866}"/>
            </a:ext>
          </a:extLst>
        </xdr:cNvPr>
        <xdr:cNvPicPr>
          <a:picLocks noChangeAspect="1"/>
        </xdr:cNvPicPr>
      </xdr:nvPicPr>
      <xdr:blipFill>
        <a:blip xmlns:r="http://schemas.openxmlformats.org/officeDocument/2006/relationships" r:embed="rId14"/>
        <a:stretch>
          <a:fillRect/>
        </a:stretch>
      </xdr:blipFill>
      <xdr:spPr>
        <a:xfrm>
          <a:off x="18288000" y="11430000"/>
          <a:ext cx="2571882" cy="6274122"/>
        </a:xfrm>
        <a:prstGeom prst="rect">
          <a:avLst/>
        </a:prstGeom>
      </xdr:spPr>
    </xdr:pic>
    <xdr:clientData/>
  </xdr:twoCellAnchor>
  <xdr:twoCellAnchor editAs="oneCell">
    <xdr:from>
      <xdr:col>29</xdr:col>
      <xdr:colOff>0</xdr:colOff>
      <xdr:row>64</xdr:row>
      <xdr:rowOff>0</xdr:rowOff>
    </xdr:from>
    <xdr:to>
      <xdr:col>31</xdr:col>
      <xdr:colOff>609710</xdr:colOff>
      <xdr:row>93</xdr:row>
      <xdr:rowOff>117298</xdr:rowOff>
    </xdr:to>
    <xdr:pic>
      <xdr:nvPicPr>
        <xdr:cNvPr id="16" name="Grafik 15">
          <a:extLst>
            <a:ext uri="{FF2B5EF4-FFF2-40B4-BE49-F238E27FC236}">
              <a16:creationId xmlns:a16="http://schemas.microsoft.com/office/drawing/2014/main" id="{05C6A6A9-7DB7-B345-DD62-357947ABC1B7}"/>
            </a:ext>
          </a:extLst>
        </xdr:cNvPr>
        <xdr:cNvPicPr>
          <a:picLocks noChangeAspect="1"/>
        </xdr:cNvPicPr>
      </xdr:nvPicPr>
      <xdr:blipFill>
        <a:blip xmlns:r="http://schemas.openxmlformats.org/officeDocument/2006/relationships" r:embed="rId15"/>
        <a:stretch>
          <a:fillRect/>
        </a:stretch>
      </xdr:blipFill>
      <xdr:spPr>
        <a:xfrm>
          <a:off x="21336000" y="11430000"/>
          <a:ext cx="2133710" cy="5378726"/>
        </a:xfrm>
        <a:prstGeom prst="rect">
          <a:avLst/>
        </a:prstGeom>
      </xdr:spPr>
    </xdr:pic>
    <xdr:clientData/>
  </xdr:twoCellAnchor>
  <xdr:twoCellAnchor editAs="oneCell">
    <xdr:from>
      <xdr:col>32</xdr:col>
      <xdr:colOff>117928</xdr:colOff>
      <xdr:row>64</xdr:row>
      <xdr:rowOff>0</xdr:rowOff>
    </xdr:from>
    <xdr:to>
      <xdr:col>34</xdr:col>
      <xdr:colOff>714937</xdr:colOff>
      <xdr:row>93</xdr:row>
      <xdr:rowOff>117298</xdr:rowOff>
    </xdr:to>
    <xdr:pic>
      <xdr:nvPicPr>
        <xdr:cNvPr id="17" name="Grafik 16">
          <a:extLst>
            <a:ext uri="{FF2B5EF4-FFF2-40B4-BE49-F238E27FC236}">
              <a16:creationId xmlns:a16="http://schemas.microsoft.com/office/drawing/2014/main" id="{E8A84078-29B2-D96C-F70E-8E8AE48A0FCA}"/>
            </a:ext>
          </a:extLst>
        </xdr:cNvPr>
        <xdr:cNvPicPr>
          <a:picLocks noChangeAspect="1"/>
        </xdr:cNvPicPr>
      </xdr:nvPicPr>
      <xdr:blipFill>
        <a:blip xmlns:r="http://schemas.openxmlformats.org/officeDocument/2006/relationships" r:embed="rId16"/>
        <a:stretch>
          <a:fillRect/>
        </a:stretch>
      </xdr:blipFill>
      <xdr:spPr>
        <a:xfrm>
          <a:off x="23739928" y="11430000"/>
          <a:ext cx="2121009" cy="5378726"/>
        </a:xfrm>
        <a:prstGeom prst="rect">
          <a:avLst/>
        </a:prstGeom>
      </xdr:spPr>
    </xdr:pic>
    <xdr:clientData/>
  </xdr:twoCellAnchor>
  <xdr:twoCellAnchor editAs="oneCell">
    <xdr:from>
      <xdr:col>35</xdr:col>
      <xdr:colOff>235858</xdr:colOff>
      <xdr:row>55</xdr:row>
      <xdr:rowOff>90714</xdr:rowOff>
    </xdr:from>
    <xdr:to>
      <xdr:col>43</xdr:col>
      <xdr:colOff>145144</xdr:colOff>
      <xdr:row>59</xdr:row>
      <xdr:rowOff>112716</xdr:rowOff>
    </xdr:to>
    <xdr:pic>
      <xdr:nvPicPr>
        <xdr:cNvPr id="18" name="Grafik 17">
          <a:extLst>
            <a:ext uri="{FF2B5EF4-FFF2-40B4-BE49-F238E27FC236}">
              <a16:creationId xmlns:a16="http://schemas.microsoft.com/office/drawing/2014/main" id="{821A6FF5-2527-2B7A-4AC8-0B343B25F7A9}"/>
            </a:ext>
          </a:extLst>
        </xdr:cNvPr>
        <xdr:cNvPicPr>
          <a:picLocks noChangeAspect="1"/>
        </xdr:cNvPicPr>
      </xdr:nvPicPr>
      <xdr:blipFill>
        <a:blip xmlns:r="http://schemas.openxmlformats.org/officeDocument/2006/relationships" r:embed="rId17"/>
        <a:stretch>
          <a:fillRect/>
        </a:stretch>
      </xdr:blipFill>
      <xdr:spPr>
        <a:xfrm>
          <a:off x="26143858" y="9887857"/>
          <a:ext cx="6005286" cy="747717"/>
        </a:xfrm>
        <a:prstGeom prst="rect">
          <a:avLst/>
        </a:prstGeom>
      </xdr:spPr>
    </xdr:pic>
    <xdr:clientData/>
  </xdr:twoCellAnchor>
  <xdr:twoCellAnchor editAs="oneCell">
    <xdr:from>
      <xdr:col>35</xdr:col>
      <xdr:colOff>635000</xdr:colOff>
      <xdr:row>63</xdr:row>
      <xdr:rowOff>145143</xdr:rowOff>
    </xdr:from>
    <xdr:to>
      <xdr:col>38</xdr:col>
      <xdr:colOff>692270</xdr:colOff>
      <xdr:row>96</xdr:row>
      <xdr:rowOff>32052</xdr:rowOff>
    </xdr:to>
    <xdr:pic>
      <xdr:nvPicPr>
        <xdr:cNvPr id="19" name="Grafik 18">
          <a:extLst>
            <a:ext uri="{FF2B5EF4-FFF2-40B4-BE49-F238E27FC236}">
              <a16:creationId xmlns:a16="http://schemas.microsoft.com/office/drawing/2014/main" id="{10B196B0-39AA-DCE9-9945-DE055BE1DBDA}"/>
            </a:ext>
          </a:extLst>
        </xdr:cNvPr>
        <xdr:cNvPicPr>
          <a:picLocks noChangeAspect="1"/>
        </xdr:cNvPicPr>
      </xdr:nvPicPr>
      <xdr:blipFill>
        <a:blip xmlns:r="http://schemas.openxmlformats.org/officeDocument/2006/relationships" r:embed="rId18"/>
        <a:stretch>
          <a:fillRect/>
        </a:stretch>
      </xdr:blipFill>
      <xdr:spPr>
        <a:xfrm>
          <a:off x="26543000" y="11393714"/>
          <a:ext cx="2343270" cy="5874052"/>
        </a:xfrm>
        <a:prstGeom prst="rect">
          <a:avLst/>
        </a:prstGeom>
      </xdr:spPr>
    </xdr:pic>
    <xdr:clientData/>
  </xdr:twoCellAnchor>
  <xdr:twoCellAnchor editAs="oneCell">
    <xdr:from>
      <xdr:col>28</xdr:col>
      <xdr:colOff>480786</xdr:colOff>
      <xdr:row>55</xdr:row>
      <xdr:rowOff>63500</xdr:rowOff>
    </xdr:from>
    <xdr:to>
      <xdr:col>35</xdr:col>
      <xdr:colOff>42888</xdr:colOff>
      <xdr:row>59</xdr:row>
      <xdr:rowOff>106174</xdr:rowOff>
    </xdr:to>
    <xdr:pic>
      <xdr:nvPicPr>
        <xdr:cNvPr id="20" name="Grafik 19">
          <a:extLst>
            <a:ext uri="{FF2B5EF4-FFF2-40B4-BE49-F238E27FC236}">
              <a16:creationId xmlns:a16="http://schemas.microsoft.com/office/drawing/2014/main" id="{A13235FC-B2B7-484A-B5F5-CC0C493C62E1}"/>
            </a:ext>
          </a:extLst>
        </xdr:cNvPr>
        <xdr:cNvPicPr>
          <a:picLocks noChangeAspect="1"/>
        </xdr:cNvPicPr>
      </xdr:nvPicPr>
      <xdr:blipFill>
        <a:blip xmlns:r="http://schemas.openxmlformats.org/officeDocument/2006/relationships" r:embed="rId12"/>
        <a:stretch>
          <a:fillRect/>
        </a:stretch>
      </xdr:blipFill>
      <xdr:spPr>
        <a:xfrm>
          <a:off x="21054786" y="9860643"/>
          <a:ext cx="4896102" cy="768389"/>
        </a:xfrm>
        <a:prstGeom prst="rect">
          <a:avLst/>
        </a:prstGeom>
      </xdr:spPr>
    </xdr:pic>
    <xdr:clientData/>
  </xdr:twoCellAnchor>
  <xdr:twoCellAnchor editAs="oneCell">
    <xdr:from>
      <xdr:col>29</xdr:col>
      <xdr:colOff>22320</xdr:colOff>
      <xdr:row>57</xdr:row>
      <xdr:rowOff>132990</xdr:rowOff>
    </xdr:from>
    <xdr:to>
      <xdr:col>29</xdr:col>
      <xdr:colOff>176760</xdr:colOff>
      <xdr:row>58</xdr:row>
      <xdr:rowOff>32721</xdr:rowOff>
    </xdr:to>
    <mc:AlternateContent xmlns:mc="http://schemas.openxmlformats.org/markup-compatibility/2006" xmlns:xdr14="http://schemas.microsoft.com/office/excel/2010/spreadsheetDrawing">
      <mc:Choice Requires="xdr14">
        <xdr:contentPart xmlns:r="http://schemas.openxmlformats.org/officeDocument/2006/relationships" r:id="rId19">
          <xdr14:nvContentPartPr>
            <xdr14:cNvPr id="21" name="Freihand 20">
              <a:extLst>
                <a:ext uri="{FF2B5EF4-FFF2-40B4-BE49-F238E27FC236}">
                  <a16:creationId xmlns:a16="http://schemas.microsoft.com/office/drawing/2014/main" id="{A8D22860-6A2F-3D9E-5C15-081066A46862}"/>
                </a:ext>
              </a:extLst>
            </xdr14:cNvPr>
            <xdr14:cNvContentPartPr/>
          </xdr14:nvContentPartPr>
          <xdr14:nvPr macro=""/>
          <xdr14:xfrm>
            <a:off x="21358320" y="10445390"/>
            <a:ext cx="154440" cy="83880"/>
          </xdr14:xfrm>
        </xdr:contentPart>
      </mc:Choice>
      <mc:Fallback xmlns="">
        <xdr:pic>
          <xdr:nvPicPr>
            <xdr:cNvPr id="21" name="Freihand 20">
              <a:extLst>
                <a:ext uri="{FF2B5EF4-FFF2-40B4-BE49-F238E27FC236}">
                  <a16:creationId xmlns:a16="http://schemas.microsoft.com/office/drawing/2014/main" id="{A8D22860-6A2F-3D9E-5C15-081066A46862}"/>
                </a:ext>
              </a:extLst>
            </xdr:cNvPr>
            <xdr:cNvPicPr/>
          </xdr:nvPicPr>
          <xdr:blipFill>
            <a:blip xmlns:r="http://schemas.openxmlformats.org/officeDocument/2006/relationships" r:embed="rId20"/>
            <a:stretch>
              <a:fillRect/>
            </a:stretch>
          </xdr:blipFill>
          <xdr:spPr>
            <a:xfrm>
              <a:off x="21349320" y="10436390"/>
              <a:ext cx="172080" cy="101520"/>
            </a:xfrm>
            <a:prstGeom prst="rect">
              <a:avLst/>
            </a:prstGeom>
          </xdr:spPr>
        </xdr:pic>
      </mc:Fallback>
    </mc:AlternateContent>
    <xdr:clientData/>
  </xdr:twoCellAnchor>
  <xdr:twoCellAnchor editAs="oneCell">
    <xdr:from>
      <xdr:col>29</xdr:col>
      <xdr:colOff>43200</xdr:colOff>
      <xdr:row>58</xdr:row>
      <xdr:rowOff>87440</xdr:rowOff>
    </xdr:from>
    <xdr:to>
      <xdr:col>29</xdr:col>
      <xdr:colOff>176040</xdr:colOff>
      <xdr:row>58</xdr:row>
      <xdr:rowOff>173840</xdr:rowOff>
    </xdr:to>
    <mc:AlternateContent xmlns:mc="http://schemas.openxmlformats.org/markup-compatibility/2006" xmlns:xdr14="http://schemas.microsoft.com/office/excel/2010/spreadsheetDrawing">
      <mc:Choice Requires="xdr14">
        <xdr:contentPart xmlns:r="http://schemas.openxmlformats.org/officeDocument/2006/relationships" r:id="rId21">
          <xdr14:nvContentPartPr>
            <xdr14:cNvPr id="22" name="Freihand 21">
              <a:extLst>
                <a:ext uri="{FF2B5EF4-FFF2-40B4-BE49-F238E27FC236}">
                  <a16:creationId xmlns:a16="http://schemas.microsoft.com/office/drawing/2014/main" id="{E01547B1-DD4F-33C6-7B03-8E769701A029}"/>
                </a:ext>
              </a:extLst>
            </xdr14:cNvPr>
            <xdr14:cNvContentPartPr/>
          </xdr14:nvContentPartPr>
          <xdr14:nvPr macro=""/>
          <xdr14:xfrm>
            <a:off x="21379200" y="10583990"/>
            <a:ext cx="132840" cy="86400"/>
          </xdr14:xfrm>
        </xdr:contentPart>
      </mc:Choice>
      <mc:Fallback xmlns="">
        <xdr:pic>
          <xdr:nvPicPr>
            <xdr:cNvPr id="22" name="Freihand 21">
              <a:extLst>
                <a:ext uri="{FF2B5EF4-FFF2-40B4-BE49-F238E27FC236}">
                  <a16:creationId xmlns:a16="http://schemas.microsoft.com/office/drawing/2014/main" id="{E01547B1-DD4F-33C6-7B03-8E769701A029}"/>
                </a:ext>
              </a:extLst>
            </xdr:cNvPr>
            <xdr:cNvPicPr/>
          </xdr:nvPicPr>
          <xdr:blipFill>
            <a:blip xmlns:r="http://schemas.openxmlformats.org/officeDocument/2006/relationships" r:embed="rId22"/>
            <a:stretch>
              <a:fillRect/>
            </a:stretch>
          </xdr:blipFill>
          <xdr:spPr>
            <a:xfrm>
              <a:off x="21370200" y="10575350"/>
              <a:ext cx="150480" cy="104040"/>
            </a:xfrm>
            <a:prstGeom prst="rect">
              <a:avLst/>
            </a:prstGeom>
          </xdr:spPr>
        </xdr:pic>
      </mc:Fallback>
    </mc:AlternateContent>
    <xdr:clientData/>
  </xdr:twoCellAnchor>
  <xdr:twoCellAnchor editAs="oneCell">
    <xdr:from>
      <xdr:col>31</xdr:col>
      <xdr:colOff>409920</xdr:colOff>
      <xdr:row>57</xdr:row>
      <xdr:rowOff>99150</xdr:rowOff>
    </xdr:from>
    <xdr:to>
      <xdr:col>32</xdr:col>
      <xdr:colOff>50400</xdr:colOff>
      <xdr:row>58</xdr:row>
      <xdr:rowOff>162321</xdr:rowOff>
    </xdr:to>
    <mc:AlternateContent xmlns:mc="http://schemas.openxmlformats.org/markup-compatibility/2006" xmlns:xdr14="http://schemas.microsoft.com/office/excel/2010/spreadsheetDrawing">
      <mc:Choice Requires="xdr14">
        <xdr:contentPart xmlns:r="http://schemas.openxmlformats.org/officeDocument/2006/relationships" r:id="rId23">
          <xdr14:nvContentPartPr>
            <xdr14:cNvPr id="42" name="Freihand 41">
              <a:extLst>
                <a:ext uri="{FF2B5EF4-FFF2-40B4-BE49-F238E27FC236}">
                  <a16:creationId xmlns:a16="http://schemas.microsoft.com/office/drawing/2014/main" id="{E6621DEC-E5D0-6882-9B39-C7797D694512}"/>
                </a:ext>
              </a:extLst>
            </xdr14:cNvPr>
            <xdr14:cNvContentPartPr/>
          </xdr14:nvContentPartPr>
          <xdr14:nvPr macro=""/>
          <xdr14:xfrm>
            <a:off x="23269920" y="10411550"/>
            <a:ext cx="402480" cy="247320"/>
          </xdr14:xfrm>
        </xdr:contentPart>
      </mc:Choice>
      <mc:Fallback xmlns="">
        <xdr:pic>
          <xdr:nvPicPr>
            <xdr:cNvPr id="42" name="Freihand 41">
              <a:extLst>
                <a:ext uri="{FF2B5EF4-FFF2-40B4-BE49-F238E27FC236}">
                  <a16:creationId xmlns:a16="http://schemas.microsoft.com/office/drawing/2014/main" id="{E6621DEC-E5D0-6882-9B39-C7797D694512}"/>
                </a:ext>
              </a:extLst>
            </xdr:cNvPr>
            <xdr:cNvPicPr/>
          </xdr:nvPicPr>
          <xdr:blipFill>
            <a:blip xmlns:r="http://schemas.openxmlformats.org/officeDocument/2006/relationships" r:embed="rId24"/>
            <a:stretch>
              <a:fillRect/>
            </a:stretch>
          </xdr:blipFill>
          <xdr:spPr>
            <a:xfrm>
              <a:off x="23260928" y="10402897"/>
              <a:ext cx="420104" cy="264986"/>
            </a:xfrm>
            <a:prstGeom prst="rect">
              <a:avLst/>
            </a:prstGeom>
          </xdr:spPr>
        </xdr:pic>
      </mc:Fallback>
    </mc:AlternateContent>
    <xdr:clientData/>
  </xdr:twoCellAnchor>
  <xdr:twoCellAnchor editAs="oneCell">
    <xdr:from>
      <xdr:col>30</xdr:col>
      <xdr:colOff>145560</xdr:colOff>
      <xdr:row>57</xdr:row>
      <xdr:rowOff>74670</xdr:rowOff>
    </xdr:from>
    <xdr:to>
      <xdr:col>31</xdr:col>
      <xdr:colOff>190680</xdr:colOff>
      <xdr:row>58</xdr:row>
      <xdr:rowOff>121281</xdr:rowOff>
    </xdr:to>
    <mc:AlternateContent xmlns:mc="http://schemas.openxmlformats.org/markup-compatibility/2006" xmlns:xdr14="http://schemas.microsoft.com/office/excel/2010/spreadsheetDrawing">
      <mc:Choice Requires="xdr14">
        <xdr:contentPart xmlns:r="http://schemas.openxmlformats.org/officeDocument/2006/relationships" r:id="rId25">
          <xdr14:nvContentPartPr>
            <xdr14:cNvPr id="43" name="Freihand 42">
              <a:extLst>
                <a:ext uri="{FF2B5EF4-FFF2-40B4-BE49-F238E27FC236}">
                  <a16:creationId xmlns:a16="http://schemas.microsoft.com/office/drawing/2014/main" id="{8A7E381E-4F2C-6C91-B3CF-BC0CA1ED40DB}"/>
                </a:ext>
              </a:extLst>
            </xdr14:cNvPr>
            <xdr14:cNvContentPartPr/>
          </xdr14:nvContentPartPr>
          <xdr14:nvPr macro=""/>
          <xdr14:xfrm>
            <a:off x="22243560" y="10387070"/>
            <a:ext cx="807120" cy="230760"/>
          </xdr14:xfrm>
        </xdr:contentPart>
      </mc:Choice>
      <mc:Fallback xmlns="">
        <xdr:pic>
          <xdr:nvPicPr>
            <xdr:cNvPr id="43" name="Freihand 42">
              <a:extLst>
                <a:ext uri="{FF2B5EF4-FFF2-40B4-BE49-F238E27FC236}">
                  <a16:creationId xmlns:a16="http://schemas.microsoft.com/office/drawing/2014/main" id="{8A7E381E-4F2C-6C91-B3CF-BC0CA1ED40DB}"/>
                </a:ext>
              </a:extLst>
            </xdr:cNvPr>
            <xdr:cNvPicPr/>
          </xdr:nvPicPr>
          <xdr:blipFill>
            <a:blip xmlns:r="http://schemas.openxmlformats.org/officeDocument/2006/relationships" r:embed="rId26"/>
            <a:stretch>
              <a:fillRect/>
            </a:stretch>
          </xdr:blipFill>
          <xdr:spPr>
            <a:xfrm>
              <a:off x="22234560" y="10378416"/>
              <a:ext cx="824760" cy="248428"/>
            </a:xfrm>
            <a:prstGeom prst="rect">
              <a:avLst/>
            </a:prstGeom>
          </xdr:spPr>
        </xdr:pic>
      </mc:Fallback>
    </mc:AlternateContent>
    <xdr:clientData/>
  </xdr:twoCellAnchor>
  <xdr:twoCellAnchor editAs="oneCell">
    <xdr:from>
      <xdr:col>34</xdr:col>
      <xdr:colOff>264120</xdr:colOff>
      <xdr:row>57</xdr:row>
      <xdr:rowOff>169710</xdr:rowOff>
    </xdr:from>
    <xdr:to>
      <xdr:col>34</xdr:col>
      <xdr:colOff>490200</xdr:colOff>
      <xdr:row>58</xdr:row>
      <xdr:rowOff>4641</xdr:rowOff>
    </xdr:to>
    <mc:AlternateContent xmlns:mc="http://schemas.openxmlformats.org/markup-compatibility/2006" xmlns:xdr14="http://schemas.microsoft.com/office/excel/2010/spreadsheetDrawing">
      <mc:Choice Requires="xdr14">
        <xdr:contentPart xmlns:r="http://schemas.openxmlformats.org/officeDocument/2006/relationships" r:id="rId27">
          <xdr14:nvContentPartPr>
            <xdr14:cNvPr id="44" name="Freihand 43">
              <a:extLst>
                <a:ext uri="{FF2B5EF4-FFF2-40B4-BE49-F238E27FC236}">
                  <a16:creationId xmlns:a16="http://schemas.microsoft.com/office/drawing/2014/main" id="{11F0AECD-2C75-9DDC-873A-D6E83C9F2693}"/>
                </a:ext>
              </a:extLst>
            </xdr14:cNvPr>
            <xdr14:cNvContentPartPr/>
          </xdr14:nvContentPartPr>
          <xdr14:nvPr macro=""/>
          <xdr14:xfrm>
            <a:off x="25410120" y="10482110"/>
            <a:ext cx="226080" cy="19080"/>
          </xdr14:xfrm>
        </xdr:contentPart>
      </mc:Choice>
      <mc:Fallback xmlns="">
        <xdr:pic>
          <xdr:nvPicPr>
            <xdr:cNvPr id="44" name="Freihand 43">
              <a:extLst>
                <a:ext uri="{FF2B5EF4-FFF2-40B4-BE49-F238E27FC236}">
                  <a16:creationId xmlns:a16="http://schemas.microsoft.com/office/drawing/2014/main" id="{11F0AECD-2C75-9DDC-873A-D6E83C9F2693}"/>
                </a:ext>
              </a:extLst>
            </xdr:cNvPr>
            <xdr:cNvPicPr/>
          </xdr:nvPicPr>
          <xdr:blipFill>
            <a:blip xmlns:r="http://schemas.openxmlformats.org/officeDocument/2006/relationships" r:embed="rId28"/>
            <a:stretch>
              <a:fillRect/>
            </a:stretch>
          </xdr:blipFill>
          <xdr:spPr>
            <a:xfrm>
              <a:off x="25401480" y="10473470"/>
              <a:ext cx="243720" cy="36720"/>
            </a:xfrm>
            <a:prstGeom prst="rect">
              <a:avLst/>
            </a:prstGeom>
          </xdr:spPr>
        </xdr:pic>
      </mc:Fallback>
    </mc:AlternateContent>
    <xdr:clientData/>
  </xdr:twoCellAnchor>
  <xdr:twoCellAnchor editAs="oneCell">
    <xdr:from>
      <xdr:col>34</xdr:col>
      <xdr:colOff>206880</xdr:colOff>
      <xdr:row>58</xdr:row>
      <xdr:rowOff>94280</xdr:rowOff>
    </xdr:from>
    <xdr:to>
      <xdr:col>34</xdr:col>
      <xdr:colOff>473280</xdr:colOff>
      <xdr:row>58</xdr:row>
      <xdr:rowOff>129560</xdr:rowOff>
    </xdr:to>
    <mc:AlternateContent xmlns:mc="http://schemas.openxmlformats.org/markup-compatibility/2006" xmlns:xdr14="http://schemas.microsoft.com/office/excel/2010/spreadsheetDrawing">
      <mc:Choice Requires="xdr14">
        <xdr:contentPart xmlns:r="http://schemas.openxmlformats.org/officeDocument/2006/relationships" r:id="rId29">
          <xdr14:nvContentPartPr>
            <xdr14:cNvPr id="45" name="Freihand 44">
              <a:extLst>
                <a:ext uri="{FF2B5EF4-FFF2-40B4-BE49-F238E27FC236}">
                  <a16:creationId xmlns:a16="http://schemas.microsoft.com/office/drawing/2014/main" id="{0BDBABCA-B540-A657-D14A-C46CA58A2083}"/>
                </a:ext>
              </a:extLst>
            </xdr14:cNvPr>
            <xdr14:cNvContentPartPr/>
          </xdr14:nvContentPartPr>
          <xdr14:nvPr macro=""/>
          <xdr14:xfrm>
            <a:off x="25352880" y="10590830"/>
            <a:ext cx="266400" cy="35280"/>
          </xdr14:xfrm>
        </xdr:contentPart>
      </mc:Choice>
      <mc:Fallback xmlns="">
        <xdr:pic>
          <xdr:nvPicPr>
            <xdr:cNvPr id="45" name="Freihand 44">
              <a:extLst>
                <a:ext uri="{FF2B5EF4-FFF2-40B4-BE49-F238E27FC236}">
                  <a16:creationId xmlns:a16="http://schemas.microsoft.com/office/drawing/2014/main" id="{0BDBABCA-B540-A657-D14A-C46CA58A2083}"/>
                </a:ext>
              </a:extLst>
            </xdr:cNvPr>
            <xdr:cNvPicPr/>
          </xdr:nvPicPr>
          <xdr:blipFill>
            <a:blip xmlns:r="http://schemas.openxmlformats.org/officeDocument/2006/relationships" r:embed="rId30"/>
            <a:stretch>
              <a:fillRect/>
            </a:stretch>
          </xdr:blipFill>
          <xdr:spPr>
            <a:xfrm>
              <a:off x="25343880" y="10582190"/>
              <a:ext cx="284040" cy="52920"/>
            </a:xfrm>
            <a:prstGeom prst="rect">
              <a:avLst/>
            </a:prstGeom>
          </xdr:spPr>
        </xdr:pic>
      </mc:Fallback>
    </mc:AlternateContent>
    <xdr:clientData/>
  </xdr:twoCellAnchor>
  <xdr:twoCellAnchor editAs="oneCell">
    <xdr:from>
      <xdr:col>33</xdr:col>
      <xdr:colOff>15240</xdr:colOff>
      <xdr:row>57</xdr:row>
      <xdr:rowOff>120390</xdr:rowOff>
    </xdr:from>
    <xdr:to>
      <xdr:col>33</xdr:col>
      <xdr:colOff>411240</xdr:colOff>
      <xdr:row>58</xdr:row>
      <xdr:rowOff>37401</xdr:rowOff>
    </xdr:to>
    <mc:AlternateContent xmlns:mc="http://schemas.openxmlformats.org/markup-compatibility/2006" xmlns:xdr14="http://schemas.microsoft.com/office/excel/2010/spreadsheetDrawing">
      <mc:Choice Requires="xdr14">
        <xdr:contentPart xmlns:r="http://schemas.openxmlformats.org/officeDocument/2006/relationships" r:id="rId31">
          <xdr14:nvContentPartPr>
            <xdr14:cNvPr id="50" name="Freihand 49">
              <a:extLst>
                <a:ext uri="{FF2B5EF4-FFF2-40B4-BE49-F238E27FC236}">
                  <a16:creationId xmlns:a16="http://schemas.microsoft.com/office/drawing/2014/main" id="{8333323A-50FE-2A20-330B-5FE777699404}"/>
                </a:ext>
              </a:extLst>
            </xdr14:cNvPr>
            <xdr14:cNvContentPartPr/>
          </xdr14:nvContentPartPr>
          <xdr14:nvPr macro=""/>
          <xdr14:xfrm>
            <a:off x="24399240" y="10432790"/>
            <a:ext cx="396000" cy="101160"/>
          </xdr14:xfrm>
        </xdr:contentPart>
      </mc:Choice>
      <mc:Fallback xmlns="">
        <xdr:pic>
          <xdr:nvPicPr>
            <xdr:cNvPr id="50" name="Freihand 49">
              <a:extLst>
                <a:ext uri="{FF2B5EF4-FFF2-40B4-BE49-F238E27FC236}">
                  <a16:creationId xmlns:a16="http://schemas.microsoft.com/office/drawing/2014/main" id="{8333323A-50FE-2A20-330B-5FE777699404}"/>
                </a:ext>
              </a:extLst>
            </xdr:cNvPr>
            <xdr:cNvPicPr/>
          </xdr:nvPicPr>
          <xdr:blipFill>
            <a:blip xmlns:r="http://schemas.openxmlformats.org/officeDocument/2006/relationships" r:embed="rId32"/>
            <a:stretch>
              <a:fillRect/>
            </a:stretch>
          </xdr:blipFill>
          <xdr:spPr>
            <a:xfrm>
              <a:off x="24390592" y="10424150"/>
              <a:ext cx="413656" cy="118800"/>
            </a:xfrm>
            <a:prstGeom prst="rect">
              <a:avLst/>
            </a:prstGeom>
          </xdr:spPr>
        </xdr:pic>
      </mc:Fallback>
    </mc:AlternateContent>
    <xdr:clientData/>
  </xdr:twoCellAnchor>
  <xdr:twoCellAnchor editAs="oneCell">
    <xdr:from>
      <xdr:col>33</xdr:col>
      <xdr:colOff>16320</xdr:colOff>
      <xdr:row>58</xdr:row>
      <xdr:rowOff>79880</xdr:rowOff>
    </xdr:from>
    <xdr:to>
      <xdr:col>33</xdr:col>
      <xdr:colOff>429240</xdr:colOff>
      <xdr:row>59</xdr:row>
      <xdr:rowOff>15969</xdr:rowOff>
    </xdr:to>
    <mc:AlternateContent xmlns:mc="http://schemas.openxmlformats.org/markup-compatibility/2006" xmlns:xdr14="http://schemas.microsoft.com/office/excel/2010/spreadsheetDrawing">
      <mc:Choice Requires="xdr14">
        <xdr:contentPart xmlns:r="http://schemas.openxmlformats.org/officeDocument/2006/relationships" r:id="rId33">
          <xdr14:nvContentPartPr>
            <xdr14:cNvPr id="56" name="Freihand 55">
              <a:extLst>
                <a:ext uri="{FF2B5EF4-FFF2-40B4-BE49-F238E27FC236}">
                  <a16:creationId xmlns:a16="http://schemas.microsoft.com/office/drawing/2014/main" id="{C338AED3-3A52-C102-9506-4A1710BFD009}"/>
                </a:ext>
              </a:extLst>
            </xdr14:cNvPr>
            <xdr14:cNvContentPartPr/>
          </xdr14:nvContentPartPr>
          <xdr14:nvPr macro=""/>
          <xdr14:xfrm>
            <a:off x="24400320" y="10576430"/>
            <a:ext cx="412920" cy="120240"/>
          </xdr14:xfrm>
        </xdr:contentPart>
      </mc:Choice>
      <mc:Fallback xmlns="">
        <xdr:pic>
          <xdr:nvPicPr>
            <xdr:cNvPr id="56" name="Freihand 55">
              <a:extLst>
                <a:ext uri="{FF2B5EF4-FFF2-40B4-BE49-F238E27FC236}">
                  <a16:creationId xmlns:a16="http://schemas.microsoft.com/office/drawing/2014/main" id="{C338AED3-3A52-C102-9506-4A1710BFD009}"/>
                </a:ext>
              </a:extLst>
            </xdr:cNvPr>
            <xdr:cNvPicPr/>
          </xdr:nvPicPr>
          <xdr:blipFill>
            <a:blip xmlns:r="http://schemas.openxmlformats.org/officeDocument/2006/relationships" r:embed="rId34"/>
            <a:stretch>
              <a:fillRect/>
            </a:stretch>
          </xdr:blipFill>
          <xdr:spPr>
            <a:xfrm>
              <a:off x="24391320" y="10567430"/>
              <a:ext cx="430560" cy="137880"/>
            </a:xfrm>
            <a:prstGeom prst="rect">
              <a:avLst/>
            </a:prstGeom>
          </xdr:spPr>
        </xdr:pic>
      </mc:Fallback>
    </mc:AlternateContent>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9</xdr:col>
      <xdr:colOff>521040</xdr:colOff>
      <xdr:row>20</xdr:row>
      <xdr:rowOff>165269</xdr:rowOff>
    </xdr:to>
    <xdr:pic>
      <xdr:nvPicPr>
        <xdr:cNvPr id="2" name="Grafik 1">
          <a:extLst>
            <a:ext uri="{FF2B5EF4-FFF2-40B4-BE49-F238E27FC236}">
              <a16:creationId xmlns:a16="http://schemas.microsoft.com/office/drawing/2014/main" id="{2D9E8039-A1E7-D27D-E425-D9A3A47BEBE0}"/>
            </a:ext>
          </a:extLst>
        </xdr:cNvPr>
        <xdr:cNvPicPr>
          <a:picLocks noChangeAspect="1"/>
        </xdr:cNvPicPr>
      </xdr:nvPicPr>
      <xdr:blipFill>
        <a:blip xmlns:r="http://schemas.openxmlformats.org/officeDocument/2006/relationships" r:embed="rId1"/>
        <a:stretch>
          <a:fillRect/>
        </a:stretch>
      </xdr:blipFill>
      <xdr:spPr>
        <a:xfrm>
          <a:off x="762000" y="368300"/>
          <a:ext cx="6617040" cy="3295819"/>
        </a:xfrm>
        <a:prstGeom prst="rect">
          <a:avLst/>
        </a:prstGeom>
      </xdr:spPr>
    </xdr:pic>
    <xdr:clientData/>
  </xdr:twoCellAnchor>
  <xdr:twoCellAnchor editAs="oneCell">
    <xdr:from>
      <xdr:col>10</xdr:col>
      <xdr:colOff>275664</xdr:colOff>
      <xdr:row>2</xdr:row>
      <xdr:rowOff>113179</xdr:rowOff>
    </xdr:from>
    <xdr:to>
      <xdr:col>18</xdr:col>
      <xdr:colOff>91818</xdr:colOff>
      <xdr:row>20</xdr:row>
      <xdr:rowOff>179468</xdr:rowOff>
    </xdr:to>
    <xdr:pic>
      <xdr:nvPicPr>
        <xdr:cNvPr id="3" name="Grafik 2">
          <a:extLst>
            <a:ext uri="{FF2B5EF4-FFF2-40B4-BE49-F238E27FC236}">
              <a16:creationId xmlns:a16="http://schemas.microsoft.com/office/drawing/2014/main" id="{80462435-091F-D595-6DC7-86E71F8A40BE}"/>
            </a:ext>
          </a:extLst>
        </xdr:cNvPr>
        <xdr:cNvPicPr>
          <a:picLocks noChangeAspect="1"/>
        </xdr:cNvPicPr>
      </xdr:nvPicPr>
      <xdr:blipFill>
        <a:blip xmlns:r="http://schemas.openxmlformats.org/officeDocument/2006/relationships" r:embed="rId2"/>
        <a:stretch>
          <a:fillRect/>
        </a:stretch>
      </xdr:blipFill>
      <xdr:spPr>
        <a:xfrm>
          <a:off x="7895664" y="299944"/>
          <a:ext cx="5912154" cy="3428054"/>
        </a:xfrm>
        <a:prstGeom prst="rect">
          <a:avLst/>
        </a:prstGeom>
      </xdr:spPr>
    </xdr:pic>
    <xdr:clientData/>
  </xdr:twoCellAnchor>
  <xdr:twoCellAnchor editAs="oneCell">
    <xdr:from>
      <xdr:col>8</xdr:col>
      <xdr:colOff>0</xdr:colOff>
      <xdr:row>22</xdr:row>
      <xdr:rowOff>0</xdr:rowOff>
    </xdr:from>
    <xdr:to>
      <xdr:col>13</xdr:col>
      <xdr:colOff>254209</xdr:colOff>
      <xdr:row>34</xdr:row>
      <xdr:rowOff>102094</xdr:rowOff>
    </xdr:to>
    <xdr:pic>
      <xdr:nvPicPr>
        <xdr:cNvPr id="5" name="Grafik 4">
          <a:extLst>
            <a:ext uri="{FF2B5EF4-FFF2-40B4-BE49-F238E27FC236}">
              <a16:creationId xmlns:a16="http://schemas.microsoft.com/office/drawing/2014/main" id="{82E8EB58-5D5E-6D1A-2B6E-8E6B6D6AAF26}"/>
            </a:ext>
          </a:extLst>
        </xdr:cNvPr>
        <xdr:cNvPicPr>
          <a:picLocks noChangeAspect="1"/>
        </xdr:cNvPicPr>
      </xdr:nvPicPr>
      <xdr:blipFill>
        <a:blip xmlns:r="http://schemas.openxmlformats.org/officeDocument/2006/relationships" r:embed="rId3"/>
        <a:stretch>
          <a:fillRect/>
        </a:stretch>
      </xdr:blipFill>
      <xdr:spPr>
        <a:xfrm>
          <a:off x="6096000" y="3922059"/>
          <a:ext cx="4064209" cy="2343270"/>
        </a:xfrm>
        <a:prstGeom prst="rect">
          <a:avLst/>
        </a:prstGeom>
      </xdr:spPr>
    </xdr:pic>
    <xdr:clientData/>
  </xdr:twoCellAnchor>
  <xdr:twoCellAnchor editAs="oneCell">
    <xdr:from>
      <xdr:col>1</xdr:col>
      <xdr:colOff>500529</xdr:colOff>
      <xdr:row>21</xdr:row>
      <xdr:rowOff>82176</xdr:rowOff>
    </xdr:from>
    <xdr:to>
      <xdr:col>7</xdr:col>
      <xdr:colOff>488063</xdr:colOff>
      <xdr:row>36</xdr:row>
      <xdr:rowOff>119302</xdr:rowOff>
    </xdr:to>
    <xdr:pic>
      <xdr:nvPicPr>
        <xdr:cNvPr id="6" name="Grafik 5">
          <a:extLst>
            <a:ext uri="{FF2B5EF4-FFF2-40B4-BE49-F238E27FC236}">
              <a16:creationId xmlns:a16="http://schemas.microsoft.com/office/drawing/2014/main" id="{2120894B-D74F-7C75-1273-3FA0D406A090}"/>
            </a:ext>
          </a:extLst>
        </xdr:cNvPr>
        <xdr:cNvPicPr>
          <a:picLocks noChangeAspect="1"/>
        </xdr:cNvPicPr>
      </xdr:nvPicPr>
      <xdr:blipFill>
        <a:blip xmlns:r="http://schemas.openxmlformats.org/officeDocument/2006/relationships" r:embed="rId4"/>
        <a:stretch>
          <a:fillRect/>
        </a:stretch>
      </xdr:blipFill>
      <xdr:spPr>
        <a:xfrm>
          <a:off x="1262529" y="3817470"/>
          <a:ext cx="4559534" cy="2838596"/>
        </a:xfrm>
        <a:prstGeom prst="rect">
          <a:avLst/>
        </a:prstGeom>
      </xdr:spPr>
    </xdr:pic>
    <xdr:clientData/>
  </xdr:twoCellAnchor>
  <xdr:twoCellAnchor editAs="oneCell">
    <xdr:from>
      <xdr:col>1</xdr:col>
      <xdr:colOff>530411</xdr:colOff>
      <xdr:row>37</xdr:row>
      <xdr:rowOff>164353</xdr:rowOff>
    </xdr:from>
    <xdr:to>
      <xdr:col>10</xdr:col>
      <xdr:colOff>130693</xdr:colOff>
      <xdr:row>46</xdr:row>
      <xdr:rowOff>147257</xdr:rowOff>
    </xdr:to>
    <xdr:pic>
      <xdr:nvPicPr>
        <xdr:cNvPr id="4" name="Grafik 3">
          <a:extLst>
            <a:ext uri="{FF2B5EF4-FFF2-40B4-BE49-F238E27FC236}">
              <a16:creationId xmlns:a16="http://schemas.microsoft.com/office/drawing/2014/main" id="{2F0DB92A-E472-46E1-7968-9EA601B24CDB}"/>
            </a:ext>
          </a:extLst>
        </xdr:cNvPr>
        <xdr:cNvPicPr>
          <a:picLocks noChangeAspect="1"/>
        </xdr:cNvPicPr>
      </xdr:nvPicPr>
      <xdr:blipFill>
        <a:blip xmlns:r="http://schemas.openxmlformats.org/officeDocument/2006/relationships" r:embed="rId5"/>
        <a:stretch>
          <a:fillRect/>
        </a:stretch>
      </xdr:blipFill>
      <xdr:spPr>
        <a:xfrm>
          <a:off x="1292411" y="7074647"/>
          <a:ext cx="6458282" cy="1663786"/>
        </a:xfrm>
        <a:prstGeom prst="rect">
          <a:avLst/>
        </a:prstGeom>
      </xdr:spPr>
    </xdr:pic>
    <xdr:clientData/>
  </xdr:twoCellAnchor>
  <xdr:twoCellAnchor editAs="oneCell">
    <xdr:from>
      <xdr:col>10</xdr:col>
      <xdr:colOff>649941</xdr:colOff>
      <xdr:row>38</xdr:row>
      <xdr:rowOff>97119</xdr:rowOff>
    </xdr:from>
    <xdr:to>
      <xdr:col>19</xdr:col>
      <xdr:colOff>447083</xdr:colOff>
      <xdr:row>46</xdr:row>
      <xdr:rowOff>12774</xdr:rowOff>
    </xdr:to>
    <xdr:pic>
      <xdr:nvPicPr>
        <xdr:cNvPr id="7" name="Grafik 6">
          <a:extLst>
            <a:ext uri="{FF2B5EF4-FFF2-40B4-BE49-F238E27FC236}">
              <a16:creationId xmlns:a16="http://schemas.microsoft.com/office/drawing/2014/main" id="{7F349687-CA5F-0687-80B4-121815EC83B7}"/>
            </a:ext>
          </a:extLst>
        </xdr:cNvPr>
        <xdr:cNvPicPr>
          <a:picLocks noChangeAspect="1"/>
        </xdr:cNvPicPr>
      </xdr:nvPicPr>
      <xdr:blipFill>
        <a:blip xmlns:r="http://schemas.openxmlformats.org/officeDocument/2006/relationships" r:embed="rId6"/>
        <a:stretch>
          <a:fillRect/>
        </a:stretch>
      </xdr:blipFill>
      <xdr:spPr>
        <a:xfrm>
          <a:off x="8269941" y="7194178"/>
          <a:ext cx="6655142" cy="140977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44450</xdr:colOff>
      <xdr:row>1</xdr:row>
      <xdr:rowOff>158750</xdr:rowOff>
    </xdr:from>
    <xdr:to>
      <xdr:col>6</xdr:col>
      <xdr:colOff>203404</xdr:colOff>
      <xdr:row>8</xdr:row>
      <xdr:rowOff>146116</xdr:rowOff>
    </xdr:to>
    <xdr:pic>
      <xdr:nvPicPr>
        <xdr:cNvPr id="2" name="Grafik 1">
          <a:extLst>
            <a:ext uri="{FF2B5EF4-FFF2-40B4-BE49-F238E27FC236}">
              <a16:creationId xmlns:a16="http://schemas.microsoft.com/office/drawing/2014/main" id="{9DD41108-3542-DE3D-1FD6-13363E0AB58A}"/>
            </a:ext>
          </a:extLst>
        </xdr:cNvPr>
        <xdr:cNvPicPr>
          <a:picLocks noChangeAspect="1"/>
        </xdr:cNvPicPr>
      </xdr:nvPicPr>
      <xdr:blipFill>
        <a:blip xmlns:r="http://schemas.openxmlformats.org/officeDocument/2006/relationships" r:embed="rId1"/>
        <a:stretch>
          <a:fillRect/>
        </a:stretch>
      </xdr:blipFill>
      <xdr:spPr>
        <a:xfrm>
          <a:off x="806450" y="158750"/>
          <a:ext cx="3968954" cy="1276416"/>
        </a:xfrm>
        <a:prstGeom prst="rect">
          <a:avLst/>
        </a:prstGeom>
      </xdr:spPr>
    </xdr:pic>
    <xdr:clientData/>
  </xdr:twoCellAnchor>
  <xdr:twoCellAnchor editAs="oneCell">
    <xdr:from>
      <xdr:col>1</xdr:col>
      <xdr:colOff>69851</xdr:colOff>
      <xdr:row>18</xdr:row>
      <xdr:rowOff>44450</xdr:rowOff>
    </xdr:from>
    <xdr:to>
      <xdr:col>8</xdr:col>
      <xdr:colOff>127001</xdr:colOff>
      <xdr:row>29</xdr:row>
      <xdr:rowOff>35861</xdr:rowOff>
    </xdr:to>
    <xdr:pic>
      <xdr:nvPicPr>
        <xdr:cNvPr id="3" name="Grafik 2">
          <a:extLst>
            <a:ext uri="{FF2B5EF4-FFF2-40B4-BE49-F238E27FC236}">
              <a16:creationId xmlns:a16="http://schemas.microsoft.com/office/drawing/2014/main" id="{19721957-3943-0ED6-D8CD-56EDA64A302F}"/>
            </a:ext>
          </a:extLst>
        </xdr:cNvPr>
        <xdr:cNvPicPr>
          <a:picLocks noChangeAspect="1"/>
        </xdr:cNvPicPr>
      </xdr:nvPicPr>
      <xdr:blipFill>
        <a:blip xmlns:r="http://schemas.openxmlformats.org/officeDocument/2006/relationships" r:embed="rId2"/>
        <a:stretch>
          <a:fillRect/>
        </a:stretch>
      </xdr:blipFill>
      <xdr:spPr>
        <a:xfrm>
          <a:off x="831851" y="1701800"/>
          <a:ext cx="5391150" cy="2017061"/>
        </a:xfrm>
        <a:prstGeom prst="rect">
          <a:avLst/>
        </a:prstGeom>
      </xdr:spPr>
    </xdr:pic>
    <xdr:clientData/>
  </xdr:twoCellAnchor>
  <xdr:twoCellAnchor editAs="oneCell">
    <xdr:from>
      <xdr:col>1</xdr:col>
      <xdr:colOff>82551</xdr:colOff>
      <xdr:row>30</xdr:row>
      <xdr:rowOff>88901</xdr:rowOff>
    </xdr:from>
    <xdr:to>
      <xdr:col>7</xdr:col>
      <xdr:colOff>755651</xdr:colOff>
      <xdr:row>37</xdr:row>
      <xdr:rowOff>36159</xdr:rowOff>
    </xdr:to>
    <xdr:pic>
      <xdr:nvPicPr>
        <xdr:cNvPr id="4" name="Grafik 3">
          <a:extLst>
            <a:ext uri="{FF2B5EF4-FFF2-40B4-BE49-F238E27FC236}">
              <a16:creationId xmlns:a16="http://schemas.microsoft.com/office/drawing/2014/main" id="{797CBA3F-BD12-DD99-30CE-EB9F836F4D74}"/>
            </a:ext>
          </a:extLst>
        </xdr:cNvPr>
        <xdr:cNvPicPr>
          <a:picLocks noChangeAspect="1"/>
        </xdr:cNvPicPr>
      </xdr:nvPicPr>
      <xdr:blipFill>
        <a:blip xmlns:r="http://schemas.openxmlformats.org/officeDocument/2006/relationships" r:embed="rId3"/>
        <a:stretch>
          <a:fillRect/>
        </a:stretch>
      </xdr:blipFill>
      <xdr:spPr>
        <a:xfrm>
          <a:off x="844551" y="3956051"/>
          <a:ext cx="5245100" cy="1236308"/>
        </a:xfrm>
        <a:prstGeom prst="rect">
          <a:avLst/>
        </a:prstGeom>
      </xdr:spPr>
    </xdr:pic>
    <xdr:clientData/>
  </xdr:twoCellAnchor>
  <xdr:twoCellAnchor editAs="oneCell">
    <xdr:from>
      <xdr:col>1</xdr:col>
      <xdr:colOff>25400</xdr:colOff>
      <xdr:row>9</xdr:row>
      <xdr:rowOff>127000</xdr:rowOff>
    </xdr:from>
    <xdr:to>
      <xdr:col>7</xdr:col>
      <xdr:colOff>717879</xdr:colOff>
      <xdr:row>16</xdr:row>
      <xdr:rowOff>127000</xdr:rowOff>
    </xdr:to>
    <xdr:pic>
      <xdr:nvPicPr>
        <xdr:cNvPr id="5" name="Grafik 4">
          <a:extLst>
            <a:ext uri="{FF2B5EF4-FFF2-40B4-BE49-F238E27FC236}">
              <a16:creationId xmlns:a16="http://schemas.microsoft.com/office/drawing/2014/main" id="{B69F08AF-0387-A645-8E62-8242B87D0642}"/>
            </a:ext>
          </a:extLst>
        </xdr:cNvPr>
        <xdr:cNvPicPr>
          <a:picLocks noChangeAspect="1"/>
        </xdr:cNvPicPr>
      </xdr:nvPicPr>
      <xdr:blipFill>
        <a:blip xmlns:r="http://schemas.openxmlformats.org/officeDocument/2006/relationships" r:embed="rId4"/>
        <a:stretch>
          <a:fillRect/>
        </a:stretch>
      </xdr:blipFill>
      <xdr:spPr>
        <a:xfrm>
          <a:off x="787400" y="1600200"/>
          <a:ext cx="5264479" cy="1289050"/>
        </a:xfrm>
        <a:prstGeom prst="rect">
          <a:avLst/>
        </a:prstGeom>
      </xdr:spPr>
    </xdr:pic>
    <xdr:clientData/>
  </xdr:twoCellAnchor>
</xdr:wsDr>
</file>

<file path=xl/ink/ink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10-01T07:56:20.082"/>
    </inkml:context>
    <inkml:brush xml:id="br0">
      <inkml:brushProperty name="width" value="0.05" units="cm"/>
      <inkml:brushProperty name="height" value="0.05" units="cm"/>
    </inkml:brush>
  </inkml:definitions>
  <inkml:trace contextRef="#ctx0" brushRef="#br0">0 233 8674,'25'-14'536,"-3"2"-320,5-3-72,6 1-32,5-1-96,-3 1-8,8-3 24,-1-1-32,2-3 16,-7-1 8,-8 0-24,-2-2-8,-14 10-224,-3 6-368,-7 5-824</inkml:trace>
</inkml:ink>
</file>

<file path=xl/ink/ink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10-01T07:56:20.818"/>
    </inkml:context>
    <inkml:brush xml:id="br0">
      <inkml:brushProperty name="width" value="0.05" units="cm"/>
      <inkml:brushProperty name="height" value="0.05" units="cm"/>
    </inkml:brush>
  </inkml:definitions>
  <inkml:trace contextRef="#ctx0" brushRef="#br0">2 217 312,'-2'19'3458,"2"-18"-3400,1-1-1,-1 0 1,1 1 0,-1-1 0,1 0 0,-1 1 0,1-1-1,-1 0 1,1 0 0,-1 0 0,1 1 0,-1-1 0,1 0-1,-1 0 1,1 0 0,0 0 0,-1 0 0,1 0 0,-1 0-1,1 0 1,-1 0 0,1 0 0,-1 0 0,1-1 0,-1 1 0,1 0-1,-1 0 1,1 0 0,-1-1 0,1 1 0,-1 0 0,1-1-1,-1 1 1,1 0 0,0-1 0,34-19 1013,42-29-1,-57 36-951,14-13 54,-25 18-138,2 0 0,17-11 0,-2 5-351,-1-2 0,43-34 0,-52 38-1125</inkml:trace>
</inkml:ink>
</file>

<file path=xl/ink/ink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10-01T07:56:26.797"/>
    </inkml:context>
    <inkml:brush xml:id="br0">
      <inkml:brushProperty name="width" value="0.05" units="cm"/>
      <inkml:brushProperty name="height" value="0.05" units="cm"/>
    </inkml:brush>
  </inkml:definitions>
  <inkml:trace contextRef="#ctx0" brushRef="#br0">0 315 1464,'2'-1'183,"-1"1"0,0 0 1,1-1-1,-1 1 0,0-1 0,1 1 0,-1-1 0,0 0 0,0 0 0,0 1 0,1-1 0,-1 0 0,0 0 0,0 0 0,0 0 0,0-1 0,17-22 496,-15 19-492,13-20 319,-2-2-1,17-41 0,-17 37-206,20-36 0,-34 66-296,0 1 0,0 0 0,0 0 0,0-1 0,0 1 0,0 0 0,0 0 0,1-1 0,-1 1 0,0 0 0,0 0 0,0-1 0,0 1 0,0 0 0,0 0 0,1 0 0,-1-1 0,0 1 0,0 0 0,0 0 0,0 0 0,1 0 0,-1 0 0,0-1 0,0 1 0,1 0 0,-1 0 0,0 0 0,0 0 0,0 0 0,1 0 0,-1 0 0,0 0 0,0 0 0,1 0 0,-1 0 0,0 0 0,0 0 0,1 0 0,-1 0 0,0 0 0,0 0 0,1 0 0,-1 0 0,0 0 0,0 0 0,1 0 0,-1 0 0,0 1 0,0-1 0,0 0 0,1 0 0,-1 0 0,0 0 0,0 0 0,0 1 0,0-1 0,1 0 0,-1 0 0,0 0 0,0 1 0,5 14 102,-2 16-68,-2 1 0,-1-1-1,-1 1 1,-5 32 0,-1 13-37,7-76-13,0 13-188,0-14 178,0 0 0,0 0 1,0 0-1,0 0 0,0 0 0,0 1 0,0-1 1,0 0-1,0 0 0,0 0 0,0 0 0,0 0 1,0 1-1,0-1 0,0 0 0,0 0 0,1 0 1,-1 0-1,0 0 0,0 0 0,0 0 0,0 0 1,0 1-1,0-1 0,0 0 0,0 0 0,1 0 1,-1 0-1,0 0 0,0 0 0,0 0 0,0 0 1,0 0-1,1 0 0,-1 0 0,0 0 0,0 0 1,0 0-1,0 0 0,0 0 0,1 0 0,-1 0 1,0 0-1,0 0 0,0 0 0,0 0 0,0 0 1,0 0-1,1 0 0,-1 0 0,0 0 0,0 0 1,0-1-1,0 1 0,0 0 0,0 0 0,0 0 1,1 0-1,-1 0 0,0 0 0,0 0 0,0 0 1,0-1-1,0 1 0,0 0 0,0 0 0,0 0 1,6-7-2028</inkml:trace>
  <inkml:trace contextRef="#ctx0" brushRef="#br0" timeOffset="219.96">398 136 1944,'7'3'1585,"-1"3"-305,0 0-280,-5 3-520,-1 5-160,5 11-184,-2 0-64,-4-4-40,-1 0-8,5-4-8,-1-5-16,-3-7-464,4-3-968</inkml:trace>
  <inkml:trace contextRef="#ctx0" brushRef="#br0" timeOffset="413.41">363 108 2248,'-6'-16'1297,"17"14"-377,4-1-240,1-4-64,3 2-88,18 2-272,-4-4-112,-5 5-104,-4 3-8,-7-9-32,-1-1-272</inkml:trace>
  <inkml:trace contextRef="#ctx0" brushRef="#br0" timeOffset="1049.83">400 242 1488,'3'2'251,"1"1"-1,-1-1 0,1 1 0,0-1 0,0 0 1,0 0-1,-1-1 0,2 1 0,-1-1 1,0 0-1,0 0 0,0 0 0,1-1 1,-1 1-1,7-1 0,-4-1-147,0 0-1,1 0 1,-1 0-1,0-1 0,0-1 1,0 1-1,0-1 1,9-5-1,-2 0-107,-1-1-1,0 0 1,-1-1-1,0 0 0,0-1 1,-1 0-1,18-25 0,-29 36 8,15-24 26,-15 24-24,1-1 1,-1 0-1,0 0 0,1 0 0,-1 0 0,1 0 1,-1 1-1,0-1 0,0 0 0,1 0 0,-1 0 1,0 0-1,0 0 0,0 0 0,0 0 1,0 0-1,0 0 0,-1 0 0,1 0 0,0 0 1,0 0-1,-1-1 0,-3 3 106,0 1 0,1 0-1,-1 0 1,1 0 0,-1 0 0,1 0 0,0 1-1,-5 4 1,3-2-89,0 1 0,0 0 0,1 0 0,0 0 0,0 0 0,0 1-1,1 0 1,0 0 0,0 0 0,0 0 0,-2 15 0,4-19-19,0 0 0,1 0 0,-1 1-1,1-1 1,0 0 0,0 1 0,0-1 0,0 0 0,1 1 0,-1-1 0,1 0 0,0 0 0,0 0 0,0 1 0,0-1 0,1 0-1,-1 0 1,1-1 0,0 1 0,0 0 0,0 0 0,0-1 0,0 1 0,0-1 0,1 0 0,-1 0 0,1 0 0,0 0-1,4 2 1,-2-2-8,0 0-1,0-1 1,0 0 0,0 0-1,0 0 1,0-1-1,0 0 1,0 0 0,0 0-1,0 0 1,1-1-1,-1 0 1,0 0-1,0 0 1,0-1 0,-1 0-1,8-3 1,2-1-121,-1-2 0,0 1 0,0-1 1,19-17-1,-18 12-115,-2 0 0,1 0 0,-2-1 0,0 0 0,0-1 0,-1-1 0,-1 1 0,-1-1 0,0-1 0,6-20 0,-13 33 259,0 1 1,0 0-1,0-1 1,-1 1-1,1-1 0,-1 1 1,0-1-1,0 1 1,0 0-1,-2-8 1,2 11-2,0-1 0,0 1 1,0-1-1,-1 1 0,1-1 1,0 1-1,0-1 0,-1 1 1,1 0-1,0-1 1,-1 1-1,1-1 0,-1 1 1,1 0-1,0-1 0,-1 1 1,1 0-1,-1-1 1,1 1-1,-1 0 0,1 0 1,-1 0-1,1-1 0,-1 1 1,1 0-1,-2 0 0,1 0 21,-1 0-1,1 1 1,-1-1-1,0 0 0,1 1 1,-1-1-1,1 1 1,-1 0-1,1-1 0,-1 1 1,1 0-1,0 0 0,-2 1 1,0 1 27,0 0 0,0 0 1,0 1-1,1-1 0,-1 1 0,1-1 1,0 1-1,0 0 0,0 0 0,1 0 0,-3 8 1,-5 10 163,1-4-115,1 1 1,0 0 0,1 1 0,1-1-1,1 1 1,-2 29 0,5-47-153,1 0 1,0 0-1,0 0 0,0 0 1,1 0-1,-1 0 0,0 0 1,1 0-1,-1 0 1,1-1-1,0 1 0,-1 0 1,1 0-1,0 0 0,0 0 1,0-1-1,0 1 0,1-1 1,-1 1-1,0-1 1,1 1-1,-1-1 0,1 0 1,0 1-1,-1-1 0,1 0 1,0 0-1,-1 0 0,1 0 1,0-1-1,0 1 1,3 0-1,11 2-2284</inkml:trace>
  <inkml:trace contextRef="#ctx0" brushRef="#br0" timeOffset="1623.01">1071 242 1768,'0'-1'112,"0"1"0,0-1 0,0 1 0,0-1 0,0 1 0,0-1 0,0 1 0,-1-1 0,1 1 0,0 0 0,0-1 0,0 1-1,0-1 1,0 1 0,-1-1 0,1 1 0,0 0 0,0-1 0,-1 1 0,1 0 0,0-1 0,-1 1 0,1 0 0,0-1 0,-1 1-1,1 0 1,0 0 0,-1-1 0,1 1 0,-1 0 0,1 0 0,-1-1 0,-17 5 1082,-16 15-855,32-17-327,-1 0 0,1-1 0,0 1 0,0 0 0,0 1 0,0-1 0,1 0 0,-1 1 1,1-1-1,-1 1 0,1-1 0,0 1 0,0-1 0,0 1 0,-1 4 0,2-6-11,0-1-1,0 1 1,0 0-1,0 0 1,0 0-1,0 0 1,0-1-1,0 1 1,0 0 0,0 0-1,1 0 1,-1-1-1,0 1 1,1 0-1,-1 0 1,0-1-1,1 1 1,-1 0-1,1-1 1,-1 1 0,2 0-1,-1 0 1,0 0 0,0 0 0,1-1 0,-1 1 1,0-1-1,1 1 0,-1-1 0,1 1 0,-1-1 0,1 0 0,-1 0 0,0 0 0,1 0 1,-1 0-1,1 0 0,1-1 0,1 1 1,-1-1 0,1-1-1,-1 1 1,0 0 0,1-1 0,-1 0 0,0 1 0,0-1-1,0 0 1,0-1 0,-1 1 0,1-1 0,-1 1 0,1-1 0,-1 0-1,3-3 1,0-1 1,-1 0 0,0 0 0,0-1-1,0 1 1,-1-1 0,2-8 0,13-63 4,-17 70-3,0 1-1,0-1 0,-1 1 1,0-1-1,-1 1 1,0-1-1,-2-11 0,3 20-2,0-1-1,0 0 1,0 1 0,-1-1-1,1 1 1,0-1 0,0 1-1,0-1 1,-1 1 0,1-1-1,0 1 1,0-1-1,-1 1 1,1-1 0,-1 1-1,1 0 1,0-1 0,-1 1-1,1-1 1,-1 1-1,1 0 1,-1-1 0,1 1-1,-1 0 1,1 0 0,-1-1-1,1 1 1,-1 0-1,1 0 1,-1 0 0,1 0-1,-1 0 1,1 0 0,-1 0-1,0 0 1,1 0-1,-1 0 1,1 0 0,-1 0-1,1 0 1,-1 0 0,1 0-1,-1 0 1,0 1 0,1-1-1,-1 0 1,1 1-1,-1-1 1,1 0 0,0 0-1,-1 1 1,1-1 0,-1 1-1,1-1 1,0 1-1,-1-1 1,1 0 0,0 1-1,-1-1 1,1 1 0,0-1-1,0 1 1,-1 0-1,1-1 1,0 1 0,0-1-1,0 1 1,0-1 0,0 2-1,-5 17 23,1 1-1,1 0 1,1-1-1,0 1 1,2 0-1,0 0 1,7 39-1,-6-51-47,1-1 1,-1 1-1,2-1 0,4 12 0,1-6-345</inkml:trace>
  <inkml:trace contextRef="#ctx0" brushRef="#br0" timeOffset="2405.23">76 451 1704,'0'-2'255,"0"0"0,0 0 0,0 0 0,0 0-1,0-1 1,1 1 0,-1 0 0,1 0 0,0 0 0,0 0-1,0 0 1,0 0 0,0 0 0,0 0 0,0 1 0,0-1-1,1 0 1,-1 1 0,1-1 0,0 0 0,-1 1 0,1 0-1,3-3 1,-4 3-219,1 0-1,-1 0 1,1-1-1,-1 1 0,1 0 1,0 0-1,-1 0 1,1 1-1,0-1 1,0 0-1,0 1 0,-1-1 1,1 1-1,0-1 1,0 1-1,0 0 1,0 0-1,0 0 1,0 0-1,0 0 0,0 0 1,0 1-1,-1-1 1,1 1-1,0-1 1,0 1-1,2 0 1,-4 0-33,1 0 1,-1 0 0,1 0 0,-1 0 0,1 0 0,-1 0 0,1 0 0,-1 0-1,0 0 1,0 0 0,1 0 0,-1 0 0,0 0 0,0 1 0,0-1 0,0 0-1,0 0 1,-1 0 0,1 2 0,-8 25 19,6-18-14,1-9-9,1 0 0,-1 1 1,1-1-1,0 0 0,0 1 0,0-1 1,0 0-1,0 1 0,0-1 1,0 0-1,0 1 0,0-1 0,1 0 1,-1 0-1,0 1 0,1-1 0,-1 0 1,1 0-1,0 1 0,-1-1 0,1 0 1,0 0-1,0 0 0,-1 0 0,1 0 1,0 0-1,0 0 0,0 0 0,2 1 1,2 0-24,0 0-1,0 0 1,0 0 0,0-1 0,1 1 0,5 0 0,10 3-347,-20-5 351,0 0 0,0 0 1,0 0-1,0 0 0,0 1 1,0-1-1,0 0 0,0 1 1,0-1-1,0 0 0,0 1 1,0-1-1,-1 1 1,1 0-1,0-1 0,0 1 1,-1 0-1,1-1 0,0 1 1,-1 0-1,1 1 0,-1-1 20,-1 1 0,1-1 0,-1 1 0,0-1 0,0 0 0,0 1 0,0-1 0,0 0 0,0 0 0,0 1 0,0-1-1,-1 0 1,-1 1 0,-13 14-13,9-8 15,-1 0 1,0 0-1,0-1 0,-11 7 0,17-13-4,1 0-1,0 0 1,0 0-1,-1-1 1,1 1-1,0 0 1,-1-1-1,1 1 1,0-1-1,-1 0 1,1 1-1,-1-1 1,1 0-1,-1 0 1,1 0-1,-1 0 1,1 0-1,-1 0 1,1 0-1,-1 0 1,1-1-1,-1 1 1,1-1-1,0 1 1,-1-1-1,1 1 1,0-1-1,-1 0 1,1 0-1,0 0 1,0 0-1,0 0 1,0 0-1,0 0 1,0 0-1,0 0 1,-1-2-1,2 3-25,-1 0 1,1 0-1,0 0 1,0 0-1,0 0 0,0 0 1,0-1-1,-1 1 1,1 0-1,0 0 0,0 0 1,0-1-1,0 1 0,0 0 1,0 0-1,0 0 1,0 0-1,0-1 0,0 1 1,0 0-1,0 0 1,0 0-1,0-1 0,0 1 1,0 0-1,0 0 0,0 0 1,0-1-1,0 1 1,0 0-1,0 0 0,0 0 1,0-1-1,0 1 1,0 0-1,1 0 0,-1 0 1,0 0-1,0-1 1,0 1-1,0 0 0,0 0 1,1 0-1,-1 0 0,6-2-1209</inkml:trace>
  <inkml:trace contextRef="#ctx0" brushRef="#br0" timeOffset="2736.26">545 437 2280,'-7'0'1505,"2"4"-273,1 5-392,0 5-280,-1 2-56,3 5-183,2 6-113,0-1-144,-1-2-32,2 1-8,-3-8-24,3-9 0,5-6 0,-3-5-985</inkml:trace>
  <inkml:trace contextRef="#ctx0" brushRef="#br0" timeOffset="2931.34">461 439 3241,'-1'0'1336,"10"2"-520,0 2-384,1 4-8,7-3-192,3 0-112,-2-4-80,-4-5-8,3-1-48,3 0-248</inkml:trace>
  <inkml:trace contextRef="#ctx0" brushRef="#br0" timeOffset="3324.45">553 563 1384,'7'-4'618,"0"0"1,0 0-1,-1 0 0,1-1 0,-1 0 0,10-11 1,-4 5-367,-3 3-168,0 0 1,0-1-1,-1-1 0,12-16 0,-21 26-73,1 0 0,0 0 0,0 0 0,0 0 0,-1 0 0,1 0 0,0 0 0,0 0 0,0 0 0,-1 0 0,1 0 0,0 0 0,0 0 0,0 0-1,-1 0 1,1 0 0,0 0 0,0 0 0,0 0 0,-1 0 0,1 0 0,0 0 0,0 0 0,0 0 0,-1 0 0,1-1 0,0 1 0,0 0 0,0 0 0,0 0-1,-1 0 1,1-1 0,0 1 0,0 0 0,0 0 0,0 0 0,0 0 0,0-1 0,0 1 0,0 0 0,0 0 0,-1 0 0,1-1 0,0 1 0,0 0 0,0 0-1,0 0 1,0-1 0,0 1 0,0 0 0,0 0 0,0 0 0,0-1 0,1 1 0,-1 0 0,0 0 0,0 0 0,0-1 0,0 1 0,0 0 0,0 0 0,0 0-1,0-1 1,1 1 0,-1 0 0,0 0 0,0 0 0,0 0 0,1-1 0,-16 7 180,12-3-169,0-1-1,0 1 1,0-1 0,0 1 0,0 0 0,1 0 0,-1 0 0,1 1 0,0-1 0,0 0 0,0 1 0,0-1 0,1 1 0,-1 0 0,0 5 0,1-6-20,1-1 0,0 1 1,0 0-1,0 0 1,1 0-1,-1-1 1,0 1-1,1 0 0,0-1 1,0 1-1,0 0 1,0-1-1,0 1 1,0-1-1,1 1 0,-1-1 1,1 0-1,-1 1 1,1-1-1,0 0 0,0 0 1,4 2-1,-5-2-3,1-1 1,-1 0-1,1-1 0,0 1 0,-1 0 0,1 0 0,0-1 0,0 1 0,0-1 0,-1 1 0,1-1 1,0 0-1,0 0 0,0 0 0,0 0 0,0 0 0,-1 0 0,1-1 0,0 1 0,0 0 1,0-1-1,0 0 0,-1 1 0,1-1 0,0 0 0,2-1 0,6-4-124,-1-1 0,1 1-1,10-11 1,-7 6-345,8-6-618</inkml:trace>
  <inkml:trace contextRef="#ctx0" brushRef="#br0" timeOffset="3547.26">776 411 1920,'-5'6'1457,"-1"0"-313,0 0-296,3 2-152,3 6-304,-1 1-152,4 9-128,5 7 0,1 5-56,2 1-24,2-1-15,-5-10 7,5-12-145,5 0-567</inkml:trace>
  <inkml:trace contextRef="#ctx0" brushRef="#br0" timeOffset="3994.48">1031 509 1472,'0'-2'235,"-1"1"0,1-1 1,-1 0-1,1 1 0,-1 0 0,0-1 0,0 1 0,1-1 0,-1 1 0,0 0 0,0-1 0,-1 1 0,0-1 0,2 2-164,-1-1 0,0 1 0,1 0 0,-1-1 0,0 1-1,1 0 1,-1 0 0,1 0 0,-1 0 0,0 0 0,1-1-1,-1 1 1,0 0 0,1 0 0,-1 1 0,0-1 0,1 0-1,-1 0 1,0 0 0,1 0 0,-1 1 0,0-1-1,-4 3 48,1 0-1,0 0 0,0 1 0,0-1 0,0 1 0,-5 6 0,5-6-67,-2 3-22,0 1 1,0 0-1,1 0 1,0 1 0,-7 16-1,10-20-23,0 0 0,0 0 1,1-1-1,0 1 0,0 0 0,0 0 0,0 0 0,1 0 0,0 0 0,0 0 0,0 0 0,1 0 0,1 7 0,-2-11-4,1 0-1,-1 1 1,1-1-1,-1 0 1,1 0-1,-1 1 1,1-1-1,0 0 1,0 0-1,-1 0 1,1 0-1,0 0 1,0 0-1,0 0 1,0 0-1,0 0 1,0-1-1,0 1 1,0 0-1,1-1 1,-1 1-1,0-1 0,0 1 1,1-1-1,-1 1 1,0-1-1,1 0 1,-1 0-1,0 0 1,1 0-1,-1 0 1,0 0-1,1 0 1,-1 0-1,0 0 1,0 0-1,1-1 1,-1 1-1,0-1 1,1 1-1,-1-1 1,0 1-1,0-1 1,2-1-1,4-2 5,-1 0-1,1 0 0,-1-1 0,0 1 1,-1-2-1,9-8 0,-3 0-3,-1-1 0,0-1 0,-1 0 0,-1 0 0,-1-1-1,0 0 1,-1 0 0,-1 0 0,-1-1 0,5-34 0,-12 28 26,3 24-14,0-1 0,0 1 0,0-1 0,0 1 0,0-1 0,0 1 0,0 0 0,0-1 0,0 1 0,0-1 0,0 1 0,-1-1 0,1 1 0,0 0 0,0-1 0,-1 1 0,1 0 0,0-1 0,0 1 0,-1 0 0,1-1 0,0 1 0,-1 0 0,1 0 0,0-1 0,-1 1 0,1 0 0,-1 0 0,1 0 0,0 0 0,-1-1 0,1 1 0,-1 0 0,1 0 0,-1 0 0,1 0 1,0 0-1,-1 0 0,1 0 0,-1 0 0,1 0 0,-1 0 0,1 0 0,0 0 0,-1 1 0,1-1 0,-1 0 0,1 0 0,0 0 0,-1 1 0,0-1 0,0 3 14,-1-1 0,1 1 0,-1 0 0,1-1 0,0 1 0,0 0 0,0 0 0,0 0 1,1 0-1,-1-1 0,1 1 0,0 0 0,0 4 0,-1 4 17,-2 10-57,2 1 1,1 0 0,0-1-1,2 1 1,0 0 0,1-1-1,9 31 1,-3-28-1204</inkml:trace>
</inkml:ink>
</file>

<file path=xl/ink/ink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10-01T07:56:21.605"/>
    </inkml:context>
    <inkml:brush xml:id="br0">
      <inkml:brushProperty name="width" value="0.05" units="cm"/>
      <inkml:brushProperty name="height" value="0.05" units="cm"/>
    </inkml:brush>
  </inkml:definitions>
  <inkml:trace contextRef="#ctx0" brushRef="#br0">284 180 520,'-1'-3'170,"0"-1"-1,0 1 1,-1 0-1,0 0 1,1-1-1,-1 1 1,0 0-1,-1 0 1,1 1-1,0-1 1,-1 0-1,0 1 1,0-1-1,1 1 1,-1 0-1,-1 0 1,1 0-1,0 1 1,0-1-1,-1 1 1,1-1-1,-1 1 1,1 0-1,-1 1 1,1-1-1,-1 0 1,-3 1-1,1 0-73,0 0-1,0 1 1,0 0 0,0 0-1,0 1 1,0-1 0,1 1-1,-1 0 1,1 1-1,-1 0 1,1-1 0,0 2-1,0-1 1,0 0-1,-8 8 1,7-5-74,0 0 0,1 1-1,0-1 1,0 1 0,0 0-1,0 0 1,1 1 0,1-1-1,-1 1 1,1 0 0,0 0 0,1 0-1,0 1 1,0-1 0,1 0-1,0 1 1,1 9 0,-1-16-21,1-1 0,0 0 0,0 0 0,0 1-1,1-1 1,-1 0 0,0 0 0,0 0 0,1 0 0,-1 1 0,0-1 0,1 0 0,-1 0 0,1 0 0,0 0 0,-1 0-1,1 0 1,0 0 0,0 0 0,-1 0 0,1 0 0,0-1 0,0 1 0,0 0 0,0 0 0,2 0 0,0 0-4,0-1 1,0 1 0,0-1-1,0 1 1,0-1 0,0 0-1,0 0 1,4-1 0,7 0-41,-37 27-3,-50 34-1742,62-51-125</inkml:trace>
  <inkml:trace contextRef="#ctx0" brushRef="#br0" timeOffset="511.02">226 477 1000,'19'-29'447,"2"1"-1,0 1 1,47-44-1,-66 69-439,1 0 0,-1 0-1,1 0 1,0 0 0,-1 1 0,1-1 0,0 1-1,0 0 1,0 0 0,0 0 0,0 0 0,0 0 0,1 1-1,-1 0 1,0-1 0,0 1 0,0 0 0,1 0-1,-1 1 1,0-1 0,0 1 0,0 0 0,0-1 0,0 1-1,0 0 1,0 1 0,0-1 0,0 1 0,0-1-1,-1 1 1,1 0 0,-1 0 0,1 0 0,-1 0-1,3 4 1,-4-5-4,-1 0 0,0 0 0,1 1 0,-1-1 0,0 0 1,0 0-1,0 1 0,0-1 0,0 0 0,0 1 0,0-1 0,0 0 0,-1 0 0,1 1 0,0-1 0,-1 0 0,1 0 0,-1 1 0,0-1 0,1 0 0,-1 0 0,-1 2 0,-19 22-2,10-18-350,2-2-500</inkml:trace>
  <inkml:trace contextRef="#ctx0" brushRef="#br0" timeOffset="1115.76">557 400 792,'1'2'20,"-1"-1"-1,1 0 0,0 0 1,-1 0-1,1 0 1,0 0-1,0 0 0,0-1 1,0 1-1,0 0 1,0 0-1,0 0 0,0-1 1,0 1-1,0-1 1,0 1-1,0-1 0,0 1 1,1-1-1,-1 0 0,0 1 1,0-1-1,0 0 1,1 0-1,-1 0 0,0 0 1,0 0-1,1 0 1,-1 0-1,0-1 0,0 1 1,1 0-1,-1-1 1,1 0-1,5-2 62,-1 0-1,1-1 1,-1 0 0,11-8 0,-3 1 118,-14 11-179,1 0 0,-1 0-1,0-1 1,1 1 0,-1 0 0,0 0 0,0 0 0,1 0 0,-1-1 0,0 1-1,0 0 1,1 0 0,-1-1 0,0 1 0,0 0 0,1 0 0,-1-1 0,0 1-1,0 0 1,0-1 0,0 1 0,0 0 0,0-1 0,1 1 0,-1 0 0,0-1 0,0 1-1,0 0 1,0-1 0,0 1 0,0 0 0,0-1 0,0 1 0,0 0 0,-1-1-1,1 1 1,0 0 0,0-1 0,0 1 0,0 0 0,0-1 0,-1 1 0,1 0-1,0 0 1,0-1 0,0 1 0,-1 0 0,1 0 0,0-1 0,0 1 0,-1 0 0,1 0-1,0 0 1,-1-1 0,1 1 0,0 0 0,0 0 0,-1 0 0,1 0 0,0 0-1,-1 0 1,1 0 0,0 0 0,-1 0 0,1 0 0,0 0 0,-1 0 0,-31-8 1378,25 7-1174,-25-9 362,30 10-564,0-1 0,1 0 0,-1 0 0,1 0 0,-1 0 0,1 0 0,-1 0 0,1 0 0,0-1 0,0 1 0,-1-1 0,1 1 0,0-1 0,0 1 0,1-1 0,-2-2 0,35 5 67,-22-2-85,0 1-1,0 0 1,0 1-1,18 3 1,-24-2-135,0-1 0,0 1 1,0 0-1,0 1 0,0-1 0,0 1 1,-1 0-1,1 0 0,-1 1 1,0-1-1,5 6 0,-3-3-240,0 0 0,0 0 0,1 0 0,13 8 0,-23-17 537,1 0-1,0 0 1,0 0 0,0 0-1,0 0 1,1 0-1,-1-1 1,1 1-1,0-1 1,0 1 0,-1-5-1,-1-3-45,0 0-1,-1-22 1,4 28-114,0 1 1,1-1-1,-1 1 0,1-1 0,0 1 1,0-1-1,1 1 0,1-6 1,-2 8-6,0 0 0,0 0 1,0 1-1,0-1 0,1 0 1,-1 0-1,0 1 1,1-1-1,-1 1 0,1-1 1,0 1-1,-1 0 0,1-1 1,0 1-1,0 0 1,0 0-1,0 0 0,0 0 1,3 0-1,32-8-93,-17 3-272</inkml:trace>
  <inkml:trace contextRef="#ctx0" brushRef="#br0" timeOffset="1514">962 1 1984,'-1'1'207,"0"0"-1,0 0 0,0 0 0,1 1 0,-1-1 0,1 0 1,-1 1-1,1-1 0,-1 0 0,1 1 0,0-1 0,-1 1 0,1 1 1,-1 2 82,-8 41-60,2 0-1,2 1 1,2 0 0,4 63 0,3-116-1303,-1-12 933,-7-2-68,3 18 230,0-1-1,1 1 1,-1-1 0,0 1 0,1-1-1,0 1 1,-1-1 0,1 1 0,0-1-1,0 0 1,1 1 0,-1-1 0,0 1-1,1-1 1,1-3 0,0 5-5,0 0 1,0 1 0,0-1-1,1 1 1,-1 0 0,0 0-1,0 0 1,0 0-1,0 0 1,0 0 0,0 1-1,0-1 1,4 2-1,17 1 4,-5-5-96,2-3-311</inkml:trace>
  <inkml:trace contextRef="#ctx0" brushRef="#br0" timeOffset="2057.06">1188 58 2649,'-4'27'1765,"0"28"1,0-12-1514,1-18-120,1-13-87,1-1 0,-1 1 0,2 0 0,0-1 0,0 1 0,1 0 0,4 17 0,-5-28-43,1 0 0,-1 0 0,1 0-1,-1 0 1,1 0 0,0 0 0,-1 0 0,1 0 0,0 0 0,0 0-1,0-1 1,0 1 0,0 0 0,0-1 0,0 1 0,0 0-1,0-1 1,0 1 0,0-1 0,0 1 0,1-1 0,-1 0-1,0 0 1,0 1 0,0-1 0,0 0 0,1 0 0,-1 0-1,0 0 1,0-1 0,0 1 0,1 0 0,1-1 0,5-1 11,-1 0 0,1-1 0,13-7 0,-12 6 8,-6 3-18,0-1 0,0 1 0,1-1 0,-1 1 0,0 0 0,1 1 0,-1-1 0,0 1 0,6-1 0,-8 1-2,0 0-1,-1 0 1,1 1 0,-1-1-1,1 0 1,0 0-1,-1 1 1,1-1-1,-1 0 1,1 1-1,-1-1 1,1 0-1,-1 1 1,1-1-1,-1 1 1,1-1-1,-1 1 1,1-1-1,0 2 1,-1 0 1,1 0 0,0 0 0,-1 0 0,1 0 0,-1 0 0,0 0 0,1 0 0,-1 0 0,0 2 1,0-1-2,-1 1 3,1 1-1,0-1 0,1 1 1,-1-1-1,1 1 1,2 8-1,-2-12-4,0 0 0,-1 0 0,1 0 0,0 1 0,0-1 0,0 0 0,0 0 0,0 0 0,0 0 0,0-1 0,0 1 0,1 0 0,-1 0 0,0-1 0,0 1 0,1 0 0,-1-1 0,0 1 0,1-1 0,-1 0 0,0 0 0,1 1 0,-1-1 0,1 0 0,-1 0 0,2 0 0,1 0-192,0 0 0,0 0 0,0-1 0,0 1 0,0-1 0,0 0-1,0 0 1,-1 0 0,8-3 0,3-4-2563</inkml:trace>
  <inkml:trace contextRef="#ctx0" brushRef="#br0" timeOffset="3120.29">1465 293 1776,'-2'0'177,"1"0"-1,0 0 1,-1 0-1,1 1 0,0-1 1,-1 0-1,1 1 1,0-1-1,0 1 0,0-1 1,-1 1-1,1 0 1,0 0-1,0-1 0,0 1 1,0 0-1,0 0 1,0 0-1,1 0 0,-1 0 1,-1 2-1,2-3-138,8 14 19,6-53 71,-10 80-79,-4-40-49,0 0 0,1 1 0,-1-1 0,0 0 0,1 0 0,-1 1 0,1-1 0,-1 0 0,1 0 0,-1 0 0,1 0 0,0 0 0,0 0 0,-1 0 0,1 0 0,0 0 0,0 0 0,0 0 0,0 0 0,0-1 0,0 1 0,0 0 0,1-1 0,-1 1 0,0-1 0,0 1 0,0-1 0,1 0 0,-1 0 0,0 1 0,0-1 0,1 0 0,-1 0 0,0 0 0,3 0 0,-2-1 2,-1 0 0,1 1 0,0-1 0,0 0 0,0 0-1,-1 0 1,1 0 0,-1 0 0,1-1 0,-1 1-1,1 0 1,-1-1 0,0 1 0,1-1 0,-1 1 0,0-1-1,0 0 1,0 1 0,0-1 0,0 0 0,-1 0 0,1 0-1,-1 0 1,1 1 0,-1-1 0,1-3 0,-2 9 1,1-1 1,-1 1-1,1-1 1,0 1-1,0-1 1,1 1-1,-1 0 1,1-1-1,-1 1 1,1-1-1,2 5 1,-2-7-4,0 1-1,0 0 1,0-1-1,0 1 1,0-1-1,0 0 1,1 1-1,-1-1 1,0 0-1,1 0 1,-1 0 0,1 0-1,-1 0 1,1 0-1,0 0 1,-1 0-1,1-1 1,0 1-1,-1-1 1,1 1 0,0-1-1,0 0 1,0 1-1,0-1 1,3 0-1,1-1 2,1 0-1,-1 0 1,0 0-1,0-1 1,1 0-1,-1 0 1,0-1-1,7-3 1,44-30-4,-43 26 7,-1 0 1,0-2 0,19-20-1,-27 26 20,0-1 0,0 1-1,0-1 1,-1 0-1,0-1 1,-1 1 0,0-1-1,0 1 1,3-15-1,-5 20 3,-1-1 0,1 1 0,-1 0-1,0 0 1,0 0 0,0-1 0,-1 1-1,1 0 1,0 0 0,-1 0 0,1-1-1,-1 1 1,0 0 0,-1-3 0,1 4-7,1 1 0,-1-1 1,0 0-1,1 0 1,-1 1-1,0-1 1,0 0-1,0 1 0,0-1 1,0 1-1,1-1 1,-1 1-1,0-1 0,0 1 1,0 0-1,0-1 1,0 1-1,0 0 0,-1 0 1,1 0-1,0 0 1,0 0-1,0 0 1,0 0-1,0 0 0,0 0 1,0 0-1,0 1 1,0-1-1,0 0 0,0 1 1,-1 0-1,-2 1-5,1 0 0,0 0 1,0 0-1,0 0 0,0 1 0,1-1 0,-1 1 0,0 0 0,1 0 0,0 0 0,0 0 0,0 0 1,-3 7-1,-17 46 11,19-48-23,1 1-1,0-1 1,0 0-1,1 1 1,0 0-1,1-1 1,0 1-1,0-1 1,3 15 0,-3-19-2,1 0 0,0-1 1,0 1-1,0-1 1,1 1-1,-1-1 0,1 0 1,0 0-1,0 1 0,0-1 1,0-1-1,1 1 1,-1 0-1,1 0 0,-1-1 1,1 0-1,0 1 1,0-1-1,0 0 0,1 0 1,-1-1-1,0 1 1,1-1-1,5 2 0,-2-1 1,1 0 0,-1 0-1,1-1 1,0-1 0,0 1-1,0-1 1,0 0 0,-1-1-1,1 0 1,0 0 0,0-1-1,-1 0 1,1 0 0,-1-1-1,10-4 1,-8 2 0,-1 0 0,0-1 0,0 0 0,0 0-1,-1-1 1,0 0 0,-1 0 0,1 0 0,-1-1 0,-1 0 0,10-17 0,-10 16 0,0 0 0,-1 0 0,0-1 0,0 1 0,-1-1 0,-1 0 0,1 0 0,-2 0 0,2-19 0,-3 28 4,0 0 0,0 0-1,0 0 1,0 0 0,0 0-1,0 0 1,0 0 0,0 1 0,0-1-1,0 0 1,-1 0 0,1 0-1,0 0 1,-1 0 0,1 1-1,-1-1 1,1 0 0,-1 0-1,1 1 1,-1-1 0,1 0 0,-1 1-1,0-1 1,1 0 0,-1 1-1,0-1 1,0 1 0,1-1-1,-1 1 1,0 0 0,0-1 0,0 1-1,0 0 1,0 0 0,1-1-1,-1 1 1,0 0 0,0 0-1,0 0 1,0 0 0,0 0-1,0 0 1,0 0 0,-1 1 0,0-1 18,0 1 1,0 0 0,0 0 0,-1 0 0,1 0 0,0 1 0,0-1 0,1 0 0,-1 1-1,0-1 1,0 1 0,1 0 0,-1 0 0,1 0 0,-1-1 0,-1 5 0,-1 5 15,0 0 0,0 0 0,1 0 0,0 1 0,1-1 0,0 1 0,1-1 0,0 1 0,2 15 0,-1-21-33,1 0 0,0 0 0,0 0 0,1 0 0,-1 0-1,1 0 1,1 0 0,4 9 0,-5-12-6,0 0 0,0 0-1,1 0 1,-1-1 0,0 1-1,1-1 1,0 0-1,-1 0 1,1 0 0,0 0-1,0 0 1,0-1 0,0 1-1,1-1 1,-1 0 0,5 2-1,-3-3-21,-1 0 0,0 0-1,0 0 1,1 0 0,-1-1-1,0 0 1,0 0 0,1 0-1,-1 0 1,0 0 0,0-1-1,0 0 1,-1 0 0,1 0-1,6-5 1,1-1-211,0-1 1,0 0 0,15-16-1,-9 2-219,-16 23 435,-1 0 0,0-1-1,1 1 1,-1-1 0,1 1 0,-1 0-1,0-1 1,0 1 0,1-1-1,-1 1 1,0-1 0,0 1 0,1-1-1,-1 1 1,0-1 0,0 1-1,0-1 1,0 1 0,0-1 0,0 1-1,0-1 1,0 0 0,0 1 0,0-1-1,0 1 1,0-1 0,0 1-1,0-1 1,0 1 0,-1-1 0,1 1-1,0-1 1,0 1 0,-1-1-1,1 1 1,0-1 0,-1 1 0,1 0-1,0-1 1,-1 1 0,1 0 0,-1-1-1,0 0 1,0 1 16,0 0-1,1 0 1,-1 0 0,0 0 0,0 0-1,1 0 1,-1 0 0,0 1-1,0-1 1,1 0 0,-1 0 0,0 1-1,0-1 1,1 0 0,-1 1-1,0-1 1,1 1 0,-1-1 0,0 0-1,1 1 1,-1 0 0,1-1-1,-1 1 1,1-1 0,-1 1 0,1 0-1,-1-1 1,1 1 0,-1 1-1,1-1 5,-1 0 0,1 0 0,-1 0-1,1 0 1,-1 0 0,1 1 0,0-1-1,-1 0 1,1 0 0,0 0-1,0 1 1,0-1 0,0 0 0,0 0-1,0 1 1,0-1 0,0 0 0,1 2-1,2 0-1,-1 1-1,1-1 0,0 0 0,0 0 0,0 0 1,0 0-1,0 0 0,1-1 0,0 1 0,-1-1 1,1 0-1,0 0 0,0-1 0,0 1 0,0-1 1,0 0-1,0 0 0,0 0 0,9 0 0,10 1 0</inkml:trace>
  <inkml:trace contextRef="#ctx0" brushRef="#br0" timeOffset="4139.26">401 361 552,'-2'0'353,"-1"0"1,1 0-1,0 0 0,-1 1 0,1-1 1,-1 1-1,1-1 0,0 1 0,-1 0 0,1 0 1,0 0-1,0 0 0,0 0 0,-3 3 1,-33 24-463,22-14 462,-12 9-321,0 1 0,2 2 0,1 1 1,1 1-1,-22 34 0,44-60-54,0 1 1,0-1-1,1 1 1,-1 0-1,1 0 0,-1 0 1,1 0-1,0 0 1,-1 4-1,2-7 4,0 1 0,0-1 1,0 0-1,0 0 0,0 0 0,0 0 1,0 0-1,0 0 0,0 0 0,0 0 1,0 0-1,0 1 0,0-1 0,0 0 0,0 0 1,0 0-1,0 0 0,0 0 0,0 0 1,0 0-1,1 0 0,-1 0 0,0 0 1,0 0-1,0 0 0,0 0 0,0 1 0,0-1 1,0 0-1,0 0 0,0 0 0,0 0 1,0 0-1,1 0 0,-1 0 0,0 0 1,0 0-1,0 0 0,0 0 0,0 0 1,0 0-1,0 0 0,0 0 0,0 0 0,1 0 1,-1 0-1,0 0 0,0 0 0,0 0 1,0-1-1,0 1 0,0 0 0,0 0 1,0 0-1,0 0 0,0 0 0,0 0 0,1 0 1,-1 0-1,0 0 0,0 0 0,0 0 1,0 0-1,0 0 0,0 0 0,0-1 1,7-5-873,9-16-1270</inkml:trace>
  <inkml:trace contextRef="#ctx0" brushRef="#br0" timeOffset="4474.01">445 417 832,'-6'1'1240,"2"1"169,-7-1-313,-5 0-280,2 0-512,-1-1-136,-3-6-136,9 2 0,8-1-8,1 1-48,13-2-1352,8 1-1385</inkml:trace>
</inkml:ink>
</file>

<file path=xl/ink/ink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10-01T07:56:32.231"/>
    </inkml:context>
    <inkml:brush xml:id="br0">
      <inkml:brushProperty name="width" value="0.05" units="cm"/>
      <inkml:brushProperty name="height" value="0.05" units="cm"/>
    </inkml:brush>
  </inkml:definitions>
  <inkml:trace contextRef="#ctx0" brushRef="#br0">2 1 1616,'1'0'108,"0"0"-1,0 0 0,-1 1 0,1-1 1,0 0-1,0 1 0,-1-1 0,1 0 1,0 1-1,-1-1 0,1 1 0,0 0 1,-1-1-1,1 1 0,-1-1 1,1 1-1,-1 0 0,1-1 0,-1 1 1,0 0-1,1 0 0,-1-1 0,0 1 1,1 0-1,-1 0 0,0-1 0,0 1 1,0 0-1,0 0 0,0 0 0,0 0 1,0-1-1,0 1 0,0 0 0,0 0 1,0 0-1,0-1 0,-1 1 1,1 0-1,0 0 0,-1-1 0,1 1 1,0 0-1,-1 0 0,1-1 0,-1 1 1,1 0-1,-1-1 0,1 1 0,-1-1 1,0 1-1,1-1 0,-1 1 0,0-1 1,1 1-1,-1-1 0,0 0 0,0 1 1,1-1-1,-1 0 0,0 0 1,-1 1-1,29 1 398,42-2 1,-13-1-374,115-6-79,40 2-60,-203 5-174,1 1 0,-1-1-1,0 2 1,1-1 0,-1 1-1,0 1 1,0 0-1,9 4 1,-7-1-1069</inkml:trace>
</inkml:ink>
</file>

<file path=xl/ink/ink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10-01T07:56:32.803"/>
    </inkml:context>
    <inkml:brush xml:id="br0">
      <inkml:brushProperty name="width" value="0.05" units="cm"/>
      <inkml:brushProperty name="height" value="0.05" units="cm"/>
    </inkml:brush>
  </inkml:definitions>
  <inkml:trace contextRef="#ctx0" brushRef="#br0">30 35 1072,'-20'22'3022,"10"-13"-1864,11-9-1133,-1 0 0,0 0 1,0-1-1,0 1 0,0 0 0,0 0 1,0 0-1,0 0 0,0 0 0,0 0 1,0 0-1,0 0 0,0 0 0,0 0 1,0 0-1,0 0 0,1 0 0,-1 0 1,0 0-1,0 0 0,0 0 0,0 0 1,0 1-1,0-1 0,0 0 0,0 0 1,0 0-1,0 0 0,0 0 0,0 0 0,0 0 1,0 0-1,0 0 0,0 0 0,0 0 1,0 0-1,0 0 0,0 0 0,1 0 1,-1 0-1,0 0 0,0 0 0,0 0 1,0 0-1,0 1 0,0-1 0,0 0 1,0 0-1,0 0 0,0 0 0,0 0 1,0 0-1,0 0 0,0 0 0,0 0 1,0 0-1,0 0 0,0 0 0,-1 0 1,1 0-1,0 0 0,0 1 0,0-1 1,0 0-1,0 0 0,0 0 0,0 0 1,0 0-1,10-1 557,10-3-92,-9 2-381,-1 0 0,1 1 0,-1 1 0,1-1 0,-1 2 1,22 2-1,-5 0-50,-5 0-18,40 10 0,-40-7-28,41 4 1,-11-8-2,0-3 1,0-3-1,77-13 0,-112 14 10,-1-1 0,21-6 0,-32 8-113,0 0 1,-1 0-1,1 0 0,0-1 1,-1 1-1,1-1 1,-1 0-1,0 0 0,0-1 1,0 1-1,4-7 1,-4 0-1024,-3 1-1173</inkml:trace>
</inkml:ink>
</file>

<file path=xl/ink/ink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10-01T07:56:38.153"/>
    </inkml:context>
    <inkml:brush xml:id="br0">
      <inkml:brushProperty name="width" value="0.05" units="cm"/>
      <inkml:brushProperty name="height" value="0.05" units="cm"/>
    </inkml:brush>
  </inkml:definitions>
  <inkml:trace contextRef="#ctx0" brushRef="#br0">1 277 2136,'21'-50'4115,"-14"34"-3903,2 0 0,-1 0-1,2 1 1,0 0 0,13-15 0,-22 30-208,-1-1 0,0 1-1,1-1 1,-1 0 0,1 1 0,-1-1 0,1 1 0,-1 0 0,1-1 0,0 1 0,-1-1 0,1 1 0,-1 0 0,1 0 0,0-1 0,-1 1 0,1 0 0,0 0 0,-1 0 0,1-1 0,0 1 0,0 0-1,-1 0 1,2 0 0,-1 1 5,-1-1-1,1 1 1,-1-1-1,1 1 0,-1-1 1,1 1-1,-1-1 1,1 1-1,-1 0 0,1-1 1,-1 1-1,0-1 1,1 1-1,-1 0 0,0 0 1,1-1-1,-1 1 1,0 1-1,4 39 225,-3-36-239,-5 50 60,1-13-43,3-41-28,0-1 0,0 1 0,0-1 0,0 0 0,-1 1 0,1-1 0,0 0 0,0 1 0,0-1 0,0 1-1,0-1 1,0 0 0,0 1 0,0-1 0,1 1 0,-1-1 0,0 0 0,0 1 0,0-1 0,0 0 0,0 1-1,1-1 1,-1 0 0,0 1 0,0-1 0,0 0 0,1 1 0,-1-1 0,0 0 0,1 0 0,-1 1 0,0-1 0,1 0-1,-1 0 1,0 0 0,1 1 0,-1-1 0,0 0 0,1 0 0,-1 0 0,0 0 0,1 0 0,-1 0 0,1 0-1,-1 0 1,0 0 0,1 0 0,7-1-826</inkml:trace>
  <inkml:trace contextRef="#ctx0" brushRef="#br0" timeOffset="492.44">248 115 632,'3'-5'304,"0"1"1,0-1-1,1 1 0,0 0 1,0 0-1,0 0 0,0 1 1,0-1-1,1 1 0,0 0 0,-1 0 1,1 0-1,0 1 0,1 0 1,-1 0-1,7-2 0,-9 4-291,-1-1 0,1 0 0,0 1 0,0-1 0,-1 1 0,1 0 0,0 0-1,-1 0 1,1 0 0,0 0 0,0 1 0,-1-1 0,1 1 0,-1 0 0,1 0 0,0 0 0,-1 0-1,1 0 1,-1 0 0,0 1 0,1-1 0,-1 1 0,0-1 0,0 1 0,0 0 0,0 0 0,0 0-1,-1 0 1,1 1 0,-1-1 0,1 0 0,-1 1 0,0-1 0,0 1 0,0-1 0,0 1 0,0-1-1,0 1 1,-1 0 0,1-1 0,-1 1 0,0 0 0,0 0 0,0-1 0,-1 4 0,1-2-10,0 0 1,-1 0 0,1 0 0,-1 0 0,0 0-1,0-1 1,-1 1 0,1 0 0,-1-1-1,1 1 1,-1-1 0,0 1 0,-1-1 0,1 0-1,-1 0 1,1 0 0,-1 0 0,0-1-1,0 1 1,0-1 0,0 1 0,0-1 0,-7 3-1,8-5-2,1 1 0,-1-1 0,1 1 0,0-1 0,-1 1 0,1 0-1,0 0 1,0 0 0,-1-1 0,1 1 0,0 0 0,0 0 0,0 1-1,0-1 1,0 0 0,0 0 0,1 0 0,-1 1 0,0-1-1,0 0 1,1 1 0,-1 1 0,1-2-1,0 0 1,0 0-1,0 0 0,0 0 1,0 0-1,1 0 0,-1 0 1,0 0-1,1 0 0,-1 0 1,0 0-1,1 0 0,0 0 1,-1-1-1,1 1 0,-1 0 1,1 0-1,0 0 0,-1-1 1,1 1-1,0 0 0,0-1 1,0 1-1,0-1 0,-1 1 0,1-1 1,0 1-1,0-1 0,0 0 1,0 1-1,0-1 0,0 0 1,1 0-1,10 2-3,-1-1 0,1 0 0,-1 0 1,1-2-1,-1 1 0,1-1 0,11-3 0,0 1-97,-9 1-584</inkml:trace>
  <inkml:trace contextRef="#ctx0" brushRef="#br0" timeOffset="1018.33">813 1 1904,'-4'0'207,"0"1"-1,0 0 0,1 0 0,-1 0 1,1 1-1,-1-1 0,1 1 1,0 0-1,-1 0 0,1 0 0,0 0 1,0 0-1,0 1 0,1-1 0,-1 1 1,0 0-1,1 0 0,0 0 0,0 0 1,-3 5-1,-2 4-116,0 0 0,0 0 0,1 0 1,-6 21-1,10-27-83,0 0 1,1 0 0,0 0-1,0 1 1,0-1 0,1 0 0,0 0-1,0 1 1,1-1 0,0 0-1,0 0 1,2 8 0,-2-12-7,0 0 0,0 0 0,-1 0 0,1-1 0,0 1 0,1 0 0,-1-1-1,0 1 1,0-1 0,1 1 0,-1-1 0,1 0 0,-1 1 0,1-1 0,-1 0 0,1 0 0,0 0 0,3 1 0,-2-1 1,1 1 1,0-2-1,0 1 0,0 0 0,0-1 1,-1 0-1,1 0 0,0 0 0,5-1 1,-2 0 1,-1 0 0,1 0 0,0-1 0,-1 0 0,1 0 1,-1-1-1,0 0 0,0 0 0,0-1 0,9-6 0,-14 10-3,0-1 0,0 0 0,0 1 0,-1-1 0,1 0 0,0 0 0,0 0 0,0 0-1,-1 0 1,1 0 0,0 0 0,-1 0 0,1 0 0,-1 0 0,0 0 0,1 0-1,-1 0 1,0 0 0,1-1 0,-1 1 0,0 0 0,0 0 0,0 0 0,0 0-1,0-1 1,-1-1 0,1 2 1,-1 0 1,0 0-1,0 0 0,0 0 0,0 0 0,0 0 1,0 0-1,0 1 0,-1-1 0,1 0 0,0 1 1,0-1-1,-1 1 0,1-1 0,0 1 0,0-1 1,-1 1-1,1 0 0,-1 0 0,1 0 0,-2 0 0,-8-1 5,5-1-11,-1 2 1,0-1-1,0 1 0,1 0 1,-1 0-1,0 1 0,0 0 1,-9 2-1,6 4-348,8 4-870</inkml:trace>
  <inkml:trace contextRef="#ctx0" brushRef="#br0" timeOffset="1512.04">973 221 944,'11'-15'4167,"1"-12"-2249,6-9-1452,-8 20-288,-7 12-151,-1 0-1,1 0 0,-1 0 1,1 0-1,1 0 1,-1 0-1,0 1 0,1 0 1,0-1-1,0 2 1,0-1-1,7-4 0,-11 7-24,1 0-1,-1 0 0,1 1 1,-1-1-1,0 0 0,1 0 0,-1 0 1,1 0-1,-1 1 0,0-1 1,1 0-1,-1 0 0,0 1 0,1-1 1,-1 0-1,0 1 0,0-1 1,1 0-1,-1 1 0,0-1 0,0 0 1,1 1-1,-1-1 0,0 1 1,0-1-1,0 1 0,0-1 0,0 0 1,0 1-1,0-1 0,0 1 1,0-1-1,0 1 0,0-1 0,0 0 1,0 1-1,0 0 0,0 23 17,0-21-14,-4 38 24,2-30-19,1 0 0,0 0-1,1 0 1,0 0-1,2 14 1,7-11-133,-9-13 99,0-1-1,1 0 0,-1 1 1,0-1-1,0 0 0,1 0 0,-1 1 1,0-1-1,0 0 0,1 1 1,-1-1-1,0 0 0,0 0 1,1 0-1,-1 1 0,0-1 0,1 0 1,-1 0-1,0 0 0,1 0 1,-1 0-1,1 0 0,-1 0 0,0 0 1,1 0-1,-1 0 0,0 0 1,1 0-1,-1 0 0,1 0 1,-1 0-1,0 0 0,1 0 0,-1 0 1,0 0-1,1 0 0,-1 0 1,0-1-1,1 1 0,-1 0 0,1-5-2722</inkml:trace>
</inkml:ink>
</file>

<file path=xl/ink/ink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10-01T07:56:45.076"/>
    </inkml:context>
    <inkml:brush xml:id="br0">
      <inkml:brushProperty name="width" value="0.05" units="cm"/>
      <inkml:brushProperty name="height" value="0.05" units="cm"/>
    </inkml:brush>
  </inkml:definitions>
  <inkml:trace contextRef="#ctx0" brushRef="#br0">4 239 1480,'0'0'158,"0"0"-1,0 0 0,-1 0 0,1-1 0,0 1 1,0 0-1,-1 0 0,1-1 0,0 1 1,0 0-1,-1 0 0,1-1 0,0 1 0,0 0 1,0-1-1,0 1 0,0 0 0,-1-1 1,1 1-1,0 0 0,0-1 0,0 1 1,0 0-1,0-1 0,0 1 0,0 0 0,0-1 1,0 1-1,0 0 0,0-1 0,1 1 1,-1 0-1,0-1 0,0 1 0,0 0 0,0-1 1,0 1-1,1 0 0,-1-1 0,9-23-702,-5 14 1073,1-5-382,26-64 202,-28 72-341,0 1 0,1-1 0,0 1 0,0 0 0,0 0-1,1 1 1,0-1 0,0 1 0,7-5 0,-12 9-6,0 1 0,1 0 0,-1 0 0,0-1 0,1 1 0,-1 0 0,1 0 1,-1 0-1,0-1 0,1 1 0,-1 0 0,1 0 0,-1 0 0,0 0 0,1 0 0,-1 0 0,1 0 0,-1 0 0,0 0 0,1 0 0,-1 0 0,1 0 0,-1 0 0,1 0 0,-1 0 0,0 1 0,1-1 1,-1 0-1,0 0 0,1 0 0,0 1 0,6 14 37,-2 25 20,-4-38-56,6 174 83,-1-151-101,-6-25-10,0 1-1,0-1 1,0 1 0,0-1 0,0 0-1,0 1 1,0-1 0,0 0 0,0 1 0,0-1-1,0 1 1,1-1 0,-1 0 0,0 1 0,0-1-1,0 0 1,1 1 0,-1-1 0,0 0 0,0 0-1,1 1 1,-1-1 0,0 0 0,1 0 0,-1 1-1,0-1 1,1 0 0,-1 0 0,0 0 0,1 0-1,-1 0 1,0 1 0,1-1 0,-1 0-1,1 0 1,-1 0 0,0 0 0,1 0 0,-1 0-1,0 0 1,1 0 0,-1 0 0,1 0 0,-1-1-1,0 1 1,1 0 0,-1 0 0,0 0 0,1 0-1,-1-1 1,0 1 0,1 0 0,-1 0 0,0 0-1,1-1 1,-1 1 0,0 0 0,1-1-1,5-8-1437</inkml:trace>
  <inkml:trace contextRef="#ctx0" brushRef="#br0" timeOffset="412.97">328 50 1816,'0'-1'93,"0"1"-1,0 0 1,1-1-1,-1 1 0,0-1 1,0 1-1,0-1 0,0 1 1,0 0-1,0-1 1,0 1-1,0-1 0,0 1 1,0 0-1,0-1 0,0 1 1,0-1-1,0 1 1,0-1-1,0 1 0,-1 0 1,1-1-1,0 1 1,0 0-1,0-1 0,-1 1 1,1 0-1,0-1 0,0 1 1,-1 0-1,1-1 1,0 1-1,-1 0 0,1 0 1,0-1-1,-1 1 1,1 0-1,-1 0 0,1 0 1,0-1-1,-1 1 0,1 0 1,-1 0-1,1 0 1,0 0-1,-1 0 0,1 0 1,-1 0-1,1 0 0,-1 0 1,1 0-1,0 0 1,-2 0-1,1 1-61,0-1 0,0 1 1,-1-1-1,1 1 0,0 0 0,0 0 1,0-1-1,-1 1 0,1 0 0,0 0 0,0 0 1,0 0-1,1 0 0,-1 0 0,0 1 0,0-1 1,-1 2-1,-1 6-17,1-1 1,0 1-1,0 0 1,0 0-1,1 0 1,0 0-1,1 0 0,0 0 1,1 0-1,-1 0 1,2-1-1,-1 1 1,1 0-1,1 0 0,0-1 1,4 12-1,-6-18-12,0-1-1,0 1 0,0 0 1,0-1-1,0 1 1,0-1-1,0 1 0,0-1 1,0 0-1,1 1 0,-1-1 1,1 0-1,-1 0 1,1 0-1,-1 0 0,1 0 1,0 0-1,-1 0 0,1 0 1,0-1-1,0 1 1,-1-1-1,1 1 0,0-1 1,0 0-1,0 0 0,0 0 1,0 0-1,-1 0 1,1 0-1,0 0 0,0-1 1,0 1-1,0-1 0,-1 1 1,1-1-1,0 0 1,0 0-1,-1 1 0,4-3 1,1-1 0,-1-1 0,1 1 1,-1-1-1,0 0 1,0 0-1,0 0 0,-1-1 1,0 0-1,6-10 0,-10 15 0,8-12 7,-2 0 1,0 0-1,-1-1 1,6-22 0,-10 35-9,-1 1 0,0-1 0,0 0 0,0 1 1,1-1-1,-1 0 0,0 1 0,0-1 0,0 0 1,0 1-1,0-1 0,0 0 0,-1 1 0,1-1 0,0 0 1,0 1-1,0-1 0,-1 0 0,1 1 0,0-1 1,0 1-1,-1-1 0,1 0 0,-1 1 0,1-1 1,0 1-1,-1-1 0,0 0 0,0 1 8,0 0-1,0 0 0,0 0 1,0 0-1,0 0 0,0 0 1,0 0-1,0 0 0,0 0 1,0 1-1,0-1 1,0 0-1,0 1 0,0-1 1,0 0-1,-1 2 0,-3 0 22,1 1-1,0 0 1,0 0-1,0 1 1,0-1-1,-6 8 0,5-4-22,0 1 0,1 0 0,-4 12 0,7-18-8,0 0 0,0 0 0,0 0 0,1 0 0,-1 0 0,1 1 0,0-1 0,-1 0 0,1 0 0,0 0 0,0 0 0,0 1 0,1-1 0,-1 0 0,0 0 0,1 0 0,0 0 0,-1 0 0,3 4 0,-3-6-19,1 1-1,-1-1 1,1 1-1,-1-1 0,1 1 1,0-1-1,-1 1 0,1-1 1,0 0-1,-1 1 1,1-1-1,0 0 0,-1 0 1,1 0-1,0 1 0,-1-1 1,1 0-1,0 0 0,0 0 1,-1 0-1,1 0 1,0 0-1,-1 0 0,1-1 1,0 1-1,0 0 0,-1 0 1,1 0-1,0-1 1,16-7-813</inkml:trace>
  <inkml:trace contextRef="#ctx0" brushRef="#br0" timeOffset="877.12">753 216 1088,'4'-4'470,"-1"1"0,0-1 1,-1 0-1,1 0 0,-1 0 0,1 0 0,-1-1 0,0 1 0,1-7 0,5-8 33,22-30 130,-22 38-536,-1 1 0,-1-1 0,0 0 0,6-15 0,-14 34-74,1-1 1,0 1 0,0 0-1,1-1 1,1 15 0,0 1-8,-1 7-106,2 0 0,9 48 0,-9-64-535</inkml:trace>
  <inkml:trace contextRef="#ctx0" brushRef="#br0" timeOffset="1254.08">933 25 1640,'-2'10'4215,"-5"33"-3866,8-36-324,-1 0 0,1 0 0,1 0 0,-1 0-1,1 0 1,1 0 0,-1 0 0,1-1 0,5 10 0,-7-14-22,0 1 0,0-1-1,1 0 1,-1 0 0,1 0 0,-1-1 0,1 1-1,-1 0 1,1 0 0,0-1 0,0 1 0,0-1-1,0 0 1,0 1 0,0-1 0,0 0 0,0 0-1,1 0 1,-1-1 0,0 1 0,1-1 0,-1 1-1,0-1 1,1 0 0,-1 1 0,1-1 0,-1-1 0,0 1-1,1 0 1,-1 0 0,4-2 0,10-6-142,-1 0 1,1-1 0,-1-1 0,-1 0-1,26-25 1,-24 19-1686</inkml:trace>
  <inkml:trace contextRef="#ctx0" brushRef="#br0" timeOffset="1524.21">1107 0 1736,'-3'0'1481,"-4"6"23,1 1-432,2 7-528,-3 8-112,3 15-175,-1 12-57,-1 14-144,-2-9-32,1-16-16,5-7-8,4-18-3409</inkml:trace>
</inkml:ink>
</file>

<file path=xl/theme/theme1.xml><?xml version="1.0" encoding="utf-8"?>
<a:theme xmlns:a="http://schemas.openxmlformats.org/drawingml/2006/main" name="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2222EF-59B1-402F-89B3-0A35785A4759}">
  <sheetPr>
    <outlinePr summaryBelow="0" summaryRight="0"/>
  </sheetPr>
  <dimension ref="A1:L102"/>
  <sheetViews>
    <sheetView showGridLines="0" tabSelected="1" zoomScale="115" zoomScaleNormal="115" workbookViewId="0">
      <pane ySplit="8" topLeftCell="A63" activePane="bottomLeft" state="frozen"/>
      <selection pane="bottomLeft"/>
    </sheetView>
  </sheetViews>
  <sheetFormatPr baseColWidth="10" defaultRowHeight="14.5" outlineLevelRow="2" x14ac:dyDescent="0.35"/>
  <sheetData>
    <row r="1" spans="1:12" s="54" customFormat="1" x14ac:dyDescent="0.35">
      <c r="A1" s="2" t="s">
        <v>321</v>
      </c>
      <c r="B1" s="2"/>
      <c r="C1" s="2"/>
      <c r="D1" s="2"/>
      <c r="E1" s="2"/>
      <c r="F1" s="2"/>
      <c r="G1" s="2"/>
      <c r="H1" s="2"/>
      <c r="I1" s="2"/>
      <c r="J1" s="2"/>
      <c r="K1" s="2"/>
      <c r="L1" s="2"/>
    </row>
    <row r="2" spans="1:12" ht="5" customHeight="1" x14ac:dyDescent="0.35"/>
    <row r="3" spans="1:12" x14ac:dyDescent="0.35">
      <c r="B3" t="s">
        <v>320</v>
      </c>
      <c r="D3" s="57"/>
      <c r="E3" s="58"/>
      <c r="G3" s="57"/>
      <c r="H3" s="58"/>
      <c r="I3" s="58"/>
      <c r="J3" s="58"/>
      <c r="K3" s="58"/>
    </row>
    <row r="4" spans="1:12" ht="5" customHeight="1" x14ac:dyDescent="0.35"/>
    <row r="5" spans="1:12" s="54" customFormat="1" x14ac:dyDescent="0.35">
      <c r="A5" s="2" t="s">
        <v>168</v>
      </c>
      <c r="B5" s="2"/>
      <c r="C5" s="2"/>
      <c r="D5" s="2"/>
      <c r="E5" s="2"/>
      <c r="F5" s="2"/>
      <c r="G5" s="2"/>
      <c r="H5" s="2"/>
      <c r="I5" s="2"/>
      <c r="J5" s="2"/>
      <c r="K5" s="2"/>
      <c r="L5" s="2"/>
    </row>
    <row r="6" spans="1:12" ht="5" customHeight="1" x14ac:dyDescent="0.35"/>
    <row r="7" spans="1:12" x14ac:dyDescent="0.35">
      <c r="B7" t="s">
        <v>169</v>
      </c>
      <c r="D7" s="32">
        <f>Berechnung!F134</f>
        <v>8376.3672274170003</v>
      </c>
      <c r="E7" t="s">
        <v>171</v>
      </c>
      <c r="F7" t="s">
        <v>172</v>
      </c>
      <c r="H7" s="13">
        <f>Berechnung!G134</f>
        <v>0.67010937819336003</v>
      </c>
      <c r="I7" t="s">
        <v>170</v>
      </c>
      <c r="J7" s="22" t="s">
        <v>306</v>
      </c>
      <c r="K7" s="55">
        <f>Berechnung!G138</f>
        <v>1.3</v>
      </c>
    </row>
    <row r="8" spans="1:12" ht="5" customHeight="1" x14ac:dyDescent="0.35"/>
    <row r="9" spans="1:12" s="54" customFormat="1" x14ac:dyDescent="0.35">
      <c r="A9" s="2" t="s">
        <v>266</v>
      </c>
      <c r="B9" s="2"/>
      <c r="C9" s="2"/>
      <c r="D9" s="2"/>
      <c r="E9" s="2"/>
      <c r="F9" s="2"/>
      <c r="G9" s="2"/>
      <c r="H9" s="2"/>
      <c r="I9" s="2"/>
      <c r="J9" s="2"/>
      <c r="K9" s="2"/>
      <c r="L9" s="2"/>
    </row>
    <row r="10" spans="1:12" ht="5" customHeight="1" outlineLevel="1" x14ac:dyDescent="0.35"/>
    <row r="11" spans="1:12" outlineLevel="1" x14ac:dyDescent="0.35">
      <c r="B11" t="s">
        <v>5</v>
      </c>
      <c r="G11" s="61" t="s">
        <v>8</v>
      </c>
      <c r="H11" s="61"/>
      <c r="I11" s="61"/>
    </row>
    <row r="12" spans="1:12" ht="5" customHeight="1" outlineLevel="1" x14ac:dyDescent="0.35"/>
    <row r="13" spans="1:12" outlineLevel="1" x14ac:dyDescent="0.35">
      <c r="B13" t="s">
        <v>14</v>
      </c>
      <c r="D13" s="12">
        <v>12500</v>
      </c>
      <c r="E13" t="s">
        <v>15</v>
      </c>
    </row>
    <row r="14" spans="1:12" ht="5" customHeight="1" outlineLevel="1" x14ac:dyDescent="0.35"/>
    <row r="15" spans="1:12" outlineLevel="1" collapsed="1" x14ac:dyDescent="0.35">
      <c r="A15" s="19" t="s">
        <v>101</v>
      </c>
    </row>
    <row r="16" spans="1:12" hidden="1" outlineLevel="2" x14ac:dyDescent="0.35">
      <c r="H16" s="7" t="s">
        <v>60</v>
      </c>
      <c r="J16" t="s">
        <v>61</v>
      </c>
    </row>
    <row r="17" spans="1:12" hidden="1" outlineLevel="2" x14ac:dyDescent="0.35">
      <c r="A17" t="s">
        <v>254</v>
      </c>
      <c r="D17" s="61" t="s">
        <v>253</v>
      </c>
      <c r="E17" s="60"/>
      <c r="F17" s="62"/>
      <c r="H17" s="26">
        <f>Berechnung!G18</f>
        <v>625</v>
      </c>
      <c r="J17" s="27"/>
      <c r="K17" s="7" t="s">
        <v>255</v>
      </c>
      <c r="L17" s="7"/>
    </row>
    <row r="18" spans="1:12" ht="5" hidden="1" customHeight="1" outlineLevel="2" x14ac:dyDescent="0.35"/>
    <row r="19" spans="1:12" hidden="1" outlineLevel="2" x14ac:dyDescent="0.35">
      <c r="A19" t="s">
        <v>259</v>
      </c>
      <c r="C19" t="s">
        <v>260</v>
      </c>
      <c r="D19" s="61" t="s">
        <v>253</v>
      </c>
      <c r="E19" s="60"/>
      <c r="F19" s="62"/>
      <c r="H19" s="26">
        <f>Berechnung!G27</f>
        <v>10</v>
      </c>
      <c r="J19" s="27"/>
      <c r="K19" s="7" t="s">
        <v>262</v>
      </c>
      <c r="L19" s="7"/>
    </row>
    <row r="20" spans="1:12" ht="5" hidden="1" customHeight="1" outlineLevel="2" x14ac:dyDescent="0.35"/>
    <row r="21" spans="1:12" hidden="1" outlineLevel="2" x14ac:dyDescent="0.35">
      <c r="C21" t="s">
        <v>261</v>
      </c>
      <c r="D21" s="61" t="s">
        <v>253</v>
      </c>
      <c r="E21" s="60"/>
      <c r="F21" s="62"/>
      <c r="H21" s="26">
        <f>Berechnung!G28</f>
        <v>200</v>
      </c>
      <c r="J21" s="27"/>
      <c r="K21" s="7" t="s">
        <v>263</v>
      </c>
      <c r="L21" s="7"/>
    </row>
    <row r="22" spans="1:12" ht="5" hidden="1" customHeight="1" outlineLevel="2" x14ac:dyDescent="0.35"/>
    <row r="23" spans="1:12" s="54" customFormat="1" x14ac:dyDescent="0.35">
      <c r="A23" s="2" t="s">
        <v>56</v>
      </c>
      <c r="B23" s="2"/>
      <c r="C23" s="2"/>
      <c r="D23" s="2"/>
      <c r="E23" s="2"/>
      <c r="F23" s="2"/>
      <c r="G23" s="2"/>
      <c r="H23" s="2"/>
      <c r="I23" s="2"/>
      <c r="J23" s="2"/>
      <c r="K23" s="2"/>
      <c r="L23" s="2"/>
    </row>
    <row r="24" spans="1:12" ht="5" customHeight="1" outlineLevel="1" x14ac:dyDescent="0.35"/>
    <row r="25" spans="1:12" outlineLevel="1" x14ac:dyDescent="0.35">
      <c r="B25" t="s">
        <v>57</v>
      </c>
      <c r="G25" s="61" t="s">
        <v>162</v>
      </c>
      <c r="H25" s="61"/>
      <c r="I25" s="61"/>
    </row>
    <row r="26" spans="1:12" ht="5" customHeight="1" outlineLevel="1" x14ac:dyDescent="0.35"/>
    <row r="27" spans="1:12" outlineLevel="1" collapsed="1" x14ac:dyDescent="0.35">
      <c r="A27" s="19" t="s">
        <v>101</v>
      </c>
    </row>
    <row r="28" spans="1:12" hidden="1" outlineLevel="2" x14ac:dyDescent="0.35">
      <c r="E28" s="7" t="s">
        <v>60</v>
      </c>
      <c r="G28" t="s">
        <v>61</v>
      </c>
    </row>
    <row r="29" spans="1:12" hidden="1" outlineLevel="2" x14ac:dyDescent="0.35">
      <c r="A29" t="s">
        <v>144</v>
      </c>
      <c r="B29" t="s">
        <v>63</v>
      </c>
      <c r="E29" s="24">
        <f>Berechnung!I38</f>
        <v>5528.7867556214478</v>
      </c>
      <c r="F29" s="23"/>
      <c r="G29" s="25"/>
      <c r="H29" s="7" t="s">
        <v>62</v>
      </c>
    </row>
    <row r="30" spans="1:12" hidden="1" outlineLevel="2" x14ac:dyDescent="0.35">
      <c r="B30" t="s">
        <v>20</v>
      </c>
      <c r="E30" s="24">
        <f>Berechnung!I39</f>
        <v>3549.8739215809983</v>
      </c>
      <c r="F30" s="23"/>
      <c r="G30" s="25"/>
      <c r="H30" s="7" t="s">
        <v>62</v>
      </c>
    </row>
    <row r="31" spans="1:12" hidden="1" outlineLevel="2" x14ac:dyDescent="0.35">
      <c r="B31" t="s">
        <v>64</v>
      </c>
      <c r="E31" s="24">
        <f>Berechnung!I40</f>
        <v>573.55083749980281</v>
      </c>
      <c r="F31" s="23"/>
      <c r="G31" s="25"/>
      <c r="H31" s="7" t="s">
        <v>62</v>
      </c>
    </row>
    <row r="32" spans="1:12" hidden="1" outlineLevel="2" x14ac:dyDescent="0.35">
      <c r="B32" t="s">
        <v>65</v>
      </c>
      <c r="E32" s="24">
        <f>Berechnung!I41</f>
        <v>6300.9636767976272</v>
      </c>
      <c r="F32" s="23"/>
      <c r="G32" s="25"/>
      <c r="H32" s="7" t="s">
        <v>62</v>
      </c>
    </row>
    <row r="33" spans="1:12" hidden="1" outlineLevel="2" x14ac:dyDescent="0.35">
      <c r="B33" t="s">
        <v>66</v>
      </c>
      <c r="E33" s="24">
        <f>Berechnung!I42</f>
        <v>6328.7620459599711</v>
      </c>
      <c r="F33" s="23"/>
      <c r="G33" s="25"/>
      <c r="H33" s="7" t="s">
        <v>62</v>
      </c>
    </row>
    <row r="34" spans="1:12" hidden="1" outlineLevel="2" x14ac:dyDescent="0.35">
      <c r="B34" t="s">
        <v>78</v>
      </c>
      <c r="E34" s="24">
        <f>Berechnung!I43</f>
        <v>22281.937237459846</v>
      </c>
      <c r="F34" s="23"/>
      <c r="G34" s="24">
        <f>Berechnung!K43</f>
        <v>22281.937237459846</v>
      </c>
      <c r="H34" s="7" t="s">
        <v>62</v>
      </c>
    </row>
    <row r="35" spans="1:12" hidden="1" outlineLevel="2" x14ac:dyDescent="0.35">
      <c r="E35" s="23"/>
      <c r="F35" s="23"/>
      <c r="G35" s="23"/>
      <c r="H35" s="7"/>
    </row>
    <row r="36" spans="1:12" hidden="1" outlineLevel="2" x14ac:dyDescent="0.35">
      <c r="A36" t="s">
        <v>104</v>
      </c>
      <c r="B36" t="s">
        <v>167</v>
      </c>
      <c r="E36" s="26">
        <f>Berechnung!I44</f>
        <v>43331.480108722506</v>
      </c>
      <c r="F36" s="23"/>
      <c r="G36" s="27"/>
      <c r="H36" s="7" t="s">
        <v>67</v>
      </c>
    </row>
    <row r="37" spans="1:12" hidden="1" outlineLevel="2" x14ac:dyDescent="0.35">
      <c r="B37" t="s">
        <v>145</v>
      </c>
      <c r="E37" s="26">
        <f>Berechnung!I45</f>
        <v>54346.188384048408</v>
      </c>
      <c r="F37" s="23"/>
      <c r="G37" s="27"/>
      <c r="H37" s="7" t="s">
        <v>67</v>
      </c>
    </row>
    <row r="38" spans="1:12" hidden="1" outlineLevel="2" x14ac:dyDescent="0.35">
      <c r="E38" s="23"/>
      <c r="F38" s="23"/>
      <c r="G38" s="23"/>
      <c r="H38" s="7"/>
    </row>
    <row r="39" spans="1:12" hidden="1" outlineLevel="2" x14ac:dyDescent="0.35">
      <c r="A39" t="s">
        <v>75</v>
      </c>
      <c r="B39" t="s">
        <v>79</v>
      </c>
      <c r="E39" s="28">
        <f>Berechnung!I32</f>
        <v>0.41</v>
      </c>
      <c r="F39" s="23"/>
      <c r="G39" s="28">
        <f>Berechnung!K32</f>
        <v>0.41</v>
      </c>
      <c r="H39" s="7" t="s">
        <v>68</v>
      </c>
    </row>
    <row r="40" spans="1:12" hidden="1" outlineLevel="2" x14ac:dyDescent="0.35">
      <c r="B40" t="s">
        <v>174</v>
      </c>
      <c r="E40" s="28">
        <f>Berechnung!H48</f>
        <v>3.4665184086978007</v>
      </c>
      <c r="F40" s="23"/>
      <c r="G40" s="28">
        <f>Berechnung!K48</f>
        <v>3.4665184086978003</v>
      </c>
      <c r="H40" s="7" t="s">
        <v>175</v>
      </c>
    </row>
    <row r="41" spans="1:12" hidden="1" outlineLevel="2" x14ac:dyDescent="0.35">
      <c r="B41" t="s">
        <v>69</v>
      </c>
      <c r="E41" s="29">
        <f>Berechnung!I46</f>
        <v>0.39101295309947393</v>
      </c>
      <c r="F41" s="23"/>
      <c r="G41" s="29">
        <f>Berechnung!K46</f>
        <v>0.39101295309947393</v>
      </c>
      <c r="H41" s="7" t="s">
        <v>71</v>
      </c>
    </row>
    <row r="42" spans="1:12" hidden="1" outlineLevel="2" x14ac:dyDescent="0.35">
      <c r="B42" t="s">
        <v>70</v>
      </c>
      <c r="E42" s="29">
        <f>Berechnung!I47</f>
        <v>0.28398991372647986</v>
      </c>
      <c r="F42" s="23"/>
      <c r="G42" s="29">
        <f>Berechnung!K47</f>
        <v>0.28398991372647986</v>
      </c>
      <c r="H42" s="7" t="s">
        <v>71</v>
      </c>
    </row>
    <row r="43" spans="1:12" hidden="1" outlineLevel="2" x14ac:dyDescent="0.35"/>
    <row r="44" spans="1:12" s="54" customFormat="1" x14ac:dyDescent="0.35">
      <c r="A44" s="2" t="s">
        <v>81</v>
      </c>
      <c r="B44" s="2"/>
      <c r="C44" s="2"/>
      <c r="D44" s="2"/>
      <c r="E44" s="2"/>
      <c r="F44" s="2"/>
      <c r="G44" s="2"/>
      <c r="H44" s="2"/>
      <c r="I44" s="2"/>
      <c r="J44" s="2"/>
      <c r="K44" s="2"/>
      <c r="L44" s="2"/>
    </row>
    <row r="45" spans="1:12" ht="5" customHeight="1" outlineLevel="1" x14ac:dyDescent="0.35"/>
    <row r="46" spans="1:12" outlineLevel="1" x14ac:dyDescent="0.35">
      <c r="B46" t="s">
        <v>82</v>
      </c>
      <c r="G46" s="61" t="s">
        <v>102</v>
      </c>
      <c r="H46" s="61"/>
      <c r="I46" s="61"/>
    </row>
    <row r="47" spans="1:12" ht="5" customHeight="1" outlineLevel="1" x14ac:dyDescent="0.35"/>
    <row r="48" spans="1:12" outlineLevel="1" collapsed="1" x14ac:dyDescent="0.35">
      <c r="A48" s="19" t="s">
        <v>101</v>
      </c>
    </row>
    <row r="49" spans="1:12" ht="14.5" hidden="1" customHeight="1" outlineLevel="2" x14ac:dyDescent="0.35">
      <c r="H49" s="7" t="s">
        <v>60</v>
      </c>
      <c r="J49" t="s">
        <v>61</v>
      </c>
    </row>
    <row r="50" spans="1:12" hidden="1" outlineLevel="2" x14ac:dyDescent="0.35">
      <c r="A50" t="s">
        <v>105</v>
      </c>
      <c r="B50" t="s">
        <v>63</v>
      </c>
      <c r="D50" s="59" t="s">
        <v>107</v>
      </c>
      <c r="E50" s="60"/>
      <c r="F50" s="60"/>
      <c r="H50" s="13">
        <f>Berechnung!G62</f>
        <v>0.15</v>
      </c>
      <c r="J50" s="14"/>
      <c r="K50" s="7" t="s">
        <v>106</v>
      </c>
      <c r="L50" s="7"/>
    </row>
    <row r="51" spans="1:12" ht="5" hidden="1" customHeight="1" outlineLevel="2" x14ac:dyDescent="0.35">
      <c r="K51" s="7"/>
      <c r="L51" s="7"/>
    </row>
    <row r="52" spans="1:12" hidden="1" outlineLevel="2" x14ac:dyDescent="0.35">
      <c r="B52" t="s">
        <v>20</v>
      </c>
      <c r="D52" s="59" t="s">
        <v>107</v>
      </c>
      <c r="E52" s="60"/>
      <c r="F52" s="60"/>
      <c r="H52" s="13">
        <f>Berechnung!G63</f>
        <v>0.85</v>
      </c>
      <c r="J52" s="14"/>
      <c r="K52" s="7" t="s">
        <v>106</v>
      </c>
      <c r="L52" s="7"/>
    </row>
    <row r="53" spans="1:12" ht="5" hidden="1" customHeight="1" outlineLevel="2" x14ac:dyDescent="0.35">
      <c r="K53" s="7"/>
      <c r="L53" s="7"/>
    </row>
    <row r="54" spans="1:12" hidden="1" outlineLevel="2" x14ac:dyDescent="0.35">
      <c r="B54" t="s">
        <v>64</v>
      </c>
      <c r="D54" s="59" t="s">
        <v>107</v>
      </c>
      <c r="E54" s="60"/>
      <c r="F54" s="60"/>
      <c r="H54" s="13">
        <f>Berechnung!G64</f>
        <v>1.3</v>
      </c>
      <c r="J54" s="14"/>
      <c r="K54" s="7" t="s">
        <v>106</v>
      </c>
      <c r="L54" s="7"/>
    </row>
    <row r="55" spans="1:12" ht="5" hidden="1" customHeight="1" outlineLevel="2" x14ac:dyDescent="0.35">
      <c r="K55" s="7"/>
      <c r="L55" s="7"/>
    </row>
    <row r="56" spans="1:12" hidden="1" outlineLevel="2" x14ac:dyDescent="0.35">
      <c r="B56" t="s">
        <v>65</v>
      </c>
      <c r="D56" s="59" t="s">
        <v>107</v>
      </c>
      <c r="E56" s="60"/>
      <c r="F56" s="60"/>
      <c r="H56" s="13">
        <f>Berechnung!G65</f>
        <v>0.15</v>
      </c>
      <c r="J56" s="14"/>
      <c r="K56" s="7" t="s">
        <v>106</v>
      </c>
      <c r="L56" s="7"/>
    </row>
    <row r="57" spans="1:12" ht="5" hidden="1" customHeight="1" outlineLevel="2" x14ac:dyDescent="0.35">
      <c r="K57" s="7"/>
      <c r="L57" s="7"/>
    </row>
    <row r="58" spans="1:12" hidden="1" outlineLevel="2" x14ac:dyDescent="0.35">
      <c r="B58" t="s">
        <v>66</v>
      </c>
      <c r="D58" s="59" t="s">
        <v>107</v>
      </c>
      <c r="E58" s="60"/>
      <c r="F58" s="60"/>
      <c r="H58" s="13">
        <f>Berechnung!G66</f>
        <v>0.15</v>
      </c>
      <c r="J58" s="14"/>
      <c r="K58" s="7" t="s">
        <v>106</v>
      </c>
      <c r="L58" s="7"/>
    </row>
    <row r="59" spans="1:12" ht="5" hidden="1" customHeight="1" outlineLevel="2" x14ac:dyDescent="0.35"/>
    <row r="60" spans="1:12" s="54" customFormat="1" x14ac:dyDescent="0.35">
      <c r="A60" s="2" t="s">
        <v>173</v>
      </c>
      <c r="B60" s="2"/>
      <c r="C60" s="2"/>
      <c r="D60" s="2"/>
      <c r="E60" s="2"/>
      <c r="F60" s="2"/>
      <c r="G60" s="2"/>
      <c r="H60" s="2"/>
      <c r="I60" s="2"/>
      <c r="J60" s="2"/>
      <c r="K60" s="2"/>
      <c r="L60" s="2"/>
    </row>
    <row r="61" spans="1:12" ht="5" customHeight="1" outlineLevel="1" x14ac:dyDescent="0.35"/>
    <row r="62" spans="1:12" outlineLevel="1" x14ac:dyDescent="0.35">
      <c r="B62" t="s">
        <v>283</v>
      </c>
      <c r="G62" s="61" t="s">
        <v>287</v>
      </c>
      <c r="H62" s="61"/>
      <c r="I62" s="61"/>
    </row>
    <row r="63" spans="1:12" ht="5" customHeight="1" outlineLevel="1" x14ac:dyDescent="0.35"/>
    <row r="64" spans="1:12" outlineLevel="1" collapsed="1" x14ac:dyDescent="0.35">
      <c r="A64" s="19" t="s">
        <v>101</v>
      </c>
    </row>
    <row r="65" spans="1:12" hidden="1" outlineLevel="2" x14ac:dyDescent="0.35">
      <c r="H65" s="7" t="s">
        <v>60</v>
      </c>
      <c r="J65" t="s">
        <v>61</v>
      </c>
    </row>
    <row r="66" spans="1:12" hidden="1" outlineLevel="2" x14ac:dyDescent="0.35">
      <c r="A66" t="s">
        <v>289</v>
      </c>
      <c r="D66" s="61" t="s">
        <v>197</v>
      </c>
      <c r="E66" s="60"/>
      <c r="F66" s="62"/>
      <c r="H66" s="26">
        <f>Berechnung!G103</f>
        <v>20</v>
      </c>
      <c r="J66" s="27"/>
      <c r="K66" s="7" t="s">
        <v>290</v>
      </c>
      <c r="L66" s="7"/>
    </row>
    <row r="67" spans="1:12" ht="5" hidden="1" customHeight="1" outlineLevel="2" x14ac:dyDescent="0.35"/>
    <row r="68" spans="1:12" hidden="1" outlineLevel="2" x14ac:dyDescent="0.35">
      <c r="A68" t="s">
        <v>291</v>
      </c>
      <c r="H68" s="53">
        <f>Berechnung!G106</f>
        <v>0.85</v>
      </c>
      <c r="J68" s="51"/>
      <c r="K68" s="7" t="s">
        <v>292</v>
      </c>
      <c r="L68" s="7"/>
    </row>
    <row r="69" spans="1:12" ht="5" hidden="1" customHeight="1" outlineLevel="2" x14ac:dyDescent="0.35"/>
    <row r="70" spans="1:12" s="54" customFormat="1" x14ac:dyDescent="0.35">
      <c r="A70" s="2" t="s">
        <v>300</v>
      </c>
      <c r="B70" s="2"/>
      <c r="C70" s="2"/>
      <c r="D70" s="2"/>
      <c r="E70" s="2"/>
      <c r="F70" s="2"/>
      <c r="G70" s="2"/>
      <c r="H70" s="2"/>
      <c r="I70" s="2"/>
      <c r="J70" s="2"/>
      <c r="K70" s="2"/>
      <c r="L70" s="2"/>
    </row>
    <row r="71" spans="1:12" ht="5" customHeight="1" outlineLevel="1" x14ac:dyDescent="0.35"/>
    <row r="72" spans="1:12" outlineLevel="1" x14ac:dyDescent="0.35">
      <c r="B72" t="s">
        <v>186</v>
      </c>
      <c r="G72" s="61" t="s">
        <v>189</v>
      </c>
      <c r="H72" s="61"/>
      <c r="I72" s="61"/>
    </row>
    <row r="73" spans="1:12" ht="5" customHeight="1" outlineLevel="1" x14ac:dyDescent="0.35"/>
    <row r="74" spans="1:12" outlineLevel="1" collapsed="1" x14ac:dyDescent="0.35">
      <c r="A74" s="19" t="s">
        <v>101</v>
      </c>
    </row>
    <row r="75" spans="1:12" hidden="1" outlineLevel="2" x14ac:dyDescent="0.35">
      <c r="H75" s="7" t="s">
        <v>60</v>
      </c>
      <c r="J75" t="s">
        <v>61</v>
      </c>
    </row>
    <row r="76" spans="1:12" hidden="1" outlineLevel="2" x14ac:dyDescent="0.35">
      <c r="A76" t="s">
        <v>193</v>
      </c>
      <c r="D76" s="61" t="s">
        <v>197</v>
      </c>
      <c r="E76" s="60"/>
      <c r="F76" s="62"/>
      <c r="H76" s="39">
        <f>Berechnung!G119</f>
        <v>2.6000000000000002E-2</v>
      </c>
      <c r="J76" s="40"/>
      <c r="K76" s="7" t="s">
        <v>106</v>
      </c>
      <c r="L76" s="7"/>
    </row>
    <row r="77" spans="1:12" ht="5" hidden="1" customHeight="1" outlineLevel="2" x14ac:dyDescent="0.35"/>
    <row r="78" spans="1:12" hidden="1" outlineLevel="2" x14ac:dyDescent="0.35">
      <c r="A78" t="s">
        <v>196</v>
      </c>
      <c r="D78" s="61" t="s">
        <v>197</v>
      </c>
      <c r="E78" s="64"/>
      <c r="F78" s="65"/>
      <c r="H78" s="28">
        <f>Berechnung!G120</f>
        <v>0.12</v>
      </c>
      <c r="J78" s="49"/>
      <c r="K78" s="7" t="s">
        <v>230</v>
      </c>
      <c r="L78" s="7"/>
    </row>
    <row r="79" spans="1:12" hidden="1" outlineLevel="2" x14ac:dyDescent="0.35">
      <c r="H79" s="7"/>
    </row>
    <row r="80" spans="1:12" hidden="1" outlineLevel="2" x14ac:dyDescent="0.35">
      <c r="A80" t="s">
        <v>218</v>
      </c>
      <c r="B80" t="s">
        <v>63</v>
      </c>
      <c r="D80" s="59" t="s">
        <v>197</v>
      </c>
      <c r="E80" s="60"/>
      <c r="F80" s="60"/>
      <c r="H80" s="13">
        <f>Berechnung!I80</f>
        <v>1</v>
      </c>
      <c r="J80" s="14"/>
      <c r="K80" s="7" t="s">
        <v>206</v>
      </c>
      <c r="L80" s="7"/>
    </row>
    <row r="81" spans="1:12" ht="5" hidden="1" customHeight="1" outlineLevel="2" x14ac:dyDescent="0.35"/>
    <row r="82" spans="1:12" hidden="1" outlineLevel="2" x14ac:dyDescent="0.35">
      <c r="B82" t="s">
        <v>20</v>
      </c>
      <c r="D82" s="59" t="s">
        <v>197</v>
      </c>
      <c r="E82" s="60"/>
      <c r="F82" s="60"/>
      <c r="H82" s="13">
        <f>Berechnung!I81</f>
        <v>1</v>
      </c>
      <c r="J82" s="14"/>
      <c r="K82" s="7" t="s">
        <v>206</v>
      </c>
      <c r="L82" s="7"/>
    </row>
    <row r="83" spans="1:12" ht="5" hidden="1" customHeight="1" outlineLevel="2" x14ac:dyDescent="0.35"/>
    <row r="84" spans="1:12" hidden="1" outlineLevel="2" x14ac:dyDescent="0.35">
      <c r="B84" t="s">
        <v>64</v>
      </c>
      <c r="D84" s="59" t="s">
        <v>197</v>
      </c>
      <c r="E84" s="60"/>
      <c r="F84" s="60"/>
      <c r="H84" s="13">
        <f>Berechnung!I82</f>
        <v>1</v>
      </c>
      <c r="J84" s="14"/>
      <c r="K84" s="7" t="s">
        <v>206</v>
      </c>
      <c r="L84" s="7"/>
    </row>
    <row r="85" spans="1:12" ht="5" hidden="1" customHeight="1" outlineLevel="2" x14ac:dyDescent="0.35">
      <c r="K85" s="7"/>
      <c r="L85" s="7"/>
    </row>
    <row r="86" spans="1:12" hidden="1" outlineLevel="2" x14ac:dyDescent="0.35">
      <c r="B86" t="s">
        <v>65</v>
      </c>
      <c r="D86" s="59" t="s">
        <v>197</v>
      </c>
      <c r="E86" s="60"/>
      <c r="F86" s="60"/>
      <c r="H86" s="13">
        <f>Berechnung!I83</f>
        <v>0.9</v>
      </c>
      <c r="J86" s="14"/>
      <c r="K86" s="7" t="s">
        <v>206</v>
      </c>
      <c r="L86" s="7"/>
    </row>
    <row r="87" spans="1:12" ht="5" hidden="1" customHeight="1" outlineLevel="2" x14ac:dyDescent="0.35">
      <c r="K87" s="7"/>
      <c r="L87" s="7"/>
    </row>
    <row r="88" spans="1:12" hidden="1" outlineLevel="2" x14ac:dyDescent="0.35">
      <c r="B88" t="s">
        <v>66</v>
      </c>
      <c r="D88" s="59" t="s">
        <v>197</v>
      </c>
      <c r="E88" s="60"/>
      <c r="F88" s="60"/>
      <c r="H88" s="13">
        <f>Berechnung!I84</f>
        <v>0.5</v>
      </c>
      <c r="J88" s="14"/>
      <c r="K88" s="7" t="s">
        <v>206</v>
      </c>
      <c r="L88" s="7"/>
    </row>
    <row r="89" spans="1:12" ht="5" hidden="1" customHeight="1" outlineLevel="2" x14ac:dyDescent="0.35"/>
    <row r="90" spans="1:12" s="54" customFormat="1" x14ac:dyDescent="0.35">
      <c r="A90" s="2" t="s">
        <v>319</v>
      </c>
      <c r="B90" s="2"/>
      <c r="C90" s="2"/>
      <c r="D90" s="2"/>
      <c r="E90" s="2"/>
      <c r="F90" s="2"/>
      <c r="G90" s="2"/>
      <c r="H90" s="2"/>
      <c r="I90" s="2"/>
      <c r="J90" s="2"/>
      <c r="K90" s="2"/>
      <c r="L90" s="2"/>
    </row>
    <row r="91" spans="1:12" ht="5" customHeight="1" outlineLevel="1" x14ac:dyDescent="0.35"/>
    <row r="92" spans="1:12" outlineLevel="1" x14ac:dyDescent="0.35">
      <c r="B92" t="s">
        <v>318</v>
      </c>
      <c r="I92" s="7" t="s">
        <v>315</v>
      </c>
      <c r="J92" s="32">
        <f>Berechnung!H142</f>
        <v>49</v>
      </c>
      <c r="K92" s="32">
        <f>Berechnung!L142</f>
        <v>41</v>
      </c>
      <c r="L92" t="s">
        <v>314</v>
      </c>
    </row>
    <row r="93" spans="1:12" ht="5" customHeight="1" outlineLevel="1" x14ac:dyDescent="0.35"/>
    <row r="94" spans="1:12" outlineLevel="1" collapsed="1" x14ac:dyDescent="0.35">
      <c r="A94" s="19" t="s">
        <v>317</v>
      </c>
    </row>
    <row r="95" spans="1:12" ht="5" hidden="1" customHeight="1" outlineLevel="2" x14ac:dyDescent="0.35"/>
    <row r="96" spans="1:12" hidden="1" outlineLevel="2" x14ac:dyDescent="0.35">
      <c r="B96" s="63" t="s">
        <v>316</v>
      </c>
      <c r="C96" s="63"/>
      <c r="D96" s="63"/>
      <c r="E96" s="63"/>
      <c r="F96" s="63"/>
      <c r="G96" s="63"/>
      <c r="H96" s="63"/>
      <c r="I96" s="63"/>
      <c r="J96" s="63"/>
      <c r="K96" s="63"/>
    </row>
    <row r="97" spans="1:12" hidden="1" outlineLevel="2" x14ac:dyDescent="0.35">
      <c r="B97" s="63"/>
      <c r="C97" s="63"/>
      <c r="D97" s="63"/>
      <c r="E97" s="63"/>
      <c r="F97" s="63"/>
      <c r="G97" s="63"/>
      <c r="H97" s="63"/>
      <c r="I97" s="63"/>
      <c r="J97" s="63"/>
      <c r="K97" s="63"/>
    </row>
    <row r="98" spans="1:12" hidden="1" outlineLevel="2" x14ac:dyDescent="0.35">
      <c r="B98" s="63"/>
      <c r="C98" s="63"/>
      <c r="D98" s="63"/>
      <c r="E98" s="63"/>
      <c r="F98" s="63"/>
      <c r="G98" s="63"/>
      <c r="H98" s="63"/>
      <c r="I98" s="63"/>
      <c r="J98" s="63"/>
      <c r="K98" s="63"/>
    </row>
    <row r="99" spans="1:12" hidden="1" outlineLevel="2" x14ac:dyDescent="0.35">
      <c r="B99" s="63"/>
      <c r="C99" s="63"/>
      <c r="D99" s="63"/>
      <c r="E99" s="63"/>
      <c r="F99" s="63"/>
      <c r="G99" s="63"/>
      <c r="H99" s="63"/>
      <c r="I99" s="63"/>
      <c r="J99" s="63"/>
      <c r="K99" s="63"/>
    </row>
    <row r="100" spans="1:12" hidden="1" outlineLevel="2" x14ac:dyDescent="0.35">
      <c r="B100" s="63"/>
      <c r="C100" s="63"/>
      <c r="D100" s="63"/>
      <c r="E100" s="63"/>
      <c r="F100" s="63"/>
      <c r="G100" s="63"/>
      <c r="H100" s="63"/>
      <c r="I100" s="63"/>
      <c r="J100" s="63"/>
      <c r="K100" s="63"/>
    </row>
    <row r="101" spans="1:12" ht="5" hidden="1" customHeight="1" outlineLevel="2" x14ac:dyDescent="0.35"/>
    <row r="102" spans="1:12" x14ac:dyDescent="0.35">
      <c r="A102" s="2" t="s">
        <v>282</v>
      </c>
      <c r="B102" s="2"/>
      <c r="C102" s="2"/>
      <c r="D102" s="2"/>
      <c r="E102" s="2"/>
      <c r="F102" s="2"/>
      <c r="G102" s="2"/>
      <c r="H102" s="2"/>
      <c r="I102" s="2"/>
      <c r="J102" s="2"/>
      <c r="K102" s="2"/>
      <c r="L102" s="2"/>
    </row>
  </sheetData>
  <mergeCells count="24">
    <mergeCell ref="B96:K100"/>
    <mergeCell ref="D50:F50"/>
    <mergeCell ref="G11:I11"/>
    <mergeCell ref="G25:I25"/>
    <mergeCell ref="G46:I46"/>
    <mergeCell ref="D52:F52"/>
    <mergeCell ref="D17:F17"/>
    <mergeCell ref="D19:F19"/>
    <mergeCell ref="D21:F21"/>
    <mergeCell ref="D78:F78"/>
    <mergeCell ref="D54:F54"/>
    <mergeCell ref="D56:F56"/>
    <mergeCell ref="D58:F58"/>
    <mergeCell ref="G72:I72"/>
    <mergeCell ref="D76:F76"/>
    <mergeCell ref="G62:I62"/>
    <mergeCell ref="D3:E3"/>
    <mergeCell ref="G3:K3"/>
    <mergeCell ref="D88:F88"/>
    <mergeCell ref="D66:F66"/>
    <mergeCell ref="D80:F80"/>
    <mergeCell ref="D82:F82"/>
    <mergeCell ref="D84:F84"/>
    <mergeCell ref="D86:F86"/>
  </mergeCells>
  <conditionalFormatting sqref="G46:I46">
    <cfRule type="cellIs" dxfId="5" priority="1" operator="between">
      <formula>0</formula>
      <formula>1.4</formula>
    </cfRule>
  </conditionalFormatting>
  <conditionalFormatting sqref="K7">
    <cfRule type="cellIs" dxfId="4" priority="2" operator="between">
      <formula>1.5</formula>
      <formula>2.4</formula>
    </cfRule>
    <cfRule type="cellIs" dxfId="3" priority="3" operator="between">
      <formula>2.5</formula>
      <formula>3.4</formula>
    </cfRule>
    <cfRule type="cellIs" dxfId="2" priority="4" operator="between">
      <formula>3.5</formula>
      <formula>4.4</formula>
    </cfRule>
    <cfRule type="cellIs" dxfId="1" priority="5" operator="between">
      <formula>4.5</formula>
      <formula>5.4</formula>
    </cfRule>
    <cfRule type="cellIs" dxfId="0" priority="6" operator="greaterThanOrEqual">
      <formula>5.5</formula>
    </cfRule>
  </conditionalFormatting>
  <dataValidations count="1">
    <dataValidation allowBlank="1" showInputMessage="1" showErrorMessage="1" prompt="bei Gebäudeteilen mit sehr unterschiedlichem Sanierungsgrad/Anfangszustand bitte separate Tabellen ausfüllen. Jeweils eine Teilfläche eintragen." sqref="D13" xr:uid="{8F9817DE-1895-48E1-9F2A-C6EB229DCF3E}"/>
  </dataValidations>
  <pageMargins left="0.7" right="0.7" top="0.78740157499999996" bottom="0.78740157499999996" header="0.3" footer="0.3"/>
  <extLst>
    <ext xmlns:x14="http://schemas.microsoft.com/office/spreadsheetml/2009/9/main" uri="{CCE6A557-97BC-4b89-ADB6-D9C93CAAB3DF}">
      <x14:dataValidations xmlns:xm="http://schemas.microsoft.com/office/excel/2006/main" count="15">
        <x14:dataValidation type="list" allowBlank="1" showInputMessage="1" showErrorMessage="1" prompt="naheliegendste Rubrik wählen._x000a_ggf. Teilgebäude eingeben." xr:uid="{E52DDC44-1098-47DD-84EE-DF4CC8B52FA0}">
          <x14:formula1>
            <xm:f>Berechnung!$B$2:$B$7</xm:f>
          </x14:formula1>
          <xm:sqref>G11:I11</xm:sqref>
        </x14:dataValidation>
        <x14:dataValidation type="list" showInputMessage="1" showErrorMessage="1" prompt="naheliegendste Rubrik wählen; bei sehr verschiedenem Sanierungsgrad ggf. Teilprojekte anlegen" xr:uid="{D8BCCDEC-B2CB-4519-A0A5-6E1387600E6A}">
          <x14:formula1>
            <xm:f>Berechnung!$B$50:$B$63</xm:f>
          </x14:formula1>
          <xm:sqref>G46:I46</xm:sqref>
        </x14:dataValidation>
        <x14:dataValidation type="list" allowBlank="1" showInputMessage="1" showErrorMessage="1" prompt="auch Wärmedämmputz bedenken." xr:uid="{72600C77-FD04-4453-9C1F-7BFBA45C8E56}">
          <x14:formula1>
            <xm:f>Berechnung!$D$50:$D$56</xm:f>
          </x14:formula1>
          <xm:sqref>D50:F50</xm:sqref>
        </x14:dataValidation>
        <x14:dataValidation type="list" allowBlank="1" showInputMessage="1" showErrorMessage="1" prompt="auch Trittschalldämmung bedenken." xr:uid="{DB3AAA25-936A-4BEB-9C9A-9B84DBCF3D1E}">
          <x14:formula1>
            <xm:f>Berechnung!$D$50:$D$56</xm:f>
          </x14:formula1>
          <xm:sqref>D56:F56 D58:F58</xm:sqref>
        </x14:dataValidation>
        <x14:dataValidation type="list" allowBlank="1" showInputMessage="1" showErrorMessage="1" prompt="Kastenfenster aus 2 x Einscheibenglas entsprechend etwa 2-Scheiben-Gas" xr:uid="{DE047D1F-1905-4946-A74E-62DF11F31A81}">
          <x14:formula1>
            <xm:f>Berechnung!$F$50:$F$56</xm:f>
          </x14:formula1>
          <xm:sqref>D52:F52</xm:sqref>
        </x14:dataValidation>
        <x14:dataValidation type="list" allowBlank="1" showInputMessage="1" showErrorMessage="1" xr:uid="{91182419-BF70-4E0F-8C3A-D5CE57D8A118}">
          <x14:formula1>
            <xm:f>Berechnung!$H$50:$H$56</xm:f>
          </x14:formula1>
          <xm:sqref>D54:F54</xm:sqref>
        </x14:dataValidation>
        <x14:dataValidation type="list" showInputMessage="1" showErrorMessage="1" prompt="ggf. mehrere Modelle überprüfen und anhand von Kompaktheitsgrad und Fensterflächenanteil plausibilisieren" xr:uid="{1682EEDD-6E83-43CD-8D46-F4A7514880B5}">
          <x14:formula1>
            <xm:f>Berechnung!$B$30:$B$48</xm:f>
          </x14:formula1>
          <xm:sqref>G25:I25</xm:sqref>
        </x14:dataValidation>
        <x14:dataValidation type="list" allowBlank="1" showInputMessage="1" showErrorMessage="1" prompt="am besten passende Temperaturbedingung hinter der betreffenden Fläche wählen." xr:uid="{D09E4AC0-3AB8-493A-A811-F082D4C16599}">
          <x14:formula1>
            <xm:f>Berechnung!$B$77:$B$84</xm:f>
          </x14:formula1>
          <xm:sqref>D80:F80 D88:F88 D86:F86 D84:F84 D82:F82</xm:sqref>
        </x14:dataValidation>
        <x14:dataValidation type="list" allowBlank="1" showInputMessage="1" showErrorMessage="1" xr:uid="{58483289-27BE-4D50-90DF-DD51422F7F9D}">
          <x14:formula1>
            <xm:f>Berechnung!$B$11:$B$13</xm:f>
          </x14:formula1>
          <xm:sqref>D17:F17</xm:sqref>
        </x14:dataValidation>
        <x14:dataValidation type="list" allowBlank="1" showInputMessage="1" showErrorMessage="1" xr:uid="{E179011A-35D5-4A8A-A6C1-22827B45A148}">
          <x14:formula1>
            <xm:f>Berechnung!$B$20:$B$22</xm:f>
          </x14:formula1>
          <xm:sqref>D19:F19 D21:F21</xm:sqref>
        </x14:dataValidation>
        <x14:dataValidation type="list" showInputMessage="1" showErrorMessage="1" prompt="Qualitätssicherung: ein bestandener Gebäudedichtheitsnachweis und eine Wärmebrückenminimierung." xr:uid="{C2D14D16-DC34-49DE-AFC4-A9ACA0DB27BE}">
          <x14:formula1>
            <xm:f>Berechnung!$B$108:$B$109</xm:f>
          </x14:formula1>
          <xm:sqref>G72:I72</xm:sqref>
        </x14:dataValidation>
        <x14:dataValidation type="list" allowBlank="1" showInputMessage="1" showErrorMessage="1" prompt="der Wert &quot;0&quot; bedeutet für Bestandsgebäude, dass keine gesonderten Zuschläge erfolgen, weil die U-Werte die Wärmebrückenwirkung bereits abdecken." xr:uid="{B1CAC137-07DC-4C66-B0A4-8B40F2A55B3D}">
          <x14:formula1>
            <xm:f>Berechnung!$D$108:$D$113</xm:f>
          </x14:formula1>
          <xm:sqref>D76:F76</xm:sqref>
        </x14:dataValidation>
        <x14:dataValidation type="list" allowBlank="1" showInputMessage="1" showErrorMessage="1" xr:uid="{0D2A8771-28BC-4DCB-A730-13E6957464C4}">
          <x14:formula1>
            <xm:f>Berechnung!$F$108:$F$112</xm:f>
          </x14:formula1>
          <xm:sqref>D78:F78</xm:sqref>
        </x14:dataValidation>
        <x14:dataValidation type="list" showInputMessage="1" showErrorMessage="1" prompt="naheliegendste Rubrik wählen; kleine Flächen mit Anlagentechnik vernachlässigen." xr:uid="{0A0AE391-FE3A-4885-BCFA-AB27DA34F3C1}">
          <x14:formula1>
            <xm:f>Berechnung!$B$92:$B$93</xm:f>
          </x14:formula1>
          <xm:sqref>G62:I62</xm:sqref>
        </x14:dataValidation>
        <x14:dataValidation type="list" allowBlank="1" showInputMessage="1" showErrorMessage="1" prompt="Wert gibt die realen Verhältnisse wieder (bei zu geringer Lüftung sinkt entsprechend die Luftqualität)._x000a_" xr:uid="{7B51AF3D-33A2-4A06-94CF-FFDC542EB4E7}">
          <x14:formula1>
            <xm:f>Berechnung!$D$92:$D$94</xm:f>
          </x14:formula1>
          <xm:sqref>D66:F66</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5031F7-A636-43B1-B7BA-C76806F1BFEB}">
  <sheetPr>
    <tabColor theme="1"/>
  </sheetPr>
  <dimension ref="A1:N142"/>
  <sheetViews>
    <sheetView showGridLines="0" topLeftCell="A121" zoomScale="85" zoomScaleNormal="85" workbookViewId="0">
      <selection activeCell="G138" sqref="G138"/>
    </sheetView>
  </sheetViews>
  <sheetFormatPr baseColWidth="10" defaultRowHeight="14.5" x14ac:dyDescent="0.35"/>
  <cols>
    <col min="5" max="5" width="11.1796875" bestFit="1" customWidth="1"/>
    <col min="7" max="8" width="11.1796875" bestFit="1" customWidth="1"/>
  </cols>
  <sheetData>
    <row r="1" spans="1:14" s="1" customFormat="1" x14ac:dyDescent="0.35">
      <c r="A1" s="2" t="s">
        <v>4</v>
      </c>
    </row>
    <row r="2" spans="1:14" x14ac:dyDescent="0.35">
      <c r="A2" s="22">
        <v>1</v>
      </c>
      <c r="B2" s="33" t="s">
        <v>6</v>
      </c>
      <c r="M2" t="s">
        <v>12</v>
      </c>
      <c r="N2" s="30" t="str">
        <f>'Ein- und Ausgabe'!G11</f>
        <v>Weiterführende Schule</v>
      </c>
    </row>
    <row r="3" spans="1:14" x14ac:dyDescent="0.35">
      <c r="A3" s="22">
        <v>2</v>
      </c>
      <c r="B3" s="33" t="s">
        <v>7</v>
      </c>
      <c r="M3" t="s">
        <v>13</v>
      </c>
      <c r="N3" s="15">
        <f>IF(N2=B2,A2,IF(N2=B3,A3,IF(N2=B4,A4,IF(N2=B5,A5,IF(N2=B6,A6,A7)))))</f>
        <v>3</v>
      </c>
    </row>
    <row r="4" spans="1:14" x14ac:dyDescent="0.35">
      <c r="A4" s="22">
        <v>3</v>
      </c>
      <c r="B4" s="33" t="s">
        <v>8</v>
      </c>
    </row>
    <row r="5" spans="1:14" x14ac:dyDescent="0.35">
      <c r="A5" s="22">
        <v>4</v>
      </c>
      <c r="B5" s="33" t="s">
        <v>9</v>
      </c>
    </row>
    <row r="6" spans="1:14" x14ac:dyDescent="0.35">
      <c r="A6" s="22">
        <v>5</v>
      </c>
      <c r="B6" s="33" t="s">
        <v>10</v>
      </c>
    </row>
    <row r="7" spans="1:14" x14ac:dyDescent="0.35">
      <c r="A7" s="22">
        <v>6</v>
      </c>
      <c r="B7" s="33" t="s">
        <v>11</v>
      </c>
    </row>
    <row r="8" spans="1:14" s="1" customFormat="1" x14ac:dyDescent="0.35">
      <c r="A8" s="2" t="s">
        <v>16</v>
      </c>
    </row>
    <row r="9" spans="1:14" x14ac:dyDescent="0.35">
      <c r="D9" t="s">
        <v>17</v>
      </c>
      <c r="E9" s="10">
        <f>'Ein- und Ausgabe'!D13</f>
        <v>12500</v>
      </c>
      <c r="F9" t="s">
        <v>15</v>
      </c>
    </row>
    <row r="10" spans="1:14" s="1" customFormat="1" x14ac:dyDescent="0.35">
      <c r="A10" s="2" t="s">
        <v>177</v>
      </c>
    </row>
    <row r="11" spans="1:14" x14ac:dyDescent="0.35">
      <c r="A11">
        <v>1</v>
      </c>
      <c r="B11" s="33" t="s">
        <v>253</v>
      </c>
      <c r="M11" t="s">
        <v>12</v>
      </c>
      <c r="N11" s="30" t="str">
        <f>'Ein- und Ausgabe'!D17</f>
        <v>durchschnittlich</v>
      </c>
    </row>
    <row r="12" spans="1:14" x14ac:dyDescent="0.35">
      <c r="A12">
        <v>2</v>
      </c>
      <c r="B12" s="33" t="s">
        <v>252</v>
      </c>
    </row>
    <row r="13" spans="1:14" x14ac:dyDescent="0.35">
      <c r="A13">
        <v>3</v>
      </c>
      <c r="B13" s="33" t="s">
        <v>251</v>
      </c>
      <c r="E13" t="s">
        <v>257</v>
      </c>
    </row>
    <row r="14" spans="1:14" x14ac:dyDescent="0.35">
      <c r="E14" t="s">
        <v>253</v>
      </c>
      <c r="F14" t="s">
        <v>252</v>
      </c>
      <c r="G14" t="s">
        <v>251</v>
      </c>
    </row>
    <row r="15" spans="1:14" x14ac:dyDescent="0.35">
      <c r="E15" s="47">
        <f>IF($N$2=DB_Nutzung!$B$109,DB_Nutzung!C109,IF($N$2=DB_Nutzung!$B$110,DB_Nutzung!C110,IF($N$2=DB_Nutzung!$B$111,DB_Nutzung!C111,IF($N$2=DB_Nutzung!$B$112,DB_Nutzung!C112,IF($N$2=DB_Nutzung!$B$113,DB_Nutzung!C113,DB_Nutzung!C114)))))</f>
        <v>20</v>
      </c>
      <c r="F15" s="47">
        <f>IF($N$2=DB_Nutzung!$B$109,DB_Nutzung!D109,IF($N$2=DB_Nutzung!$B$110,DB_Nutzung!D110,IF($N$2=DB_Nutzung!$B$111,DB_Nutzung!D111,IF($N$2=DB_Nutzung!$B$112,DB_Nutzung!D112,IF($N$2=DB_Nutzung!$B$113,DB_Nutzung!D113,DB_Nutzung!D114)))))</f>
        <v>15</v>
      </c>
      <c r="G15" s="47">
        <f>IF($N$2=DB_Nutzung!$B$109,DB_Nutzung!E109,IF($N$2=DB_Nutzung!$B$110,DB_Nutzung!E110,IF($N$2=DB_Nutzung!$B$111,DB_Nutzung!E111,IF($N$2=DB_Nutzung!$B$112,DB_Nutzung!E112,IF($N$2=DB_Nutzung!$B$113,DB_Nutzung!E113,DB_Nutzung!E114)))))</f>
        <v>25</v>
      </c>
    </row>
    <row r="17" spans="1:14" x14ac:dyDescent="0.35">
      <c r="E17" s="7" t="s">
        <v>194</v>
      </c>
      <c r="F17" s="7" t="s">
        <v>258</v>
      </c>
      <c r="G17" s="7" t="s">
        <v>3</v>
      </c>
      <c r="H17" s="7" t="s">
        <v>143</v>
      </c>
      <c r="I17" s="7" t="s">
        <v>73</v>
      </c>
    </row>
    <row r="18" spans="1:14" x14ac:dyDescent="0.35">
      <c r="D18" t="s">
        <v>256</v>
      </c>
      <c r="E18" s="48">
        <f>E15</f>
        <v>20</v>
      </c>
      <c r="F18" s="48">
        <f>IF(N11=E14,E15,IF(N11=F14,F15,G15))</f>
        <v>20</v>
      </c>
      <c r="G18" s="48">
        <f>E9/IF(F18=0,E18,F18)</f>
        <v>625</v>
      </c>
      <c r="H18" s="43" t="b">
        <f>IF('Ein- und Ausgabe'!J17&lt;&gt;"",'Ein- und Ausgabe'!J17)</f>
        <v>0</v>
      </c>
      <c r="I18" s="50">
        <f>IF(H18&lt;&gt;FALSE,H18,G18)</f>
        <v>625</v>
      </c>
    </row>
    <row r="19" spans="1:14" s="1" customFormat="1" x14ac:dyDescent="0.35">
      <c r="A19" s="2" t="s">
        <v>264</v>
      </c>
    </row>
    <row r="20" spans="1:14" x14ac:dyDescent="0.35">
      <c r="A20">
        <v>1</v>
      </c>
      <c r="B20" s="33" t="s">
        <v>253</v>
      </c>
      <c r="M20" t="s">
        <v>12</v>
      </c>
      <c r="N20" s="30" t="str">
        <f>'Ein- und Ausgabe'!D19</f>
        <v>durchschnittlich</v>
      </c>
    </row>
    <row r="21" spans="1:14" x14ac:dyDescent="0.35">
      <c r="A21">
        <v>2</v>
      </c>
      <c r="B21" s="33" t="s">
        <v>252</v>
      </c>
      <c r="E21" t="s">
        <v>265</v>
      </c>
      <c r="M21" t="s">
        <v>12</v>
      </c>
      <c r="N21" s="30" t="str">
        <f>'Ein- und Ausgabe'!D21</f>
        <v>durchschnittlich</v>
      </c>
    </row>
    <row r="22" spans="1:14" x14ac:dyDescent="0.35">
      <c r="A22">
        <v>3</v>
      </c>
      <c r="B22" s="33" t="s">
        <v>251</v>
      </c>
      <c r="E22" t="s">
        <v>253</v>
      </c>
      <c r="F22" t="s">
        <v>252</v>
      </c>
      <c r="G22" t="s">
        <v>251</v>
      </c>
    </row>
    <row r="23" spans="1:14" x14ac:dyDescent="0.35">
      <c r="D23" t="s">
        <v>260</v>
      </c>
      <c r="E23" s="47">
        <f>IF($N$2=DB_Nutzung!$B$100,DB_Nutzung!F100,IF($N$2=DB_Nutzung!$B$101,DB_Nutzung!F101,IF($N$2=DB_Nutzung!$B$102,DB_Nutzung!F102,IF($N$2=DB_Nutzung!$B$103,DB_Nutzung!F103,IF($N$2=DB_Nutzung!$B$104,DB_Nutzung!F104,DB_Nutzung!F105)))))</f>
        <v>10</v>
      </c>
      <c r="F23" s="47">
        <f>IF($N$2=DB_Nutzung!$B$100,DB_Nutzung!G100,IF($N$2=DB_Nutzung!$B$101,DB_Nutzung!G101,IF($N$2=DB_Nutzung!$B$102,DB_Nutzung!G102,IF($N$2=DB_Nutzung!$B$103,DB_Nutzung!G103,IF($N$2=DB_Nutzung!$B$104,DB_Nutzung!G104,DB_Nutzung!G105)))))</f>
        <v>8</v>
      </c>
      <c r="G23" s="47">
        <f>IF($N$2=DB_Nutzung!$B$100,DB_Nutzung!H100,IF($N$2=DB_Nutzung!$B$101,DB_Nutzung!H101,IF($N$2=DB_Nutzung!$B$102,DB_Nutzung!H102,IF($N$2=DB_Nutzung!$B$103,DB_Nutzung!H103,IF($N$2=DB_Nutzung!$B$104,DB_Nutzung!H104,DB_Nutzung!H105)))))</f>
        <v>12</v>
      </c>
    </row>
    <row r="24" spans="1:14" x14ac:dyDescent="0.35">
      <c r="D24" t="s">
        <v>261</v>
      </c>
      <c r="E24" s="47">
        <f>IF($N$2=DB_Nutzung!$B$100,DB_Nutzung!C100,IF($N$2=DB_Nutzung!$B$101,DB_Nutzung!C101,IF($N$2=DB_Nutzung!$B$102,DB_Nutzung!C102,IF($N$2=DB_Nutzung!$B$103,DB_Nutzung!C103,IF($N$2=DB_Nutzung!$B$104,DB_Nutzung!C104,DB_Nutzung!C105)))))</f>
        <v>200</v>
      </c>
      <c r="F24" s="47">
        <f>IF($N$2=DB_Nutzung!$B$100,DB_Nutzung!D100,IF($N$2=DB_Nutzung!$B$101,DB_Nutzung!D101,IF($N$2=DB_Nutzung!$B$102,DB_Nutzung!D102,IF($N$2=DB_Nutzung!$B$103,DB_Nutzung!D103,IF($N$2=DB_Nutzung!$B$104,DB_Nutzung!D104,DB_Nutzung!D105)))))</f>
        <v>185</v>
      </c>
      <c r="G24" s="47">
        <f>IF($N$2=DB_Nutzung!$B$100,DB_Nutzung!E100,IF($N$2=DB_Nutzung!$B$101,DB_Nutzung!E101,IF($N$2=DB_Nutzung!$B$102,DB_Nutzung!E102,IF($N$2=DB_Nutzung!$B$103,DB_Nutzung!E103,IF($N$2=DB_Nutzung!$B$104,DB_Nutzung!E104,DB_Nutzung!E105)))))</f>
        <v>220</v>
      </c>
    </row>
    <row r="26" spans="1:14" x14ac:dyDescent="0.35">
      <c r="E26" s="7" t="s">
        <v>194</v>
      </c>
      <c r="F26" s="7" t="s">
        <v>258</v>
      </c>
      <c r="G26" s="7" t="s">
        <v>3</v>
      </c>
      <c r="H26" s="7" t="s">
        <v>143</v>
      </c>
      <c r="I26" s="7" t="s">
        <v>73</v>
      </c>
    </row>
    <row r="27" spans="1:14" x14ac:dyDescent="0.35">
      <c r="D27" t="s">
        <v>260</v>
      </c>
      <c r="E27" s="48">
        <f>E23</f>
        <v>10</v>
      </c>
      <c r="F27" s="48">
        <f>IF(N20=E22,E23,IF(N20=F22,F23,G23))</f>
        <v>10</v>
      </c>
      <c r="G27" s="48">
        <f>IF(F27=0,E27,F27)</f>
        <v>10</v>
      </c>
      <c r="H27" s="43" t="b">
        <f>IF('Ein- und Ausgabe'!J19&lt;&gt;"",'Ein- und Ausgabe'!J19)</f>
        <v>0</v>
      </c>
      <c r="I27" s="50">
        <f>IF(H27&lt;&gt;FALSE,H27,IF(F27=0,E27,F27))</f>
        <v>10</v>
      </c>
    </row>
    <row r="28" spans="1:14" x14ac:dyDescent="0.35">
      <c r="D28" t="s">
        <v>261</v>
      </c>
      <c r="E28" s="48">
        <f>E24</f>
        <v>200</v>
      </c>
      <c r="F28" s="48">
        <f>IF(N21=E22,E24,IF(N21=F22,F24,G24))</f>
        <v>200</v>
      </c>
      <c r="G28" s="48">
        <f>IF(F28=0,E28,F28)</f>
        <v>200</v>
      </c>
      <c r="H28" s="43" t="b">
        <f>IF('Ein- und Ausgabe'!J21&lt;&gt;"",'Ein- und Ausgabe'!J21)</f>
        <v>0</v>
      </c>
      <c r="I28" s="50">
        <f>IF(H28&lt;&gt;FALSE,H28,IF(F28=0,E28,F28))</f>
        <v>200</v>
      </c>
    </row>
    <row r="29" spans="1:14" s="1" customFormat="1" x14ac:dyDescent="0.35">
      <c r="A29" s="2" t="s">
        <v>59</v>
      </c>
    </row>
    <row r="30" spans="1:14" x14ac:dyDescent="0.35">
      <c r="A30" s="22">
        <v>1</v>
      </c>
      <c r="B30" s="33" t="str">
        <f>DB_Geometrie!Y138</f>
        <v>1 Büro (allgemein) | GEMOD</v>
      </c>
      <c r="H30" s="7" t="s">
        <v>58</v>
      </c>
      <c r="I30" s="7" t="s">
        <v>72</v>
      </c>
      <c r="J30" s="7" t="s">
        <v>86</v>
      </c>
      <c r="K30" s="7" t="s">
        <v>73</v>
      </c>
      <c r="M30" t="s">
        <v>12</v>
      </c>
      <c r="N30" s="30" t="str">
        <f>'Ein- und Ausgabe'!G25</f>
        <v>4 Schule (weiterführend) | IBP</v>
      </c>
    </row>
    <row r="31" spans="1:14" x14ac:dyDescent="0.35">
      <c r="A31" s="22">
        <v>2</v>
      </c>
      <c r="B31" s="33" t="str">
        <f>DB_Geometrie!Y139</f>
        <v>1 Büro (allgemein) | IBP</v>
      </c>
      <c r="F31" t="s">
        <v>75</v>
      </c>
      <c r="G31" t="s">
        <v>52</v>
      </c>
      <c r="H31" s="44" cm="1">
        <f t="array" ref="H31">INDEX(DB_Geometrie!A138:X155,Berechnung!N31,16)</f>
        <v>0.79732326032714163</v>
      </c>
      <c r="I31" s="44">
        <f>H31</f>
        <v>0.79732326032714163</v>
      </c>
      <c r="K31" s="44">
        <f>K44/K45</f>
        <v>0.79732326032714163</v>
      </c>
      <c r="M31" t="s">
        <v>13</v>
      </c>
      <c r="N31" s="15">
        <f>IF(N30=B30,A30,IF(N30=B31,A31,IF(N30=B32,A32,IF(N30=B33,A33,IF(N30=B34,A34,IF(N30=B35,A35,IF(N30=B36,A36,IF(N30=B37,A37,IF(N30=B38,A38,IF(N30=B39,A39,IF(N30=B40,A40,IF(N30=B41,A41,IF(N30=B42,A42,IF(N30=B43,A43,IF(N30=B44,A44,IF(N30=B45,A45,IF(N30=B46,A46,A47)))))))))))))))))</f>
        <v>15</v>
      </c>
    </row>
    <row r="32" spans="1:14" x14ac:dyDescent="0.35">
      <c r="A32" s="22">
        <v>3</v>
      </c>
      <c r="B32" s="33" t="str">
        <f>DB_Geometrie!Y140</f>
        <v>1 Büro (klein) | ZUB</v>
      </c>
      <c r="G32" t="s">
        <v>53</v>
      </c>
      <c r="H32" s="44" cm="1">
        <f t="array" ref="H32">INDEX(DB_Geometrie!A138:X155,Berechnung!N31,17)</f>
        <v>0.41</v>
      </c>
      <c r="I32" s="44">
        <f t="shared" ref="I32" si="0">H32</f>
        <v>0.41</v>
      </c>
      <c r="K32" s="16">
        <f>K43/K45</f>
        <v>0.41</v>
      </c>
    </row>
    <row r="33" spans="1:11" x14ac:dyDescent="0.35">
      <c r="A33" s="22">
        <v>4</v>
      </c>
      <c r="B33" s="33" t="str">
        <f>DB_Geometrie!Y141</f>
        <v>1 Büro (groß) | ZUB</v>
      </c>
      <c r="G33" t="s">
        <v>33</v>
      </c>
      <c r="H33" s="44" cm="1">
        <f t="array" ref="H33">INDEX(DB_Geometrie!A138:X155,Berechnung!N31,19)</f>
        <v>0.44230294044971585</v>
      </c>
      <c r="I33" s="44">
        <f>H33</f>
        <v>0.44230294044971585</v>
      </c>
      <c r="K33" s="44">
        <f>K38/$E$9</f>
        <v>0.4423029404497158</v>
      </c>
    </row>
    <row r="34" spans="1:11" x14ac:dyDescent="0.35">
      <c r="A34" s="22">
        <v>5</v>
      </c>
      <c r="B34" s="33" t="str">
        <f>DB_Geometrie!Y142</f>
        <v>1 Büro (Atrium) | ZUB</v>
      </c>
      <c r="G34" t="s">
        <v>35</v>
      </c>
      <c r="H34" s="44" cm="1">
        <f t="array" ref="H34">INDEX(DB_Geometrie!A138:X155,Berechnung!N31,20)</f>
        <v>0.28398991372647986</v>
      </c>
      <c r="I34" s="44">
        <f>H34</f>
        <v>0.28398991372647986</v>
      </c>
      <c r="K34" s="44">
        <f>K39/$E$9</f>
        <v>0.28398991372647986</v>
      </c>
    </row>
    <row r="35" spans="1:11" x14ac:dyDescent="0.35">
      <c r="A35" s="22">
        <v>6</v>
      </c>
      <c r="B35" s="33" t="str">
        <f>DB_Geometrie!Y143</f>
        <v>1 Büro (Turm) | ZUB</v>
      </c>
      <c r="G35" t="s">
        <v>36</v>
      </c>
      <c r="H35" s="44" cm="1">
        <f t="array" ref="H35">INDEX(DB_Geometrie!A138:X155,Berechnung!N31,21)</f>
        <v>4.5884066999984228E-2</v>
      </c>
      <c r="I35" s="44">
        <f>H35</f>
        <v>4.5884066999984228E-2</v>
      </c>
      <c r="K35" s="44">
        <f>K40/$E$9</f>
        <v>4.5884066999984222E-2</v>
      </c>
    </row>
    <row r="36" spans="1:11" x14ac:dyDescent="0.35">
      <c r="A36" s="22">
        <v>7</v>
      </c>
      <c r="B36" s="33" t="str">
        <f>DB_Geometrie!Y144</f>
        <v>2 Sporthalle (allgemein) | GEMOD</v>
      </c>
      <c r="G36" t="s">
        <v>37</v>
      </c>
      <c r="H36" s="44" cm="1">
        <f t="array" ref="H36">INDEX(DB_Geometrie!A138:X155,Berechnung!N31,22)</f>
        <v>0.50407709414381019</v>
      </c>
      <c r="I36" s="44">
        <f>H36</f>
        <v>0.50407709414381019</v>
      </c>
      <c r="K36" s="44">
        <f>K41/$E$9</f>
        <v>0.50407709414381019</v>
      </c>
    </row>
    <row r="37" spans="1:11" x14ac:dyDescent="0.35">
      <c r="A37" s="22">
        <v>8</v>
      </c>
      <c r="B37" s="33" t="str">
        <f>DB_Geometrie!Y145</f>
        <v>2 Sporthalle (allgemein) | IBP</v>
      </c>
      <c r="G37" t="s">
        <v>38</v>
      </c>
      <c r="H37" s="44" cm="1">
        <f t="array" ref="H37">INDEX(DB_Geometrie!A138:X155,Berechnung!N31,23)</f>
        <v>0.50630096367679767</v>
      </c>
      <c r="I37" s="44">
        <f>H37</f>
        <v>0.50630096367679767</v>
      </c>
      <c r="K37" s="44">
        <f>K42/$E$9</f>
        <v>0.50630096367679767</v>
      </c>
    </row>
    <row r="38" spans="1:11" x14ac:dyDescent="0.35">
      <c r="A38" s="22">
        <v>9</v>
      </c>
      <c r="B38" s="33" t="str">
        <f>DB_Geometrie!Y146</f>
        <v>2 Sporthalle (Einfeld) | ZUB</v>
      </c>
      <c r="F38" t="s">
        <v>18</v>
      </c>
      <c r="G38" t="s">
        <v>63</v>
      </c>
      <c r="H38" s="45" cm="1">
        <f t="array" ref="H38">INDEX(DB_Geometrie!A138:X155,Berechnung!N31,10)*H33</f>
        <v>1790</v>
      </c>
      <c r="I38" s="45">
        <f>I33*E9</f>
        <v>5528.7867556214478</v>
      </c>
      <c r="J38" s="11" t="b">
        <f>IF('Ein- und Ausgabe'!G29&lt;&gt;"",'Ein- und Ausgabe'!G29)</f>
        <v>0</v>
      </c>
      <c r="K38" s="17">
        <f>IF(J38=FALSE,I38,J38)</f>
        <v>5528.7867556214478</v>
      </c>
    </row>
    <row r="39" spans="1:11" x14ac:dyDescent="0.35">
      <c r="A39" s="22">
        <v>10</v>
      </c>
      <c r="B39" s="33" t="str">
        <f>DB_Geometrie!Y147</f>
        <v>2 Sporthalle (Dreifeld) | ZUB</v>
      </c>
      <c r="G39" t="s">
        <v>20</v>
      </c>
      <c r="H39" s="45" cm="1">
        <f t="array" ref="H39">INDEX(DB_Geometrie!A138:X155,Berechnung!N31,10)*H34</f>
        <v>1149.307180851064</v>
      </c>
      <c r="I39" s="45">
        <f>I34*E9</f>
        <v>3549.8739215809983</v>
      </c>
      <c r="J39" s="11" t="b">
        <f>IF('Ein- und Ausgabe'!G30&lt;&gt;"",'Ein- und Ausgabe'!G30)</f>
        <v>0</v>
      </c>
      <c r="K39" s="17">
        <f t="shared" ref="K39:K45" si="1">IF(J39=FALSE,I39,J39)</f>
        <v>3549.8739215809983</v>
      </c>
    </row>
    <row r="40" spans="1:11" x14ac:dyDescent="0.35">
      <c r="A40" s="22">
        <v>11</v>
      </c>
      <c r="B40" s="33" t="str">
        <f>DB_Geometrie!Y148</f>
        <v>3 KiTa (allgemein) | IBP</v>
      </c>
      <c r="G40" t="s">
        <v>74</v>
      </c>
      <c r="H40" s="45" cm="1">
        <f t="array" ref="H40">INDEX(DB_Geometrie!A138:X155,Berechnung!N31,10)*H35</f>
        <v>185.69281914893617</v>
      </c>
      <c r="I40" s="45">
        <f>I35*E9</f>
        <v>573.55083749980281</v>
      </c>
      <c r="J40" s="11" t="b">
        <f>IF('Ein- und Ausgabe'!G31&lt;&gt;"",'Ein- und Ausgabe'!G31)</f>
        <v>0</v>
      </c>
      <c r="K40" s="17">
        <f t="shared" si="1"/>
        <v>573.55083749980281</v>
      </c>
    </row>
    <row r="41" spans="1:11" x14ac:dyDescent="0.35">
      <c r="A41" s="22">
        <v>12</v>
      </c>
      <c r="B41" s="33" t="str">
        <f>DB_Geometrie!Y149</f>
        <v>3 KiTa (allgemein) | ZUB</v>
      </c>
      <c r="G41" t="s">
        <v>65</v>
      </c>
      <c r="H41" s="45" cm="1">
        <f t="array" ref="H41">INDEX(DB_Geometrie!A138:X155,Berechnung!N31,10)*H36</f>
        <v>2039.9999999999998</v>
      </c>
      <c r="I41" s="45">
        <f>I36*E9</f>
        <v>6300.9636767976272</v>
      </c>
      <c r="J41" s="11" t="b">
        <f>IF('Ein- und Ausgabe'!G32&lt;&gt;"",'Ein- und Ausgabe'!G32)</f>
        <v>0</v>
      </c>
      <c r="K41" s="17">
        <f t="shared" si="1"/>
        <v>6300.9636767976272</v>
      </c>
    </row>
    <row r="42" spans="1:11" x14ac:dyDescent="0.35">
      <c r="A42" s="22">
        <v>13</v>
      </c>
      <c r="B42" s="33" t="str">
        <f>DB_Geometrie!Y150</f>
        <v>4 Schule (allgemein) | GEMOD</v>
      </c>
      <c r="G42" t="s">
        <v>66</v>
      </c>
      <c r="H42" s="45" cm="1">
        <f t="array" ref="H42">INDEX(DB_Geometrie!A138:X155,Berechnung!N31,10)*H37</f>
        <v>2049</v>
      </c>
      <c r="I42" s="45">
        <f>I37*E9</f>
        <v>6328.7620459599711</v>
      </c>
      <c r="J42" s="11" t="b">
        <f>IF('Ein- und Ausgabe'!G33&lt;&gt;"",'Ein- und Ausgabe'!G33)</f>
        <v>0</v>
      </c>
      <c r="K42" s="17">
        <f>IF(J42=FALSE,I42,J42)</f>
        <v>6328.7620459599711</v>
      </c>
    </row>
    <row r="43" spans="1:11" x14ac:dyDescent="0.35">
      <c r="A43" s="22">
        <v>14</v>
      </c>
      <c r="B43" s="33" t="str">
        <f>DB_Geometrie!Y151</f>
        <v>4 Schule (Grund-) | IBP</v>
      </c>
      <c r="G43" t="s">
        <v>77</v>
      </c>
      <c r="H43" s="45">
        <f>SUM(H38:H42)</f>
        <v>7214</v>
      </c>
      <c r="I43" s="45">
        <f>SUM(I38:I42)</f>
        <v>22281.937237459846</v>
      </c>
      <c r="K43" s="17">
        <f>SUM(K38:K42)</f>
        <v>22281.937237459846</v>
      </c>
    </row>
    <row r="44" spans="1:11" x14ac:dyDescent="0.35">
      <c r="A44" s="22">
        <v>15</v>
      </c>
      <c r="B44" s="33" t="str">
        <f>DB_Geometrie!Y152</f>
        <v>4 Schule (weiterführend) | IBP</v>
      </c>
      <c r="F44" t="s">
        <v>29</v>
      </c>
      <c r="G44" t="s">
        <v>28</v>
      </c>
      <c r="H44" s="45" cm="1">
        <f t="array" ref="H44">INDEX(DB_Geometrie!A138:X155,Berechnung!N31,12)</f>
        <v>14029</v>
      </c>
      <c r="I44" s="45">
        <f>I45*I31</f>
        <v>43331.480108722506</v>
      </c>
      <c r="J44" s="11" t="b">
        <f>IF('Ein- und Ausgabe'!G36&lt;&gt;"",'Ein- und Ausgabe'!G36)</f>
        <v>0</v>
      </c>
      <c r="K44" s="17">
        <f t="shared" si="1"/>
        <v>43331.480108722506</v>
      </c>
    </row>
    <row r="45" spans="1:11" x14ac:dyDescent="0.35">
      <c r="A45" s="22">
        <v>16</v>
      </c>
      <c r="B45" s="33" t="str">
        <f>DB_Geometrie!Y153</f>
        <v>4 Schule (Berufs-) | IBP</v>
      </c>
      <c r="G45" t="s">
        <v>51</v>
      </c>
      <c r="H45" s="45" cm="1">
        <f t="array" ref="H45">INDEX(DB_Geometrie!A138:X155,Berechnung!N31,13)</f>
        <v>17595.121951219513</v>
      </c>
      <c r="I45" s="45">
        <f>I43/I32</f>
        <v>54346.188384048408</v>
      </c>
      <c r="J45" s="11" t="b">
        <f>IF('Ein- und Ausgabe'!G37&lt;&gt;"",'Ein- und Ausgabe'!G37)</f>
        <v>0</v>
      </c>
      <c r="K45" s="17">
        <f t="shared" si="1"/>
        <v>54346.188384048408</v>
      </c>
    </row>
    <row r="46" spans="1:11" x14ac:dyDescent="0.35">
      <c r="A46" s="22">
        <v>17</v>
      </c>
      <c r="B46" s="33" t="str">
        <f>DB_Geometrie!Y154</f>
        <v>4 Schule (klein) | ZUB</v>
      </c>
      <c r="F46" t="s">
        <v>69</v>
      </c>
      <c r="H46" s="44">
        <f>H39/(H38+H39)</f>
        <v>0.39101295309947393</v>
      </c>
      <c r="I46" s="44">
        <f>I39/(I38+I39)</f>
        <v>0.39101295309947393</v>
      </c>
      <c r="K46" s="16">
        <f>K39/(K38+K39)</f>
        <v>0.39101295309947393</v>
      </c>
    </row>
    <row r="47" spans="1:11" x14ac:dyDescent="0.35">
      <c r="A47" s="22">
        <v>18</v>
      </c>
      <c r="B47" s="33" t="str">
        <f>DB_Geometrie!Y155</f>
        <v>4 Schule (groß) | ZUB</v>
      </c>
      <c r="F47" t="s">
        <v>80</v>
      </c>
      <c r="H47" s="44">
        <f>H39/E9</f>
        <v>9.1944574468085113E-2</v>
      </c>
      <c r="I47" s="44">
        <f>I39/E9</f>
        <v>0.28398991372647986</v>
      </c>
      <c r="K47" s="16">
        <f>K39/E9</f>
        <v>0.28398991372647986</v>
      </c>
    </row>
    <row r="48" spans="1:11" x14ac:dyDescent="0.35">
      <c r="F48" t="s">
        <v>174</v>
      </c>
      <c r="H48" s="44" cm="1">
        <f t="array" ref="H48">INDEX(DB_Geometrie!A138:X155,Berechnung!N31,15)</f>
        <v>3.4665184086978007</v>
      </c>
      <c r="I48" s="44">
        <f>H48</f>
        <v>3.4665184086978007</v>
      </c>
      <c r="K48" s="16">
        <f>K44/E9</f>
        <v>3.4665184086978003</v>
      </c>
    </row>
    <row r="49" spans="1:14" s="1" customFormat="1" x14ac:dyDescent="0.35">
      <c r="A49" s="2" t="s">
        <v>188</v>
      </c>
    </row>
    <row r="50" spans="1:14" x14ac:dyDescent="0.35">
      <c r="A50" s="22">
        <v>1</v>
      </c>
      <c r="B50" s="34" t="str">
        <f>DB_Hülle!B53</f>
        <v>bis 1859</v>
      </c>
      <c r="C50" s="22">
        <v>1</v>
      </c>
      <c r="D50" s="33" t="str">
        <f>DB_Hülle!B70</f>
        <v>gemäß Altersklasse</v>
      </c>
      <c r="E50" s="22">
        <v>1</v>
      </c>
      <c r="F50" s="33" t="str">
        <f>DB_Hülle!B80</f>
        <v>gemäß Altersklasse</v>
      </c>
      <c r="G50" s="22">
        <v>1</v>
      </c>
      <c r="H50" s="33" t="str">
        <f>DB_Hülle!B90</f>
        <v>gemäß Altersklasse</v>
      </c>
      <c r="M50" t="s">
        <v>121</v>
      </c>
      <c r="N50" s="30" t="str">
        <f>'Ein- und Ausgabe'!G46</f>
        <v>richtig gut</v>
      </c>
    </row>
    <row r="51" spans="1:14" x14ac:dyDescent="0.35">
      <c r="A51" s="22">
        <v>2</v>
      </c>
      <c r="B51" s="34" t="str">
        <f>DB_Hülle!B54</f>
        <v>1860 bis 1918</v>
      </c>
      <c r="C51" s="22">
        <v>2</v>
      </c>
      <c r="D51" s="33" t="str">
        <f>DB_Hülle!B71</f>
        <v>minimal (ca. 2 … 4 cm Dämmung)</v>
      </c>
      <c r="E51" s="22">
        <v>2</v>
      </c>
      <c r="F51" s="33" t="str">
        <f>DB_Hülle!B81</f>
        <v>minimal (Einscheibenverglasung)</v>
      </c>
      <c r="G51" s="22">
        <v>2</v>
      </c>
      <c r="H51" s="33" t="str">
        <f>DB_Hülle!B91</f>
        <v>minimal (bis 1970er)</v>
      </c>
      <c r="M51" t="s">
        <v>13</v>
      </c>
      <c r="N51" s="15">
        <f>IF(N50=B50,A50,IF(N50=B51,A51,IF(N50=B52,A52,IF(N50=B53,A53,IF(N50=B54,A54,IF(N50=B55,A55,IF(N50=B56,A56,IF(N50=B57,A57,IF(N50=B58,A58,IF(N50=B59,A59,IF(N50=B60,A60,IF(N50=B61,A61,IF(N50=B62,A62,A63)))))))))))))</f>
        <v>13</v>
      </c>
    </row>
    <row r="52" spans="1:14" x14ac:dyDescent="0.35">
      <c r="A52" s="22">
        <v>3</v>
      </c>
      <c r="B52" s="34" t="str">
        <f>DB_Hülle!B55</f>
        <v>1919 bis 1948</v>
      </c>
      <c r="C52" s="22">
        <v>3</v>
      </c>
      <c r="D52" s="33" t="str">
        <f>DB_Hülle!B72</f>
        <v>mäßig (ca. 5 … 7 cm Dämmung)</v>
      </c>
      <c r="E52" s="22">
        <v>3</v>
      </c>
      <c r="F52" s="33" t="str">
        <f>DB_Hülle!B82</f>
        <v>mäßig (2-Scheiben-Iso)</v>
      </c>
      <c r="G52" s="22">
        <v>3</v>
      </c>
      <c r="H52" s="33" t="str">
        <f>DB_Hülle!B92</f>
        <v>mäßig (1980er )</v>
      </c>
    </row>
    <row r="53" spans="1:14" x14ac:dyDescent="0.35">
      <c r="A53" s="22">
        <v>4</v>
      </c>
      <c r="B53" s="34" t="str">
        <f>DB_Hülle!B56</f>
        <v>1949 bis 1957</v>
      </c>
      <c r="C53" s="22">
        <v>4</v>
      </c>
      <c r="D53" s="33" t="str">
        <f>DB_Hülle!B73</f>
        <v>mittel (ca. 8 … 11 cm Dämmung)</v>
      </c>
      <c r="E53" s="22">
        <v>4</v>
      </c>
      <c r="F53" s="33" t="str">
        <f>DB_Hülle!B83</f>
        <v>mittel (2-Scheiben-Wärmeschutz 90er)</v>
      </c>
      <c r="G53" s="22">
        <v>4</v>
      </c>
      <c r="H53" s="33" t="str">
        <f>DB_Hülle!B93</f>
        <v>mittel (1990er)</v>
      </c>
      <c r="M53" t="s">
        <v>122</v>
      </c>
      <c r="N53" s="31" t="str">
        <f>'Ein- und Ausgabe'!D50</f>
        <v>gemäß Altersklasse</v>
      </c>
    </row>
    <row r="54" spans="1:14" x14ac:dyDescent="0.35">
      <c r="A54" s="22">
        <v>5</v>
      </c>
      <c r="B54" s="34" t="str">
        <f>DB_Hülle!B57</f>
        <v>1958 bis 1968</v>
      </c>
      <c r="C54" s="22">
        <v>5</v>
      </c>
      <c r="D54" s="33" t="str">
        <f>DB_Hülle!B74</f>
        <v>gut (ca. 12 … 15 cm Dämmung)</v>
      </c>
      <c r="E54" s="22">
        <v>5</v>
      </c>
      <c r="F54" s="33" t="str">
        <f>DB_Hülle!B84</f>
        <v>gut (2-Scheiben-Wärmeschutz neu)</v>
      </c>
      <c r="G54" s="22">
        <v>5</v>
      </c>
      <c r="H54" s="33" t="str">
        <f>DB_Hülle!B94</f>
        <v>gut (2000er)</v>
      </c>
      <c r="M54" t="s">
        <v>13</v>
      </c>
      <c r="N54" s="15">
        <f>IF(N53=D50,C50,IF(N53=D51,C51,IF(N53=D52,C52,IF(N53=D53,C53,IF(N53=D54,C54,IF(N53=D55,C55,C56))))))</f>
        <v>1</v>
      </c>
    </row>
    <row r="55" spans="1:14" x14ac:dyDescent="0.35">
      <c r="A55" s="22">
        <v>6</v>
      </c>
      <c r="B55" s="34" t="str">
        <f>DB_Hülle!B58</f>
        <v>1969 bis 1978</v>
      </c>
      <c r="C55" s="22">
        <v>6</v>
      </c>
      <c r="D55" s="33" t="str">
        <f>DB_Hülle!B75</f>
        <v>sehr gut (ca. 16 … 20 cm Dämmung)</v>
      </c>
      <c r="E55" s="22">
        <v>6</v>
      </c>
      <c r="F55" s="33" t="str">
        <f>DB_Hülle!B85</f>
        <v>sehr gut (3-Scheiben-Wärmeschutz)</v>
      </c>
      <c r="G55" s="22">
        <v>6</v>
      </c>
      <c r="H55" s="33" t="str">
        <f>DB_Hülle!B95</f>
        <v>sehr gut (2020er)</v>
      </c>
    </row>
    <row r="56" spans="1:14" x14ac:dyDescent="0.35">
      <c r="A56" s="22">
        <v>7</v>
      </c>
      <c r="B56" s="34" t="str">
        <f>DB_Hülle!B59</f>
        <v>1979 bis 1983</v>
      </c>
      <c r="C56" s="22">
        <v>7</v>
      </c>
      <c r="D56" s="33" t="str">
        <f>DB_Hülle!B76</f>
        <v>best (ca. 20 … 30 cm Dämmung)</v>
      </c>
      <c r="E56" s="22">
        <v>7</v>
      </c>
      <c r="F56" s="33" t="str">
        <f>DB_Hülle!B86</f>
        <v>best (Passivhaus)</v>
      </c>
      <c r="G56" s="22">
        <v>7</v>
      </c>
      <c r="H56" s="33" t="str">
        <f>DB_Hülle!B96</f>
        <v>best (Passivhaus)</v>
      </c>
      <c r="M56" t="s">
        <v>139</v>
      </c>
      <c r="N56" s="31" t="str">
        <f>'Ein- und Ausgabe'!D52</f>
        <v>gemäß Altersklasse</v>
      </c>
    </row>
    <row r="57" spans="1:14" x14ac:dyDescent="0.35">
      <c r="A57" s="22">
        <v>8</v>
      </c>
      <c r="B57" s="34" t="str">
        <f>DB_Hülle!B60</f>
        <v>1984 bis 1994</v>
      </c>
      <c r="M57" t="s">
        <v>13</v>
      </c>
      <c r="N57" s="15">
        <f>IF(N56=F50,E50,IF(N56=F51,E51,IF(N56=F52,E52,IF(N56=F53,E53,IF(N56=F54,E54,IF(N56=F55,E55,E56))))))</f>
        <v>1</v>
      </c>
    </row>
    <row r="58" spans="1:14" x14ac:dyDescent="0.35">
      <c r="A58" s="22">
        <v>9</v>
      </c>
      <c r="B58" s="34" t="str">
        <f>DB_Hülle!B61</f>
        <v>1995 bis 2001</v>
      </c>
    </row>
    <row r="59" spans="1:14" x14ac:dyDescent="0.35">
      <c r="A59" s="22">
        <v>10</v>
      </c>
      <c r="B59" s="34" t="str">
        <f>DB_Hülle!B62</f>
        <v>2002 bis 2009</v>
      </c>
      <c r="M59" t="s">
        <v>140</v>
      </c>
      <c r="N59" s="31" t="str">
        <f>'Ein- und Ausgabe'!D54</f>
        <v>gemäß Altersklasse</v>
      </c>
    </row>
    <row r="60" spans="1:14" x14ac:dyDescent="0.35">
      <c r="A60" s="22">
        <v>11</v>
      </c>
      <c r="B60" s="34" t="str">
        <f>DB_Hülle!B63</f>
        <v>2010 bis 2020</v>
      </c>
      <c r="M60" t="s">
        <v>13</v>
      </c>
      <c r="N60" s="15">
        <f>IF(N59=H50,G50,IF(N59=H51,G51,IF(N59=H52,G52,IF(N59=H53,G53,IF(N59=H54,G54,IF(N59=H55,G55,G56))))))</f>
        <v>1</v>
      </c>
    </row>
    <row r="61" spans="1:14" x14ac:dyDescent="0.35">
      <c r="A61" s="22">
        <v>12</v>
      </c>
      <c r="B61" s="34" t="str">
        <f>DB_Hülle!B64</f>
        <v>ab 2020</v>
      </c>
      <c r="E61" s="7" t="s">
        <v>141</v>
      </c>
      <c r="F61" s="7" t="s">
        <v>142</v>
      </c>
      <c r="G61" s="7" t="s">
        <v>3</v>
      </c>
      <c r="H61" s="7" t="s">
        <v>143</v>
      </c>
      <c r="I61" s="7" t="s">
        <v>73</v>
      </c>
    </row>
    <row r="62" spans="1:14" x14ac:dyDescent="0.35">
      <c r="A62" s="22">
        <v>13</v>
      </c>
      <c r="B62" s="34" t="str">
        <f>DB_Hülle!B65</f>
        <v>richtig gut</v>
      </c>
      <c r="D62" t="s">
        <v>19</v>
      </c>
      <c r="E62" s="44" cm="1">
        <f t="array" ref="E62">INDEX(DB_Hülle!A53:G66,N51,3)</f>
        <v>0.15</v>
      </c>
      <c r="F62" s="45" cm="1">
        <f t="array" ref="F62">INDEX(DB_Hülle!A70:C76,N54,3)</f>
        <v>0</v>
      </c>
      <c r="G62" s="44">
        <f>IF(F62=0,E62,F62)</f>
        <v>0.15</v>
      </c>
      <c r="H62" s="11" t="b">
        <f>IF('Ein- und Ausgabe'!J50&lt;&gt;"",'Ein- und Ausgabe'!J50)</f>
        <v>0</v>
      </c>
      <c r="I62" s="16">
        <f>IF(H62&lt;&gt;FALSE,H62,IF(F62=0,E62,F62))</f>
        <v>0.15</v>
      </c>
      <c r="M62" t="s">
        <v>123</v>
      </c>
      <c r="N62" s="31" t="str">
        <f>'Ein- und Ausgabe'!D56</f>
        <v>gemäß Altersklasse</v>
      </c>
    </row>
    <row r="63" spans="1:14" x14ac:dyDescent="0.35">
      <c r="A63" s="22">
        <v>14</v>
      </c>
      <c r="B63" s="34" t="str">
        <f>DB_Hülle!B66</f>
        <v>best</v>
      </c>
      <c r="D63" t="s">
        <v>20</v>
      </c>
      <c r="E63" s="44" cm="1">
        <f t="array" ref="E63">INDEX(DB_Hülle!A53:G66,N51,4)</f>
        <v>0.85</v>
      </c>
      <c r="F63" s="45" cm="1">
        <f t="array" ref="F63">INDEX(DB_Hülle!A80:C86,N57,3)</f>
        <v>0</v>
      </c>
      <c r="G63" s="44">
        <f t="shared" ref="G63:G66" si="2">IF(F63=0,E63,F63)</f>
        <v>0.85</v>
      </c>
      <c r="H63" s="11" t="b">
        <f>IF('Ein- und Ausgabe'!J52&lt;&gt;"",'Ein- und Ausgabe'!J52)</f>
        <v>0</v>
      </c>
      <c r="I63" s="16">
        <f>IF(H63&lt;&gt;FALSE,H63,IF(F63=0,E63,F63))</f>
        <v>0.85</v>
      </c>
      <c r="M63" t="s">
        <v>13</v>
      </c>
      <c r="N63" s="15">
        <f>IF(N62=D50,C50,IF(N62=D51,C51,IF(N62=D52,C52,IF(N62=D53,C53,IF(N62=D54,C54,IF(N62=D55,C55,C56))))))</f>
        <v>1</v>
      </c>
    </row>
    <row r="64" spans="1:14" x14ac:dyDescent="0.35">
      <c r="D64" t="s">
        <v>21</v>
      </c>
      <c r="E64" s="44" cm="1">
        <f t="array" ref="E64">INDEX(DB_Hülle!A53:G66,N51,5)</f>
        <v>1.3</v>
      </c>
      <c r="F64" s="45" cm="1">
        <f t="array" ref="F64">INDEX(DB_Hülle!A90:C96,N60,3)</f>
        <v>0</v>
      </c>
      <c r="G64" s="44">
        <f t="shared" si="2"/>
        <v>1.3</v>
      </c>
      <c r="H64" s="11" t="b">
        <f>IF('Ein- und Ausgabe'!J54&lt;&gt;"",'Ein- und Ausgabe'!J54)</f>
        <v>0</v>
      </c>
      <c r="I64" s="16">
        <f>IF(H64&lt;&gt;FALSE,H64,IF(F64=0,E64,F64))</f>
        <v>1.3</v>
      </c>
    </row>
    <row r="65" spans="1:14" x14ac:dyDescent="0.35">
      <c r="D65" t="s">
        <v>22</v>
      </c>
      <c r="E65" s="44" cm="1">
        <f t="array" ref="E65">INDEX(DB_Hülle!A53:G66,N51,6)</f>
        <v>0.15</v>
      </c>
      <c r="F65" s="45" cm="1">
        <f t="array" ref="F65">INDEX(DB_Hülle!A70:C76,N63,3)</f>
        <v>0</v>
      </c>
      <c r="G65" s="44">
        <f t="shared" si="2"/>
        <v>0.15</v>
      </c>
      <c r="H65" s="11" t="b">
        <f>IF('Ein- und Ausgabe'!J56&lt;&gt;"",'Ein- und Ausgabe'!J56)</f>
        <v>0</v>
      </c>
      <c r="I65" s="16">
        <f>IF(H65&lt;&gt;FALSE,H65,IF(F65=0,E65,F65))</f>
        <v>0.15</v>
      </c>
      <c r="M65" t="s">
        <v>124</v>
      </c>
      <c r="N65" s="31" t="str">
        <f>'Ein- und Ausgabe'!D58</f>
        <v>gemäß Altersklasse</v>
      </c>
    </row>
    <row r="66" spans="1:14" x14ac:dyDescent="0.35">
      <c r="D66" t="s">
        <v>23</v>
      </c>
      <c r="E66" s="44" cm="1">
        <f t="array" ref="E66">INDEX(DB_Hülle!A53:G66,N51,7)</f>
        <v>0.15</v>
      </c>
      <c r="F66" s="45" cm="1">
        <f t="array" ref="F66">INDEX(DB_Hülle!A70:C76,N66,3)</f>
        <v>0</v>
      </c>
      <c r="G66" s="44">
        <f t="shared" si="2"/>
        <v>0.15</v>
      </c>
      <c r="H66" s="11" t="b">
        <f>IF('Ein- und Ausgabe'!J58&lt;&gt;"",'Ein- und Ausgabe'!J58)</f>
        <v>0</v>
      </c>
      <c r="I66" s="16">
        <f>IF(H66&lt;&gt;FALSE,H66,IF(F66=0,E66,F66))</f>
        <v>0.15</v>
      </c>
      <c r="M66" t="s">
        <v>13</v>
      </c>
      <c r="N66" s="15">
        <f>IF(N65=D50,C50,IF(N65=D51,C51,IF(N65=D52,C52,IF(N65=D53,C53,IF(N65=D54,C54,IF(N65=D55,C55,C56))))))</f>
        <v>1</v>
      </c>
    </row>
    <row r="67" spans="1:14" s="1" customFormat="1" x14ac:dyDescent="0.35">
      <c r="A67" s="2" t="s">
        <v>203</v>
      </c>
    </row>
    <row r="68" spans="1:14" x14ac:dyDescent="0.35">
      <c r="C68" s="7" t="s">
        <v>204</v>
      </c>
      <c r="D68" s="7" t="s">
        <v>120</v>
      </c>
      <c r="E68" s="7" t="s">
        <v>205</v>
      </c>
      <c r="F68" s="7" t="s">
        <v>165</v>
      </c>
      <c r="G68" s="7" t="s">
        <v>244</v>
      </c>
    </row>
    <row r="69" spans="1:14" x14ac:dyDescent="0.35">
      <c r="C69" s="7" t="s">
        <v>62</v>
      </c>
      <c r="D69" s="7" t="s">
        <v>106</v>
      </c>
      <c r="E69" s="7" t="s">
        <v>206</v>
      </c>
      <c r="F69" s="7" t="s">
        <v>207</v>
      </c>
      <c r="G69" s="7" t="s">
        <v>106</v>
      </c>
    </row>
    <row r="70" spans="1:14" x14ac:dyDescent="0.35">
      <c r="B70" t="s">
        <v>19</v>
      </c>
      <c r="C70" s="45">
        <f t="shared" ref="C70:C75" si="3">K38</f>
        <v>5528.7867556214478</v>
      </c>
      <c r="D70" s="44">
        <f>I62</f>
        <v>0.15</v>
      </c>
      <c r="E70" s="44">
        <f>K80</f>
        <v>1</v>
      </c>
      <c r="F70" s="45">
        <f>C70*D70*E70</f>
        <v>829.3180133432171</v>
      </c>
      <c r="G70" s="44">
        <f>F70/$C$75</f>
        <v>3.721929581369559E-2</v>
      </c>
    </row>
    <row r="71" spans="1:14" x14ac:dyDescent="0.35">
      <c r="B71" t="s">
        <v>20</v>
      </c>
      <c r="C71" s="45">
        <f t="shared" si="3"/>
        <v>3549.8739215809983</v>
      </c>
      <c r="D71" s="44">
        <f>I63</f>
        <v>0.85</v>
      </c>
      <c r="E71" s="44">
        <f t="shared" ref="E71:E74" si="4">K81</f>
        <v>1</v>
      </c>
      <c r="F71" s="45">
        <f>C71*D71*E71</f>
        <v>3017.3928333438485</v>
      </c>
      <c r="G71" s="44">
        <f t="shared" ref="G71:G74" si="5">F71/$C$75</f>
        <v>0.13541878343823183</v>
      </c>
    </row>
    <row r="72" spans="1:14" x14ac:dyDescent="0.35">
      <c r="B72" t="s">
        <v>21</v>
      </c>
      <c r="C72" s="45">
        <f t="shared" si="3"/>
        <v>573.55083749980281</v>
      </c>
      <c r="D72" s="44">
        <f>I64</f>
        <v>1.3</v>
      </c>
      <c r="E72" s="44">
        <f t="shared" si="4"/>
        <v>1</v>
      </c>
      <c r="F72" s="45">
        <f>C72*D72*E72</f>
        <v>745.61608874974365</v>
      </c>
      <c r="G72" s="44">
        <f t="shared" si="5"/>
        <v>3.3462803561632525E-2</v>
      </c>
    </row>
    <row r="73" spans="1:14" x14ac:dyDescent="0.35">
      <c r="B73" t="s">
        <v>22</v>
      </c>
      <c r="C73" s="45">
        <f t="shared" si="3"/>
        <v>6300.9636767976272</v>
      </c>
      <c r="D73" s="44">
        <f>I65</f>
        <v>0.15</v>
      </c>
      <c r="E73" s="44">
        <f t="shared" si="4"/>
        <v>0.9</v>
      </c>
      <c r="F73" s="45">
        <f>C73*D73*E73</f>
        <v>850.63009636767958</v>
      </c>
      <c r="G73" s="44">
        <f t="shared" si="5"/>
        <v>3.8175769337399496E-2</v>
      </c>
    </row>
    <row r="74" spans="1:14" x14ac:dyDescent="0.35">
      <c r="B74" t="s">
        <v>23</v>
      </c>
      <c r="C74" s="45">
        <f t="shared" si="3"/>
        <v>6328.7620459599711</v>
      </c>
      <c r="D74" s="44">
        <f>I66</f>
        <v>0.15</v>
      </c>
      <c r="E74" s="44">
        <f t="shared" si="4"/>
        <v>0.5</v>
      </c>
      <c r="F74" s="45">
        <f>C74*D74*E74</f>
        <v>474.65715344699782</v>
      </c>
      <c r="G74" s="44">
        <f t="shared" si="5"/>
        <v>2.1302328805101196E-2</v>
      </c>
    </row>
    <row r="75" spans="1:14" x14ac:dyDescent="0.35">
      <c r="B75" t="s">
        <v>78</v>
      </c>
      <c r="C75" s="45">
        <f t="shared" si="3"/>
        <v>22281.937237459846</v>
      </c>
      <c r="F75" s="17">
        <f>SUM(F70:F74)</f>
        <v>5917.6141852514866</v>
      </c>
      <c r="G75" s="16">
        <f>F75/$C$75</f>
        <v>0.26557898095606064</v>
      </c>
    </row>
    <row r="76" spans="1:14" s="1" customFormat="1" x14ac:dyDescent="0.35">
      <c r="A76" s="2" t="s">
        <v>229</v>
      </c>
    </row>
    <row r="77" spans="1:14" x14ac:dyDescent="0.35">
      <c r="A77">
        <v>1</v>
      </c>
      <c r="B77" s="33" t="str">
        <f>'DB_QS&amp;Rest'!B57</f>
        <v>gemäß pauschaler Bewertung</v>
      </c>
      <c r="M77" t="s">
        <v>122</v>
      </c>
      <c r="N77" s="31" t="str">
        <f>'Ein- und Ausgabe'!D80</f>
        <v>gemäß pauschaler Bewertung</v>
      </c>
    </row>
    <row r="78" spans="1:14" x14ac:dyDescent="0.35">
      <c r="A78">
        <v>2</v>
      </c>
      <c r="B78" s="33" t="str">
        <f>'DB_QS&amp;Rest'!B58</f>
        <v>1,0 (angrenzend: Außenluft)</v>
      </c>
      <c r="M78" t="s">
        <v>13</v>
      </c>
      <c r="N78" s="15">
        <f>IF(N77=B77,A77,IF(N77=B78,A78,IF(N77=B79,A79,IF(N77=B80,A80,IF(N77=B81,A81,IF(N77=B82,A82,IF(N77=B83,A83,A84)))))))</f>
        <v>1</v>
      </c>
    </row>
    <row r="79" spans="1:14" x14ac:dyDescent="0.35">
      <c r="A79">
        <v>3</v>
      </c>
      <c r="B79" s="33" t="str">
        <f>'DB_QS&amp;Rest'!B59</f>
        <v>0,9 (angrenzend: teils Außenluft &amp; Dachraum)</v>
      </c>
      <c r="G79" s="7" t="s">
        <v>231</v>
      </c>
      <c r="H79" s="7" t="s">
        <v>142</v>
      </c>
      <c r="I79" s="7" t="s">
        <v>3</v>
      </c>
      <c r="J79" s="7" t="s">
        <v>143</v>
      </c>
      <c r="K79" s="7" t="s">
        <v>73</v>
      </c>
    </row>
    <row r="80" spans="1:14" x14ac:dyDescent="0.35">
      <c r="A80">
        <v>4</v>
      </c>
      <c r="B80" s="33" t="str">
        <f>'DB_QS&amp;Rest'!B60</f>
        <v>0,8 (angenzend: unbeheizter Dachraum)</v>
      </c>
      <c r="F80" t="s">
        <v>19</v>
      </c>
      <c r="G80" s="44">
        <f>'DB_QS&amp;Rest'!E67</f>
        <v>1</v>
      </c>
      <c r="H80" s="45" cm="1">
        <f t="array" ref="H80">INDEX('DB_QS&amp;Rest'!A57:C64,N78,3)</f>
        <v>0</v>
      </c>
      <c r="I80" s="45">
        <f>IF(H80=0,G80,H80)</f>
        <v>1</v>
      </c>
      <c r="J80" s="10" t="b">
        <f>IF('Ein- und Ausgabe'!J80&lt;&gt;"",'Ein- und Ausgabe'!J80)</f>
        <v>0</v>
      </c>
      <c r="K80" s="16">
        <f>IF(J80&lt;&gt;FALSE,J80,IF(H80=0,G80,H80))</f>
        <v>1</v>
      </c>
      <c r="M80" t="s">
        <v>139</v>
      </c>
      <c r="N80" s="31" t="str">
        <f>'Ein- und Ausgabe'!D82</f>
        <v>gemäß pauschaler Bewertung</v>
      </c>
    </row>
    <row r="81" spans="1:14" x14ac:dyDescent="0.35">
      <c r="A81">
        <v>5</v>
      </c>
      <c r="B81" s="33" t="str">
        <f>'DB_QS&amp;Rest'!B61</f>
        <v>0,6 (angrenzend: unbeheizter Keller)</v>
      </c>
      <c r="F81" t="s">
        <v>20</v>
      </c>
      <c r="G81" s="44">
        <f>'DB_QS&amp;Rest'!E67</f>
        <v>1</v>
      </c>
      <c r="H81" s="45" cm="1">
        <f t="array" ref="H81">INDEX('DB_QS&amp;Rest'!A57:C64,N81,3)</f>
        <v>0</v>
      </c>
      <c r="I81" s="45">
        <f>IF(H81=0,G81,H81)</f>
        <v>1</v>
      </c>
      <c r="J81" s="10" t="b">
        <f>IF('Ein- und Ausgabe'!J82&lt;&gt;"",'Ein- und Ausgabe'!J82)</f>
        <v>0</v>
      </c>
      <c r="K81" s="16">
        <f>IF(J81&lt;&gt;FALSE,J81,IF(H81=0,G81,H81))</f>
        <v>1</v>
      </c>
      <c r="M81" t="s">
        <v>13</v>
      </c>
      <c r="N81" s="15">
        <f>IF(N80=B77,A77,IF(N80=B78,A78,IF(N80=B79,A79,IF(N80=B80,A80,IF(N80=B81,A81,IF(N80=B82,A82,IF(N80=B83,A83,A84)))))))</f>
        <v>1</v>
      </c>
    </row>
    <row r="82" spans="1:14" x14ac:dyDescent="0.35">
      <c r="A82">
        <v>6</v>
      </c>
      <c r="B82" s="33" t="str">
        <f>'DB_QS&amp;Rest'!B62</f>
        <v>0,5 (angrenzend: Treppen oder teils Keller &amp; Erdreich)</v>
      </c>
      <c r="F82" t="s">
        <v>21</v>
      </c>
      <c r="G82" s="44">
        <f>'DB_QS&amp;Rest'!E67</f>
        <v>1</v>
      </c>
      <c r="H82" s="45" cm="1">
        <f t="array" ref="H82">INDEX('DB_QS&amp;Rest'!A57:C64,N84,3)</f>
        <v>0</v>
      </c>
      <c r="I82" s="45">
        <f>IF(H82=0,G82,H82)</f>
        <v>1</v>
      </c>
      <c r="J82" s="10" t="b">
        <f>IF('Ein- und Ausgabe'!J84&lt;&gt;"",'Ein- und Ausgabe'!J84)</f>
        <v>0</v>
      </c>
      <c r="K82" s="16">
        <f>IF(J82&lt;&gt;FALSE,J82,IF(H82=0,G82,H82))</f>
        <v>1</v>
      </c>
    </row>
    <row r="83" spans="1:14" x14ac:dyDescent="0.35">
      <c r="A83">
        <v>7</v>
      </c>
      <c r="B83" s="33" t="str">
        <f>'DB_QS&amp;Rest'!B63</f>
        <v>0,4 (angrenzend: Erdreich)</v>
      </c>
      <c r="F83" t="s">
        <v>22</v>
      </c>
      <c r="G83" s="44">
        <f>'DB_QS&amp;Rest'!E69</f>
        <v>0.9</v>
      </c>
      <c r="H83" s="45" cm="1">
        <f t="array" ref="H83">INDEX('DB_QS&amp;Rest'!A57:C64,N87,3)</f>
        <v>0</v>
      </c>
      <c r="I83" s="45">
        <f>IF(H83=0,G83,H83)</f>
        <v>0.9</v>
      </c>
      <c r="J83" s="10" t="b">
        <f>IF('Ein- und Ausgabe'!J86&lt;&gt;"",'Ein- und Ausgabe'!J86)</f>
        <v>0</v>
      </c>
      <c r="K83" s="16">
        <f>IF(J83&lt;&gt;FALSE,J83,IF(H83=0,G83,H83))</f>
        <v>0.9</v>
      </c>
      <c r="M83" t="s">
        <v>140</v>
      </c>
      <c r="N83" s="31" t="str">
        <f>'Ein- und Ausgabe'!D84</f>
        <v>gemäß pauschaler Bewertung</v>
      </c>
    </row>
    <row r="84" spans="1:14" x14ac:dyDescent="0.35">
      <c r="A84">
        <v>8</v>
      </c>
      <c r="B84" s="33" t="str">
        <f>'DB_QS&amp;Rest'!B64</f>
        <v>0,0 (andere beheizte Gebäude)</v>
      </c>
      <c r="F84" t="s">
        <v>23</v>
      </c>
      <c r="G84" s="44">
        <f>'DB_QS&amp;Rest'!E68</f>
        <v>0.5</v>
      </c>
      <c r="H84" s="45" cm="1">
        <f t="array" ref="H84">INDEX('DB_QS&amp;Rest'!A57:C64,N90,3)</f>
        <v>0</v>
      </c>
      <c r="I84" s="45">
        <f>IF(H84=0,G84,H84)</f>
        <v>0.5</v>
      </c>
      <c r="J84" s="10" t="b">
        <f>IF('Ein- und Ausgabe'!J88&lt;&gt;"",'Ein- und Ausgabe'!J88)</f>
        <v>0</v>
      </c>
      <c r="K84" s="16">
        <f>IF(J84&lt;&gt;FALSE,J84,IF(H84=0,G84,H84))</f>
        <v>0.5</v>
      </c>
      <c r="M84" t="s">
        <v>13</v>
      </c>
      <c r="N84" s="15">
        <f>IF(N83=B77,A77,IF(N83=B78,A78,IF(N83=B79,A79,IF(N83=B80,A80,IF(N83=B81,A81,IF(N83=B82,A82,IF(N83=B83,A83,A84)))))))</f>
        <v>1</v>
      </c>
    </row>
    <row r="86" spans="1:14" x14ac:dyDescent="0.35">
      <c r="M86" t="s">
        <v>123</v>
      </c>
      <c r="N86" s="31" t="str">
        <f>'Ein- und Ausgabe'!D86</f>
        <v>gemäß pauschaler Bewertung</v>
      </c>
    </row>
    <row r="87" spans="1:14" x14ac:dyDescent="0.35">
      <c r="M87" t="s">
        <v>13</v>
      </c>
      <c r="N87" s="15">
        <f>IF(N86=B77,A77,IF(N86=B78,A78,IF(N86=B79,A79,IF(N86=B80,A80,IF(N86=B81,A81,IF(N80=B82,A82,IF(N80=B83,A83,A84)))))))</f>
        <v>1</v>
      </c>
    </row>
    <row r="89" spans="1:14" x14ac:dyDescent="0.35">
      <c r="M89" t="s">
        <v>124</v>
      </c>
      <c r="N89" s="31" t="str">
        <f>'Ein- und Ausgabe'!D88</f>
        <v>gemäß pauschaler Bewertung</v>
      </c>
    </row>
    <row r="90" spans="1:14" x14ac:dyDescent="0.35">
      <c r="M90" t="s">
        <v>13</v>
      </c>
      <c r="N90" s="15">
        <f>IF(N89=B77,A77,IF(N89=B78,A78,IF(N89=B79,A79,IF(N89=B80,A80,IF(N89=B81,A81,IF(N89=B82,A82,IF(N89=B83,A83,A84)))))))</f>
        <v>1</v>
      </c>
    </row>
    <row r="91" spans="1:14" s="1" customFormat="1" x14ac:dyDescent="0.35">
      <c r="A91" s="2" t="s">
        <v>271</v>
      </c>
    </row>
    <row r="92" spans="1:14" x14ac:dyDescent="0.35">
      <c r="A92">
        <v>1</v>
      </c>
      <c r="B92" s="33" t="s">
        <v>287</v>
      </c>
      <c r="C92">
        <v>1</v>
      </c>
      <c r="D92" s="33" t="s">
        <v>197</v>
      </c>
      <c r="M92" t="s">
        <v>121</v>
      </c>
      <c r="N92" s="30" t="str">
        <f>'Ein- und Ausgabe'!G62</f>
        <v>Fensterlüftung (ggf. zusätzlich Abluftanlage)</v>
      </c>
    </row>
    <row r="93" spans="1:14" x14ac:dyDescent="0.35">
      <c r="A93">
        <v>2</v>
      </c>
      <c r="B93" s="33" t="s">
        <v>288</v>
      </c>
      <c r="C93">
        <v>2</v>
      </c>
      <c r="D93" s="33" t="s">
        <v>294</v>
      </c>
      <c r="M93" t="s">
        <v>13</v>
      </c>
      <c r="N93" s="15">
        <f>IF(N92=B92,A92,A93)</f>
        <v>1</v>
      </c>
    </row>
    <row r="94" spans="1:14" x14ac:dyDescent="0.35">
      <c r="C94">
        <v>3</v>
      </c>
      <c r="D94" s="33" t="s">
        <v>293</v>
      </c>
    </row>
    <row r="95" spans="1:14" x14ac:dyDescent="0.35">
      <c r="M95" t="s">
        <v>12</v>
      </c>
      <c r="N95" s="30" t="str">
        <f>'Ein- und Ausgabe'!D66</f>
        <v>gemäß pauschaler Bewertung</v>
      </c>
    </row>
    <row r="96" spans="1:14" x14ac:dyDescent="0.35">
      <c r="E96" t="s">
        <v>296</v>
      </c>
    </row>
    <row r="97" spans="1:14" x14ac:dyDescent="0.35">
      <c r="E97" t="str">
        <f>D92</f>
        <v>gemäß pauschaler Bewertung</v>
      </c>
      <c r="F97" t="str">
        <f>D93</f>
        <v>geringe Lüftung</v>
      </c>
      <c r="G97" t="str">
        <f>D94</f>
        <v>höhere Lüftung</v>
      </c>
    </row>
    <row r="98" spans="1:14" x14ac:dyDescent="0.35">
      <c r="D98" t="s">
        <v>20</v>
      </c>
      <c r="E98" s="52">
        <f>IF($N$2=DB_Nutzung!$B$109,DB_Nutzung!C109,IF($N$2=DB_Nutzung!$B$110,DB_Nutzung!C110,IF($N$2=DB_Nutzung!$B$111,DB_Nutzung!C111,IF($N$2=DB_Nutzung!$B$112,DB_Nutzung!C112,IF($N$2=DB_Nutzung!$B$113,DB_Nutzung!C113,DB_Nutzung!C114)))))</f>
        <v>20</v>
      </c>
      <c r="F98" s="52">
        <f>IF($N$2=DB_Nutzung!$B$109,DB_Nutzung!D109,IF($N$2=DB_Nutzung!$B$110,DB_Nutzung!D110,IF($N$2=DB_Nutzung!$B$111,DB_Nutzung!D111,IF($N$2=DB_Nutzung!$B$112,DB_Nutzung!D112,IF($N$2=DB_Nutzung!$B$113,DB_Nutzung!D113,DB_Nutzung!D114)))))</f>
        <v>15</v>
      </c>
      <c r="G98" s="52">
        <f>IF($N$2=DB_Nutzung!$B$109,DB_Nutzung!E109,IF($N$2=DB_Nutzung!$B$110,DB_Nutzung!E110,IF($N$2=DB_Nutzung!$B$111,DB_Nutzung!E111,IF($N$2=DB_Nutzung!$B$112,DB_Nutzung!E112,IF($N$2=DB_Nutzung!$B$113,DB_Nutzung!E113,DB_Nutzung!E114)))))</f>
        <v>25</v>
      </c>
    </row>
    <row r="99" spans="1:14" x14ac:dyDescent="0.35">
      <c r="D99" t="s">
        <v>295</v>
      </c>
      <c r="E99" s="52">
        <f>IF($N$2=DB_Nutzung!$B$109,DB_Nutzung!F109,IF($N$2=DB_Nutzung!$B$110,DB_Nutzung!F110,IF($N$2=DB_Nutzung!$B$111,DB_Nutzung!F111,IF($N$2=DB_Nutzung!$B$112,DB_Nutzung!F112,IF($N$2=DB_Nutzung!$B$113,DB_Nutzung!F113,DB_Nutzung!F114)))))</f>
        <v>40</v>
      </c>
      <c r="F99" s="52">
        <f>IF($N$2=DB_Nutzung!$B$109,DB_Nutzung!G109,IF($N$2=DB_Nutzung!$B$110,DB_Nutzung!G110,IF($N$2=DB_Nutzung!$B$111,DB_Nutzung!G111,IF($N$2=DB_Nutzung!$B$112,DB_Nutzung!G112,IF($N$2=DB_Nutzung!$B$113,DB_Nutzung!G113,DB_Nutzung!G114)))))</f>
        <v>35</v>
      </c>
      <c r="G99" s="52">
        <f>IF($N$2=DB_Nutzung!$B$109,DB_Nutzung!H109,IF($N$2=DB_Nutzung!$B$110,DB_Nutzung!H110,IF($N$2=DB_Nutzung!$B$111,DB_Nutzung!H111,IF($N$2=DB_Nutzung!$B$112,DB_Nutzung!H112,IF($N$2=DB_Nutzung!$B$113,DB_Nutzung!H113,DB_Nutzung!H114)))))</f>
        <v>45</v>
      </c>
    </row>
    <row r="100" spans="1:14" x14ac:dyDescent="0.35">
      <c r="D100" t="s">
        <v>73</v>
      </c>
      <c r="E100" s="52">
        <f>IF(N93=1,E98,E99)</f>
        <v>20</v>
      </c>
      <c r="F100" s="52">
        <f>IF(N93=1,F98,F99)</f>
        <v>15</v>
      </c>
      <c r="G100" s="52">
        <f>IF(N93=1,G98,G99)</f>
        <v>25</v>
      </c>
    </row>
    <row r="102" spans="1:14" x14ac:dyDescent="0.35">
      <c r="E102" s="7" t="s">
        <v>231</v>
      </c>
      <c r="F102" s="7" t="s">
        <v>258</v>
      </c>
      <c r="G102" s="7" t="s">
        <v>3</v>
      </c>
      <c r="H102" s="7" t="s">
        <v>143</v>
      </c>
      <c r="I102" s="7" t="s">
        <v>73</v>
      </c>
    </row>
    <row r="103" spans="1:14" x14ac:dyDescent="0.35">
      <c r="D103" t="s">
        <v>240</v>
      </c>
      <c r="E103" s="48">
        <f>E98</f>
        <v>20</v>
      </c>
      <c r="F103" s="48">
        <f>IF(N95=E97,E98,IF(N95=F97,F98,G98))</f>
        <v>20</v>
      </c>
      <c r="G103" s="48">
        <f>IF(F103=0,E103,F103)</f>
        <v>20</v>
      </c>
      <c r="H103" s="43" t="b">
        <f>IF('Ein- und Ausgabe'!J66&lt;&gt;"",'Ein- und Ausgabe'!J66)</f>
        <v>0</v>
      </c>
      <c r="I103" s="50">
        <f>IF(H103&lt;&gt;FALSE,H103,IF(F103=0,E103,F103))</f>
        <v>20</v>
      </c>
    </row>
    <row r="105" spans="1:14" x14ac:dyDescent="0.35">
      <c r="D105" t="s">
        <v>297</v>
      </c>
      <c r="G105" s="7" t="s">
        <v>3</v>
      </c>
      <c r="H105" s="7" t="s">
        <v>143</v>
      </c>
      <c r="I105" s="7" t="s">
        <v>73</v>
      </c>
    </row>
    <row r="106" spans="1:14" x14ac:dyDescent="0.35">
      <c r="G106" s="44">
        <f>'DB_QS&amp;Rest'!E84</f>
        <v>0.85</v>
      </c>
      <c r="H106" s="10" t="b">
        <f>IF('Ein- und Ausgabe'!J68&lt;&gt;"",'Ein- und Ausgabe'!J68)</f>
        <v>0</v>
      </c>
      <c r="I106" s="16">
        <f>IF(N93=1,0,IF(H106&lt;&gt;FALSE,H106,G106))</f>
        <v>0</v>
      </c>
    </row>
    <row r="107" spans="1:14" s="1" customFormat="1" x14ac:dyDescent="0.35">
      <c r="A107" s="2" t="s">
        <v>187</v>
      </c>
    </row>
    <row r="108" spans="1:14" x14ac:dyDescent="0.35">
      <c r="A108">
        <v>1</v>
      </c>
      <c r="B108" s="33" t="s">
        <v>189</v>
      </c>
      <c r="C108">
        <v>1</v>
      </c>
      <c r="D108" s="33" t="str">
        <f>'DB_QS&amp;Rest'!B43</f>
        <v>gemäß pauschaler Bewertung</v>
      </c>
      <c r="E108">
        <v>1</v>
      </c>
      <c r="F108" s="33" t="str">
        <f>'DB_QS&amp;Rest'!B73</f>
        <v>gemäß pauschaler Bewertung</v>
      </c>
      <c r="M108" t="s">
        <v>121</v>
      </c>
      <c r="N108" s="30" t="str">
        <f>'Ein- und Ausgabe'!G72</f>
        <v>ja</v>
      </c>
    </row>
    <row r="109" spans="1:14" x14ac:dyDescent="0.35">
      <c r="A109">
        <v>2</v>
      </c>
      <c r="B109" s="33" t="s">
        <v>190</v>
      </c>
      <c r="C109">
        <v>2</v>
      </c>
      <c r="D109" s="33" t="str">
        <f>'DB_QS&amp;Rest'!B44</f>
        <v>sehr hoch (über ca. 0,10 W/(m²K) Zuschlag)</v>
      </c>
      <c r="E109">
        <v>2</v>
      </c>
      <c r="F109" s="33" t="str">
        <f>'DB_QS&amp;Rest'!B74</f>
        <v>eher undichtes Bestandsgebäude (über ca. 0,35 m³/(m²h) Leckagevolumenstrom)</v>
      </c>
      <c r="M109" t="s">
        <v>13</v>
      </c>
      <c r="N109" s="15">
        <f>IF(N108=B108,A108,A109)</f>
        <v>1</v>
      </c>
    </row>
    <row r="110" spans="1:14" x14ac:dyDescent="0.35">
      <c r="C110">
        <v>3</v>
      </c>
      <c r="D110" s="33" t="str">
        <f>'DB_QS&amp;Rest'!B45</f>
        <v>hoch (ca. 0,06 … 0,10 W/(m²K) Zuschlag)</v>
      </c>
      <c r="E110">
        <v>3</v>
      </c>
      <c r="F110" s="33" t="str">
        <f>'DB_QS&amp;Rest'!B75</f>
        <v>übliche Dichtheit des Bestandes (ca. 0,2 … 0,35 m³/(m²h) Leckagevolumenstrom)</v>
      </c>
    </row>
    <row r="111" spans="1:14" x14ac:dyDescent="0.35">
      <c r="C111">
        <v>4</v>
      </c>
      <c r="D111" s="33" t="str">
        <f>'DB_QS&amp;Rest'!B46</f>
        <v>mittel (ca. 0,03 … 0,05 W/(m²K) Zuschlag)</v>
      </c>
      <c r="E111">
        <v>4</v>
      </c>
      <c r="F111" s="33" t="str">
        <f>'DB_QS&amp;Rest'!B76</f>
        <v>neubauähnliche Gebäudedichtheit (ca. 0,1 … 0,2 m³/(m²h) Leckagevolumenstrom)</v>
      </c>
      <c r="M111" t="s">
        <v>215</v>
      </c>
      <c r="N111" s="30" t="str">
        <f>'Ein- und Ausgabe'!D76</f>
        <v>gemäß pauschaler Bewertung</v>
      </c>
    </row>
    <row r="112" spans="1:14" x14ac:dyDescent="0.35">
      <c r="C112">
        <v>5</v>
      </c>
      <c r="D112" s="33" t="str">
        <f>'DB_QS&amp;Rest'!B47</f>
        <v>gering (ca. 0,00 … 0,02 W/(m²K) Zuschlag)</v>
      </c>
      <c r="E112">
        <v>5</v>
      </c>
      <c r="F112" s="33" t="str">
        <f>'DB_QS&amp;Rest'!B77</f>
        <v>sehr hohe Dichtheit (unter ca. 0,1 m³/(m²h) Leckagevolumenstrom)</v>
      </c>
      <c r="M112" t="s">
        <v>13</v>
      </c>
      <c r="N112" s="15">
        <f>IF(N111=D108,C108,IF(N111=D109,C109,IF(N111=D110,C110,IF(N111=D111,C111,IF(N111=D112,C112,C113)))))</f>
        <v>1</v>
      </c>
    </row>
    <row r="113" spans="1:14" x14ac:dyDescent="0.35">
      <c r="C113">
        <v>6</v>
      </c>
      <c r="D113" s="33" t="str">
        <f>'DB_QS&amp;Rest'!B48</f>
        <v>minimal (ca. 0,00 W/(m²K) Zuschlag)</v>
      </c>
    </row>
    <row r="114" spans="1:14" x14ac:dyDescent="0.35">
      <c r="M114" t="s">
        <v>276</v>
      </c>
      <c r="N114" s="30" t="str">
        <f>'Ein- und Ausgabe'!D78</f>
        <v>gemäß pauschaler Bewertung</v>
      </c>
    </row>
    <row r="115" spans="1:14" x14ac:dyDescent="0.35">
      <c r="A115" t="s">
        <v>216</v>
      </c>
      <c r="C115">
        <v>1</v>
      </c>
      <c r="D115" s="38">
        <f>'DB_QS&amp;Rest'!E51*'DB_QS&amp;Rest'!G89+'DB_QS&amp;Rest'!E53</f>
        <v>2.6000000000000002E-2</v>
      </c>
      <c r="E115" t="s">
        <v>106</v>
      </c>
      <c r="F115" s="16">
        <f>'DB_QS&amp;Rest'!E80</f>
        <v>0.12</v>
      </c>
      <c r="G115" t="s">
        <v>280</v>
      </c>
      <c r="M115" t="s">
        <v>13</v>
      </c>
      <c r="N115" s="15">
        <f>IF(N114=F108,E108,IF(N114=F109,E109,IF(N114=F110,E110,IF(N114=F111,E111,E112))))</f>
        <v>1</v>
      </c>
    </row>
    <row r="116" spans="1:14" x14ac:dyDescent="0.35">
      <c r="A116" t="s">
        <v>194</v>
      </c>
      <c r="C116">
        <v>2</v>
      </c>
      <c r="D116" s="38">
        <f>'DB_QS&amp;Rest'!F51*Berechnung!G75+'DB_QS&amp;Rest'!F53</f>
        <v>5.1721050952196972E-2</v>
      </c>
      <c r="E116" t="s">
        <v>106</v>
      </c>
      <c r="F116" s="16">
        <f>'DB_QS&amp;Rest'!F80</f>
        <v>0.25</v>
      </c>
      <c r="G116" t="s">
        <v>280</v>
      </c>
    </row>
    <row r="118" spans="1:14" x14ac:dyDescent="0.35">
      <c r="E118" t="s">
        <v>194</v>
      </c>
      <c r="F118" t="s">
        <v>195</v>
      </c>
      <c r="G118" t="s">
        <v>3</v>
      </c>
      <c r="H118" t="s">
        <v>143</v>
      </c>
      <c r="I118" t="s">
        <v>73</v>
      </c>
    </row>
    <row r="119" spans="1:14" x14ac:dyDescent="0.35">
      <c r="D119" t="s">
        <v>192</v>
      </c>
      <c r="E119" s="46">
        <f>IF(N109=C115,D115,D116)</f>
        <v>2.6000000000000002E-2</v>
      </c>
      <c r="F119" s="46" cm="1">
        <f t="array" ref="F119">INDEX('DB_QS&amp;Rest'!A43:C48,N112,3)</f>
        <v>0</v>
      </c>
      <c r="G119" s="46">
        <f>IF(F119=0,E119,F119)</f>
        <v>2.6000000000000002E-2</v>
      </c>
      <c r="H119" s="41" t="b">
        <f>IF('Ein- und Ausgabe'!J76&lt;&gt;"",'Ein- und Ausgabe'!J76)</f>
        <v>0</v>
      </c>
      <c r="I119" s="38">
        <f>IF(H119&lt;&gt;FALSE,H119,IF(F119=0,E119,F119))</f>
        <v>2.6000000000000002E-2</v>
      </c>
      <c r="J119" t="s">
        <v>106</v>
      </c>
    </row>
    <row r="120" spans="1:14" x14ac:dyDescent="0.35">
      <c r="D120" t="s">
        <v>281</v>
      </c>
      <c r="E120" s="44">
        <f>IF(N109=C115,F115,F116)</f>
        <v>0.12</v>
      </c>
      <c r="F120" s="44" cm="1">
        <f t="array" ref="F120">INDEX('DB_QS&amp;Rest'!A73:C77,N115,3)</f>
        <v>0</v>
      </c>
      <c r="G120" s="44">
        <f>IF(F120=0,E120,F120)</f>
        <v>0.12</v>
      </c>
      <c r="H120" s="10" t="b">
        <f>IF('Ein- und Ausgabe'!J78&lt;&gt;"",'Ein- und Ausgabe'!J78)</f>
        <v>0</v>
      </c>
      <c r="I120" s="16">
        <f>IF(H120&lt;&gt;FALSE,H120,IF(F120=0,E120,F120))</f>
        <v>0.12</v>
      </c>
      <c r="J120" t="s">
        <v>280</v>
      </c>
    </row>
    <row r="121" spans="1:14" s="1" customFormat="1" x14ac:dyDescent="0.35">
      <c r="A121" s="2" t="s">
        <v>166</v>
      </c>
    </row>
    <row r="122" spans="1:14" x14ac:dyDescent="0.35">
      <c r="C122" s="7" t="s">
        <v>204</v>
      </c>
      <c r="D122" s="7" t="s">
        <v>120</v>
      </c>
      <c r="E122" s="7" t="s">
        <v>205</v>
      </c>
      <c r="F122" s="7" t="s">
        <v>165</v>
      </c>
      <c r="G122" s="7" t="s">
        <v>208</v>
      </c>
    </row>
    <row r="123" spans="1:14" x14ac:dyDescent="0.35">
      <c r="C123" s="7" t="s">
        <v>62</v>
      </c>
      <c r="D123" s="7" t="s">
        <v>106</v>
      </c>
      <c r="E123" s="7" t="s">
        <v>206</v>
      </c>
      <c r="F123" s="7" t="s">
        <v>207</v>
      </c>
      <c r="G123" s="7" t="s">
        <v>106</v>
      </c>
    </row>
    <row r="124" spans="1:14" x14ac:dyDescent="0.35">
      <c r="A124" t="s">
        <v>81</v>
      </c>
      <c r="B124" s="20" t="s">
        <v>239</v>
      </c>
      <c r="F124" s="45">
        <f>F75</f>
        <v>5917.6141852514866</v>
      </c>
    </row>
    <row r="125" spans="1:14" x14ac:dyDescent="0.35">
      <c r="B125" t="s">
        <v>192</v>
      </c>
      <c r="C125" s="45">
        <f>C75</f>
        <v>22281.937237459846</v>
      </c>
      <c r="D125" s="46">
        <f>I119</f>
        <v>2.6000000000000002E-2</v>
      </c>
      <c r="E125" s="47">
        <v>1</v>
      </c>
      <c r="F125" s="45">
        <f>C125*D125*E125</f>
        <v>579.330368173956</v>
      </c>
    </row>
    <row r="126" spans="1:14" x14ac:dyDescent="0.35">
      <c r="B126" t="s">
        <v>78</v>
      </c>
      <c r="F126" s="45">
        <f>F124+F125</f>
        <v>6496.9445534254428</v>
      </c>
      <c r="G126" s="44">
        <f>F126/$E$9</f>
        <v>0.51975556427403546</v>
      </c>
    </row>
    <row r="128" spans="1:14" x14ac:dyDescent="0.35">
      <c r="C128" s="7" t="s">
        <v>240</v>
      </c>
      <c r="D128" s="7" t="s">
        <v>242</v>
      </c>
      <c r="E128" s="7" t="s">
        <v>299</v>
      </c>
      <c r="F128" s="7" t="s">
        <v>238</v>
      </c>
    </row>
    <row r="129" spans="1:14" x14ac:dyDescent="0.35">
      <c r="C129" s="7" t="s">
        <v>241</v>
      </c>
      <c r="D129" s="7" t="s">
        <v>243</v>
      </c>
      <c r="E129" s="7" t="s">
        <v>206</v>
      </c>
      <c r="F129" s="7" t="s">
        <v>207</v>
      </c>
    </row>
    <row r="130" spans="1:14" x14ac:dyDescent="0.35">
      <c r="A130" t="s">
        <v>173</v>
      </c>
      <c r="B130" t="s">
        <v>298</v>
      </c>
      <c r="C130" s="48">
        <f>I18*I103*(1-I106)</f>
        <v>12500</v>
      </c>
      <c r="D130" s="47">
        <v>0.34</v>
      </c>
      <c r="E130" s="46">
        <f>I27*I28/8760</f>
        <v>0.22831050228310501</v>
      </c>
      <c r="F130" s="45">
        <f>C130*D130*E130</f>
        <v>970.31963470319624</v>
      </c>
    </row>
    <row r="131" spans="1:14" x14ac:dyDescent="0.35">
      <c r="B131" t="s">
        <v>245</v>
      </c>
      <c r="C131" s="48">
        <f>I120*K43</f>
        <v>2673.8324684951813</v>
      </c>
      <c r="D131" s="47">
        <v>0.34</v>
      </c>
      <c r="E131" s="46">
        <v>1</v>
      </c>
      <c r="F131" s="48">
        <f>C131*D131*E131</f>
        <v>909.10303928836174</v>
      </c>
    </row>
    <row r="132" spans="1:14" x14ac:dyDescent="0.35">
      <c r="B132" t="s">
        <v>78</v>
      </c>
      <c r="F132" s="45">
        <f>F130+F131</f>
        <v>1879.422673991558</v>
      </c>
      <c r="G132" s="44">
        <f>F132/$E$9</f>
        <v>0.15035381391932465</v>
      </c>
    </row>
    <row r="134" spans="1:14" x14ac:dyDescent="0.35">
      <c r="A134" t="s">
        <v>78</v>
      </c>
      <c r="F134" s="17">
        <f>F132+F126</f>
        <v>8376.3672274170003</v>
      </c>
      <c r="G134" s="16">
        <f>F134/$E$9</f>
        <v>0.67010937819336003</v>
      </c>
    </row>
    <row r="135" spans="1:14" s="1" customFormat="1" x14ac:dyDescent="0.35">
      <c r="A135" s="2" t="s">
        <v>302</v>
      </c>
    </row>
    <row r="136" spans="1:14" x14ac:dyDescent="0.35">
      <c r="C136" t="s">
        <v>304</v>
      </c>
      <c r="E136" s="7" t="s">
        <v>208</v>
      </c>
      <c r="F136" s="7" t="s">
        <v>305</v>
      </c>
      <c r="G136" t="s">
        <v>303</v>
      </c>
    </row>
    <row r="137" spans="1:14" x14ac:dyDescent="0.35">
      <c r="E137" s="7" t="s">
        <v>106</v>
      </c>
    </row>
    <row r="138" spans="1:14" x14ac:dyDescent="0.35">
      <c r="C138" s="45">
        <f>N3</f>
        <v>3</v>
      </c>
      <c r="E138" s="44">
        <f>G134</f>
        <v>0.67010937819336003</v>
      </c>
      <c r="F138" s="48">
        <f>VLOOKUP(C138,DB_Ampel_Temp!A3:C8,3)</f>
        <v>2</v>
      </c>
      <c r="G138" s="17">
        <f>ROUND(F138*E138,1)</f>
        <v>1.3</v>
      </c>
    </row>
    <row r="139" spans="1:14" s="1" customFormat="1" x14ac:dyDescent="0.35">
      <c r="A139" s="2" t="s">
        <v>311</v>
      </c>
    </row>
    <row r="140" spans="1:14" x14ac:dyDescent="0.35">
      <c r="C140" t="s">
        <v>304</v>
      </c>
      <c r="E140" s="7" t="s">
        <v>208</v>
      </c>
      <c r="F140" s="7" t="s">
        <v>308</v>
      </c>
      <c r="G140" s="7" t="s">
        <v>309</v>
      </c>
      <c r="H140" t="s">
        <v>310</v>
      </c>
      <c r="J140" s="7" t="s">
        <v>308</v>
      </c>
      <c r="K140" s="7" t="s">
        <v>309</v>
      </c>
      <c r="L140" t="s">
        <v>313</v>
      </c>
    </row>
    <row r="141" spans="1:14" x14ac:dyDescent="0.35">
      <c r="E141" s="7" t="s">
        <v>106</v>
      </c>
      <c r="H141" t="s">
        <v>312</v>
      </c>
      <c r="L141" t="s">
        <v>312</v>
      </c>
    </row>
    <row r="142" spans="1:14" x14ac:dyDescent="0.35">
      <c r="C142" s="45">
        <f>N3</f>
        <v>3</v>
      </c>
      <c r="E142" s="44">
        <f>G134</f>
        <v>0.67010937819336003</v>
      </c>
      <c r="F142" s="48">
        <f>VLOOKUP(C142,DB_Ampel_Temp!A11:D16,3)</f>
        <v>13</v>
      </c>
      <c r="G142" s="48">
        <f>VLOOKUP(C142,DB_Ampel_Temp!A11:D16,4)</f>
        <v>40</v>
      </c>
      <c r="H142" s="50">
        <f>ROUND(F142*E142+G142,0)</f>
        <v>49</v>
      </c>
      <c r="J142" s="48">
        <f>VLOOKUP(C142,DB_Ampel_Temp!A19:D24,3)</f>
        <v>9</v>
      </c>
      <c r="K142" s="48">
        <f>VLOOKUP(C142,DB_Ampel_Temp!A19:D24,4)</f>
        <v>35</v>
      </c>
      <c r="L142" s="50">
        <f>ROUND(J142*E142+K142,0)</f>
        <v>41</v>
      </c>
      <c r="N142" s="56"/>
    </row>
  </sheetData>
  <pageMargins left="0.7" right="0.7" top="0.78740157499999996" bottom="0.78740157499999996"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2937C5-4C20-42F9-9432-12F726C688D7}">
  <sheetPr>
    <tabColor theme="0"/>
  </sheetPr>
  <dimension ref="A1:D24"/>
  <sheetViews>
    <sheetView showGridLines="0" zoomScale="70" zoomScaleNormal="70" workbookViewId="0">
      <selection activeCell="A17" sqref="A17"/>
    </sheetView>
  </sheetViews>
  <sheetFormatPr baseColWidth="10" defaultRowHeight="14.5" x14ac:dyDescent="0.35"/>
  <sheetData>
    <row r="1" spans="1:4" s="1" customFormat="1" x14ac:dyDescent="0.35">
      <c r="A1" s="2" t="s">
        <v>302</v>
      </c>
      <c r="D1" s="2"/>
    </row>
    <row r="2" spans="1:4" x14ac:dyDescent="0.35">
      <c r="A2" s="18" t="s">
        <v>76</v>
      </c>
      <c r="B2" s="3" t="s">
        <v>146</v>
      </c>
      <c r="C2" s="3" t="s">
        <v>301</v>
      </c>
    </row>
    <row r="3" spans="1:4" x14ac:dyDescent="0.35">
      <c r="A3" s="7">
        <v>1</v>
      </c>
      <c r="B3" s="20" t="s">
        <v>6</v>
      </c>
      <c r="C3">
        <v>2</v>
      </c>
    </row>
    <row r="4" spans="1:4" x14ac:dyDescent="0.35">
      <c r="A4" s="7">
        <v>2</v>
      </c>
      <c r="B4" s="20" t="s">
        <v>7</v>
      </c>
      <c r="C4">
        <v>1.5</v>
      </c>
    </row>
    <row r="5" spans="1:4" x14ac:dyDescent="0.35">
      <c r="A5" s="7">
        <v>3</v>
      </c>
      <c r="B5" s="20" t="s">
        <v>8</v>
      </c>
      <c r="C5">
        <v>2</v>
      </c>
    </row>
    <row r="6" spans="1:4" x14ac:dyDescent="0.35">
      <c r="A6" s="7">
        <v>4</v>
      </c>
      <c r="B6" s="20" t="s">
        <v>9</v>
      </c>
      <c r="C6">
        <v>3</v>
      </c>
    </row>
    <row r="7" spans="1:4" x14ac:dyDescent="0.35">
      <c r="A7" s="7">
        <v>5</v>
      </c>
      <c r="B7" s="20" t="s">
        <v>10</v>
      </c>
      <c r="C7">
        <v>1.5</v>
      </c>
    </row>
    <row r="8" spans="1:4" x14ac:dyDescent="0.35">
      <c r="A8" s="7">
        <v>6</v>
      </c>
      <c r="B8" s="20" t="s">
        <v>11</v>
      </c>
      <c r="C8">
        <v>3</v>
      </c>
    </row>
    <row r="9" spans="1:4" s="1" customFormat="1" x14ac:dyDescent="0.35">
      <c r="A9" s="2" t="s">
        <v>307</v>
      </c>
      <c r="D9" s="2"/>
    </row>
    <row r="10" spans="1:4" x14ac:dyDescent="0.35">
      <c r="A10" s="18" t="s">
        <v>76</v>
      </c>
      <c r="B10" s="3" t="s">
        <v>146</v>
      </c>
      <c r="C10" s="3" t="s">
        <v>308</v>
      </c>
      <c r="D10" s="3" t="s">
        <v>309</v>
      </c>
    </row>
    <row r="11" spans="1:4" x14ac:dyDescent="0.35">
      <c r="A11" s="7">
        <v>1</v>
      </c>
      <c r="B11" s="20" t="s">
        <v>6</v>
      </c>
      <c r="C11">
        <v>13</v>
      </c>
      <c r="D11">
        <v>40</v>
      </c>
    </row>
    <row r="12" spans="1:4" x14ac:dyDescent="0.35">
      <c r="A12" s="7">
        <v>2</v>
      </c>
      <c r="B12" s="20" t="s">
        <v>7</v>
      </c>
      <c r="C12">
        <v>10</v>
      </c>
      <c r="D12">
        <f>D11</f>
        <v>40</v>
      </c>
    </row>
    <row r="13" spans="1:4" x14ac:dyDescent="0.35">
      <c r="A13" s="7">
        <v>3</v>
      </c>
      <c r="B13" s="20" t="s">
        <v>8</v>
      </c>
      <c r="C13">
        <v>13</v>
      </c>
      <c r="D13">
        <f>D12</f>
        <v>40</v>
      </c>
    </row>
    <row r="14" spans="1:4" x14ac:dyDescent="0.35">
      <c r="A14" s="7">
        <v>4</v>
      </c>
      <c r="B14" s="20" t="s">
        <v>9</v>
      </c>
      <c r="C14">
        <v>21</v>
      </c>
      <c r="D14">
        <f>D13</f>
        <v>40</v>
      </c>
    </row>
    <row r="15" spans="1:4" x14ac:dyDescent="0.35">
      <c r="A15" s="7">
        <v>5</v>
      </c>
      <c r="B15" s="20" t="s">
        <v>10</v>
      </c>
      <c r="C15">
        <v>10</v>
      </c>
      <c r="D15">
        <f t="shared" ref="D15:D16" si="0">D14</f>
        <v>40</v>
      </c>
    </row>
    <row r="16" spans="1:4" x14ac:dyDescent="0.35">
      <c r="A16" s="7">
        <v>6</v>
      </c>
      <c r="B16" s="20" t="s">
        <v>11</v>
      </c>
      <c r="C16">
        <v>21</v>
      </c>
      <c r="D16">
        <f t="shared" si="0"/>
        <v>40</v>
      </c>
    </row>
    <row r="17" spans="1:4" s="1" customFormat="1" x14ac:dyDescent="0.35">
      <c r="A17" s="2" t="s">
        <v>322</v>
      </c>
      <c r="D17" s="2"/>
    </row>
    <row r="18" spans="1:4" x14ac:dyDescent="0.35">
      <c r="A18" s="18" t="s">
        <v>76</v>
      </c>
      <c r="B18" s="3" t="s">
        <v>146</v>
      </c>
      <c r="C18" s="3" t="s">
        <v>308</v>
      </c>
      <c r="D18" s="3" t="s">
        <v>309</v>
      </c>
    </row>
    <row r="19" spans="1:4" x14ac:dyDescent="0.35">
      <c r="A19" s="7">
        <v>1</v>
      </c>
      <c r="B19" s="20" t="s">
        <v>6</v>
      </c>
      <c r="C19">
        <v>9</v>
      </c>
      <c r="D19">
        <v>35</v>
      </c>
    </row>
    <row r="20" spans="1:4" x14ac:dyDescent="0.35">
      <c r="A20" s="7">
        <v>2</v>
      </c>
      <c r="B20" s="20" t="s">
        <v>7</v>
      </c>
      <c r="C20">
        <v>7</v>
      </c>
      <c r="D20">
        <f>D19</f>
        <v>35</v>
      </c>
    </row>
    <row r="21" spans="1:4" x14ac:dyDescent="0.35">
      <c r="A21" s="7">
        <v>3</v>
      </c>
      <c r="B21" s="20" t="s">
        <v>8</v>
      </c>
      <c r="C21">
        <v>9</v>
      </c>
      <c r="D21">
        <f t="shared" ref="D21:D24" si="1">D20</f>
        <v>35</v>
      </c>
    </row>
    <row r="22" spans="1:4" x14ac:dyDescent="0.35">
      <c r="A22" s="7">
        <v>4</v>
      </c>
      <c r="B22" s="20" t="s">
        <v>9</v>
      </c>
      <c r="C22">
        <v>14</v>
      </c>
      <c r="D22">
        <f t="shared" si="1"/>
        <v>35</v>
      </c>
    </row>
    <row r="23" spans="1:4" x14ac:dyDescent="0.35">
      <c r="A23" s="7">
        <v>5</v>
      </c>
      <c r="B23" s="20" t="s">
        <v>10</v>
      </c>
      <c r="C23">
        <v>7</v>
      </c>
      <c r="D23">
        <f t="shared" si="1"/>
        <v>35</v>
      </c>
    </row>
    <row r="24" spans="1:4" x14ac:dyDescent="0.35">
      <c r="A24" s="7">
        <v>6</v>
      </c>
      <c r="B24" s="20" t="s">
        <v>11</v>
      </c>
      <c r="C24">
        <v>14</v>
      </c>
      <c r="D24">
        <f t="shared" si="1"/>
        <v>35</v>
      </c>
    </row>
  </sheetData>
  <pageMargins left="0.7" right="0.7" top="0.78740157499999996" bottom="0.78740157499999996"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E801BA-D984-4CD1-B8E0-06D2A238498F}">
  <sheetPr>
    <tabColor theme="0"/>
  </sheetPr>
  <dimension ref="A1:M114"/>
  <sheetViews>
    <sheetView showGridLines="0" topLeftCell="A88" zoomScale="70" zoomScaleNormal="70" workbookViewId="0">
      <selection activeCell="A98" sqref="A98:B105"/>
    </sheetView>
  </sheetViews>
  <sheetFormatPr baseColWidth="10" defaultRowHeight="14.5" x14ac:dyDescent="0.35"/>
  <sheetData>
    <row r="1" spans="1:4" s="1" customFormat="1" x14ac:dyDescent="0.35">
      <c r="A1" s="2" t="s">
        <v>84</v>
      </c>
      <c r="D1" s="2"/>
    </row>
    <row r="2" spans="1:4" x14ac:dyDescent="0.35">
      <c r="A2" t="s">
        <v>183</v>
      </c>
    </row>
    <row r="25" spans="1:1" x14ac:dyDescent="0.35">
      <c r="A25" t="s">
        <v>184</v>
      </c>
    </row>
    <row r="55" spans="1:1" x14ac:dyDescent="0.35">
      <c r="A55" t="s">
        <v>185</v>
      </c>
    </row>
    <row r="75" spans="1:1" x14ac:dyDescent="0.35">
      <c r="A75" t="s">
        <v>185</v>
      </c>
    </row>
    <row r="97" spans="1:13" s="1" customFormat="1" x14ac:dyDescent="0.35">
      <c r="A97" s="2" t="s">
        <v>264</v>
      </c>
    </row>
    <row r="98" spans="1:13" s="3" customFormat="1" x14ac:dyDescent="0.35">
      <c r="A98" s="18" t="s">
        <v>76</v>
      </c>
      <c r="B98" s="3" t="s">
        <v>146</v>
      </c>
      <c r="C98" s="3" t="s">
        <v>180</v>
      </c>
      <c r="F98" s="3" t="s">
        <v>181</v>
      </c>
      <c r="I98" s="4" t="s">
        <v>247</v>
      </c>
      <c r="J98" s="5" t="s">
        <v>248</v>
      </c>
      <c r="K98" s="3" t="s">
        <v>250</v>
      </c>
      <c r="L98" s="18" t="s">
        <v>249</v>
      </c>
    </row>
    <row r="99" spans="1:13" s="3" customFormat="1" x14ac:dyDescent="0.35">
      <c r="A99" s="18"/>
      <c r="C99" s="18" t="s">
        <v>179</v>
      </c>
      <c r="D99" s="18" t="s">
        <v>251</v>
      </c>
      <c r="E99" s="18" t="s">
        <v>252</v>
      </c>
      <c r="F99" s="18" t="s">
        <v>178</v>
      </c>
      <c r="G99" s="18" t="s">
        <v>251</v>
      </c>
      <c r="H99" s="18" t="s">
        <v>252</v>
      </c>
      <c r="I99" s="5" t="s">
        <v>182</v>
      </c>
      <c r="J99" s="18" t="s">
        <v>249</v>
      </c>
      <c r="K99" s="3" t="s">
        <v>253</v>
      </c>
      <c r="L99" s="18" t="s">
        <v>251</v>
      </c>
      <c r="M99" s="18" t="s">
        <v>252</v>
      </c>
    </row>
    <row r="100" spans="1:13" x14ac:dyDescent="0.35">
      <c r="A100" s="7">
        <v>1</v>
      </c>
      <c r="B100" s="20" t="s">
        <v>6</v>
      </c>
      <c r="C100" s="7">
        <v>235</v>
      </c>
      <c r="D100" s="7">
        <v>220</v>
      </c>
      <c r="E100" s="7">
        <v>280</v>
      </c>
      <c r="F100" s="7">
        <v>10</v>
      </c>
      <c r="G100" s="7">
        <v>6</v>
      </c>
      <c r="H100" s="7">
        <v>12</v>
      </c>
      <c r="I100" s="7">
        <v>0.5</v>
      </c>
      <c r="J100" s="7">
        <v>3.5</v>
      </c>
      <c r="K100" s="8">
        <f>J100/I100</f>
        <v>7</v>
      </c>
      <c r="L100" s="7">
        <v>5</v>
      </c>
      <c r="M100" s="7">
        <v>10</v>
      </c>
    </row>
    <row r="101" spans="1:13" x14ac:dyDescent="0.35">
      <c r="A101" s="7">
        <v>2</v>
      </c>
      <c r="B101" s="20" t="s">
        <v>7</v>
      </c>
      <c r="C101" s="7">
        <v>200</v>
      </c>
      <c r="D101" s="7">
        <v>185</v>
      </c>
      <c r="E101" s="7">
        <v>250</v>
      </c>
      <c r="F101" s="7">
        <v>10</v>
      </c>
      <c r="G101" s="7">
        <v>6</v>
      </c>
      <c r="H101" s="7">
        <v>12</v>
      </c>
      <c r="I101" s="7">
        <v>0.4</v>
      </c>
      <c r="J101" s="7">
        <v>3.5</v>
      </c>
      <c r="K101" s="8">
        <f t="shared" ref="K101:K105" si="0">J101/I101</f>
        <v>8.75</v>
      </c>
      <c r="L101" s="7">
        <v>7</v>
      </c>
      <c r="M101" s="7">
        <v>12</v>
      </c>
    </row>
    <row r="102" spans="1:13" x14ac:dyDescent="0.35">
      <c r="A102" s="7">
        <v>3</v>
      </c>
      <c r="B102" s="20" t="s">
        <v>8</v>
      </c>
      <c r="C102" s="7">
        <v>200</v>
      </c>
      <c r="D102" s="7">
        <v>185</v>
      </c>
      <c r="E102" s="7">
        <v>220</v>
      </c>
      <c r="F102" s="7">
        <v>10</v>
      </c>
      <c r="G102" s="7">
        <v>8</v>
      </c>
      <c r="H102" s="7">
        <v>12</v>
      </c>
      <c r="I102" s="7">
        <v>0.4</v>
      </c>
      <c r="J102" s="7">
        <v>3.5</v>
      </c>
      <c r="K102" s="8">
        <f t="shared" si="0"/>
        <v>8.75</v>
      </c>
      <c r="L102" s="7">
        <v>7</v>
      </c>
      <c r="M102" s="7">
        <v>12</v>
      </c>
    </row>
    <row r="103" spans="1:13" x14ac:dyDescent="0.35">
      <c r="A103" s="7">
        <v>4</v>
      </c>
      <c r="B103" s="20" t="s">
        <v>9</v>
      </c>
      <c r="C103" s="7">
        <v>200</v>
      </c>
      <c r="D103" s="7">
        <v>185</v>
      </c>
      <c r="E103" s="7">
        <v>220</v>
      </c>
      <c r="F103" s="7">
        <v>9</v>
      </c>
      <c r="G103" s="7">
        <v>8</v>
      </c>
      <c r="H103" s="7">
        <v>10</v>
      </c>
      <c r="I103" s="7">
        <v>0.4</v>
      </c>
      <c r="J103" s="7">
        <v>3.5</v>
      </c>
      <c r="K103" s="8">
        <f t="shared" si="0"/>
        <v>8.75</v>
      </c>
      <c r="L103" s="7">
        <v>7</v>
      </c>
      <c r="M103" s="7">
        <v>12</v>
      </c>
    </row>
    <row r="104" spans="1:13" x14ac:dyDescent="0.35">
      <c r="A104" s="7">
        <v>5</v>
      </c>
      <c r="B104" s="20" t="s">
        <v>10</v>
      </c>
      <c r="C104" s="7">
        <v>200</v>
      </c>
      <c r="D104" s="7">
        <v>185</v>
      </c>
      <c r="E104" s="7">
        <v>280</v>
      </c>
      <c r="F104" s="7">
        <v>9</v>
      </c>
      <c r="G104" s="7">
        <v>5</v>
      </c>
      <c r="H104" s="7">
        <v>15</v>
      </c>
      <c r="I104" s="7">
        <v>0.7</v>
      </c>
      <c r="J104" s="7">
        <v>15</v>
      </c>
      <c r="K104" s="8">
        <f t="shared" si="0"/>
        <v>21.428571428571431</v>
      </c>
      <c r="L104" s="7">
        <v>15</v>
      </c>
      <c r="M104" s="7">
        <v>30</v>
      </c>
    </row>
    <row r="105" spans="1:13" x14ac:dyDescent="0.35">
      <c r="A105" s="7">
        <v>6</v>
      </c>
      <c r="B105" s="20" t="s">
        <v>11</v>
      </c>
      <c r="C105" s="7">
        <v>250</v>
      </c>
      <c r="D105" s="7">
        <v>220</v>
      </c>
      <c r="E105" s="7">
        <v>280</v>
      </c>
      <c r="F105" s="7">
        <v>11</v>
      </c>
      <c r="G105" s="7">
        <v>9</v>
      </c>
      <c r="H105" s="7">
        <v>15</v>
      </c>
      <c r="I105" s="7">
        <v>0.4</v>
      </c>
      <c r="J105" s="7">
        <v>14</v>
      </c>
      <c r="K105" s="8">
        <f t="shared" si="0"/>
        <v>35</v>
      </c>
      <c r="L105" s="7">
        <v>25</v>
      </c>
      <c r="M105" s="7">
        <v>45</v>
      </c>
    </row>
    <row r="106" spans="1:13" s="1" customFormat="1" x14ac:dyDescent="0.35">
      <c r="A106" s="2" t="s">
        <v>268</v>
      </c>
    </row>
    <row r="107" spans="1:13" s="3" customFormat="1" x14ac:dyDescent="0.35">
      <c r="A107" s="18" t="s">
        <v>76</v>
      </c>
      <c r="B107" s="3" t="s">
        <v>146</v>
      </c>
      <c r="C107" s="3" t="s">
        <v>285</v>
      </c>
      <c r="F107" s="3" t="s">
        <v>286</v>
      </c>
      <c r="I107" s="4"/>
      <c r="J107" s="5"/>
      <c r="L107" s="18"/>
    </row>
    <row r="108" spans="1:13" s="3" customFormat="1" x14ac:dyDescent="0.35">
      <c r="A108" s="18"/>
      <c r="C108" s="18" t="s">
        <v>284</v>
      </c>
      <c r="D108" s="18" t="s">
        <v>251</v>
      </c>
      <c r="E108" s="18" t="s">
        <v>252</v>
      </c>
      <c r="F108" s="18" t="s">
        <v>284</v>
      </c>
      <c r="G108" s="18" t="s">
        <v>251</v>
      </c>
      <c r="H108" s="18" t="s">
        <v>252</v>
      </c>
      <c r="I108" s="5"/>
      <c r="J108" s="18"/>
      <c r="L108" s="18"/>
      <c r="M108" s="18"/>
    </row>
    <row r="109" spans="1:13" x14ac:dyDescent="0.35">
      <c r="A109" s="7">
        <v>1</v>
      </c>
      <c r="B109" s="20" t="s">
        <v>6</v>
      </c>
      <c r="C109">
        <v>15</v>
      </c>
      <c r="D109">
        <v>12</v>
      </c>
      <c r="E109">
        <v>18</v>
      </c>
      <c r="F109">
        <v>30</v>
      </c>
      <c r="G109">
        <v>25</v>
      </c>
      <c r="H109">
        <v>40</v>
      </c>
    </row>
    <row r="110" spans="1:13" x14ac:dyDescent="0.35">
      <c r="A110" s="7">
        <v>2</v>
      </c>
      <c r="B110" s="20" t="s">
        <v>7</v>
      </c>
      <c r="C110">
        <v>15</v>
      </c>
      <c r="D110">
        <v>12</v>
      </c>
      <c r="E110">
        <v>18</v>
      </c>
      <c r="F110">
        <v>30</v>
      </c>
      <c r="G110">
        <v>25</v>
      </c>
      <c r="H110">
        <v>40</v>
      </c>
    </row>
    <row r="111" spans="1:13" x14ac:dyDescent="0.35">
      <c r="A111" s="7">
        <v>3</v>
      </c>
      <c r="B111" s="20" t="s">
        <v>8</v>
      </c>
      <c r="C111">
        <v>20</v>
      </c>
      <c r="D111">
        <v>15</v>
      </c>
      <c r="E111">
        <v>25</v>
      </c>
      <c r="F111">
        <v>40</v>
      </c>
      <c r="G111">
        <v>35</v>
      </c>
      <c r="H111">
        <v>45</v>
      </c>
    </row>
    <row r="112" spans="1:13" x14ac:dyDescent="0.35">
      <c r="A112" s="7">
        <v>4</v>
      </c>
      <c r="B112" s="20" t="s">
        <v>9</v>
      </c>
      <c r="C112">
        <v>20</v>
      </c>
      <c r="D112">
        <v>15</v>
      </c>
      <c r="E112">
        <v>25</v>
      </c>
      <c r="F112">
        <v>40</v>
      </c>
      <c r="G112">
        <v>35</v>
      </c>
      <c r="H112">
        <v>45</v>
      </c>
    </row>
    <row r="113" spans="1:8" x14ac:dyDescent="0.35">
      <c r="A113" s="7">
        <v>5</v>
      </c>
      <c r="B113" s="20" t="s">
        <v>10</v>
      </c>
      <c r="C113">
        <v>25</v>
      </c>
      <c r="D113">
        <v>15</v>
      </c>
      <c r="E113">
        <v>35</v>
      </c>
      <c r="F113">
        <v>50</v>
      </c>
      <c r="G113">
        <v>40</v>
      </c>
      <c r="H113">
        <v>60</v>
      </c>
    </row>
    <row r="114" spans="1:8" x14ac:dyDescent="0.35">
      <c r="A114" s="7">
        <v>6</v>
      </c>
      <c r="B114" s="20" t="s">
        <v>11</v>
      </c>
      <c r="C114">
        <v>20</v>
      </c>
      <c r="D114">
        <v>15</v>
      </c>
      <c r="E114">
        <v>25</v>
      </c>
      <c r="F114">
        <v>30</v>
      </c>
      <c r="G114">
        <v>25</v>
      </c>
      <c r="H114">
        <v>40</v>
      </c>
    </row>
  </sheetData>
  <pageMargins left="0.7" right="0.7" top="0.78740157499999996" bottom="0.78740157499999996"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B03FE3-113E-40E6-A769-FC6E0C6DA7D8}">
  <sheetPr>
    <tabColor theme="0"/>
  </sheetPr>
  <dimension ref="A1:Y155"/>
  <sheetViews>
    <sheetView showGridLines="0" zoomScale="70" zoomScaleNormal="70" workbookViewId="0"/>
  </sheetViews>
  <sheetFormatPr baseColWidth="10" defaultRowHeight="14.5" x14ac:dyDescent="0.35"/>
  <cols>
    <col min="4" max="4" width="10.7265625" customWidth="1"/>
  </cols>
  <sheetData>
    <row r="1" spans="1:5" s="1" customFormat="1" x14ac:dyDescent="0.35">
      <c r="A1" s="2" t="s">
        <v>84</v>
      </c>
      <c r="E1" s="2"/>
    </row>
    <row r="4" spans="1:5" x14ac:dyDescent="0.35">
      <c r="A4" t="s">
        <v>0</v>
      </c>
    </row>
    <row r="32" spans="1:1" x14ac:dyDescent="0.35">
      <c r="A32" t="s">
        <v>1</v>
      </c>
    </row>
    <row r="56" spans="1:1" x14ac:dyDescent="0.35">
      <c r="A56" t="s">
        <v>2</v>
      </c>
    </row>
    <row r="135" spans="1:25" s="1" customFormat="1" x14ac:dyDescent="0.35">
      <c r="A135" s="2" t="s">
        <v>83</v>
      </c>
    </row>
    <row r="136" spans="1:25" s="3" customFormat="1" x14ac:dyDescent="0.35">
      <c r="A136" s="18" t="s">
        <v>76</v>
      </c>
      <c r="B136" s="3" t="s">
        <v>3</v>
      </c>
      <c r="D136" s="4" t="s">
        <v>18</v>
      </c>
      <c r="E136" s="5"/>
      <c r="F136" s="5"/>
      <c r="J136" s="3" t="s">
        <v>25</v>
      </c>
      <c r="L136" s="3" t="s">
        <v>29</v>
      </c>
      <c r="N136" s="3" t="s">
        <v>30</v>
      </c>
      <c r="O136" s="3" t="s">
        <v>27</v>
      </c>
      <c r="P136" s="3" t="s">
        <v>52</v>
      </c>
      <c r="Q136" s="3" t="s">
        <v>53</v>
      </c>
      <c r="R136" s="3" t="s">
        <v>34</v>
      </c>
      <c r="S136" s="3" t="s">
        <v>33</v>
      </c>
      <c r="T136" s="3" t="s">
        <v>35</v>
      </c>
      <c r="U136" s="3" t="s">
        <v>36</v>
      </c>
      <c r="V136" s="3" t="s">
        <v>37</v>
      </c>
      <c r="W136" s="3" t="s">
        <v>38</v>
      </c>
      <c r="X136" s="3" t="s">
        <v>43</v>
      </c>
      <c r="Y136" s="3" t="s">
        <v>146</v>
      </c>
    </row>
    <row r="137" spans="1:25" s="3" customFormat="1" x14ac:dyDescent="0.35">
      <c r="A137" s="18"/>
      <c r="B137" s="3" t="s">
        <v>176</v>
      </c>
      <c r="D137" s="4" t="s">
        <v>19</v>
      </c>
      <c r="E137" s="5" t="s">
        <v>41</v>
      </c>
      <c r="F137" s="5" t="s">
        <v>20</v>
      </c>
      <c r="G137" s="3" t="s">
        <v>21</v>
      </c>
      <c r="H137" s="3" t="s">
        <v>22</v>
      </c>
      <c r="I137" s="3" t="s">
        <v>23</v>
      </c>
      <c r="J137" s="3" t="s">
        <v>17</v>
      </c>
      <c r="K137" s="3" t="s">
        <v>26</v>
      </c>
      <c r="L137" s="3" t="s">
        <v>28</v>
      </c>
      <c r="M137" s="3" t="s">
        <v>51</v>
      </c>
      <c r="O137" s="3" t="s">
        <v>28</v>
      </c>
    </row>
    <row r="138" spans="1:25" x14ac:dyDescent="0.35">
      <c r="A138" s="7">
        <v>1</v>
      </c>
      <c r="B138" t="s">
        <v>24</v>
      </c>
      <c r="C138" t="s">
        <v>32</v>
      </c>
      <c r="D138" s="8">
        <v>411.7</v>
      </c>
      <c r="E138" s="8" t="s">
        <v>42</v>
      </c>
      <c r="F138" s="8">
        <v>105.8</v>
      </c>
      <c r="G138" s="8">
        <v>27.2</v>
      </c>
      <c r="H138" s="8">
        <v>180.3</v>
      </c>
      <c r="I138" s="8">
        <v>180.3</v>
      </c>
      <c r="J138" s="8">
        <v>459.8</v>
      </c>
      <c r="K138" s="8">
        <v>540.9</v>
      </c>
      <c r="L138" s="8">
        <f>4633.9/N138</f>
        <v>1544.6333333333332</v>
      </c>
      <c r="M138" s="8">
        <f>5451.6/N138</f>
        <v>1817.2</v>
      </c>
      <c r="N138" s="8">
        <v>3</v>
      </c>
      <c r="O138" s="9">
        <f>L138/J138/N138</f>
        <v>1.1197863805519306</v>
      </c>
      <c r="P138" s="6">
        <f>L138/M138</f>
        <v>0.85000733729547284</v>
      </c>
      <c r="Q138" s="6">
        <f>SUM(D138:G138)/M138</f>
        <v>0.29974686330618538</v>
      </c>
      <c r="R138" s="6">
        <f>J138/K138</f>
        <v>0.85006470696986514</v>
      </c>
      <c r="S138" s="6">
        <f>D138/J138</f>
        <v>0.89538929969551972</v>
      </c>
      <c r="T138" s="6">
        <f>F138/J138</f>
        <v>0.23010004349717267</v>
      </c>
      <c r="U138" s="6">
        <f>G138/J138</f>
        <v>5.915615484993475E-2</v>
      </c>
      <c r="V138" s="6">
        <f>H138/J138</f>
        <v>0.39212701174423664</v>
      </c>
      <c r="W138" s="6">
        <f>I138/J138</f>
        <v>0.39212701174423664</v>
      </c>
      <c r="X138" s="6">
        <f>G138/(F138+G138)</f>
        <v>0.20451127819548873</v>
      </c>
      <c r="Y138" t="s">
        <v>147</v>
      </c>
    </row>
    <row r="139" spans="1:25" x14ac:dyDescent="0.35">
      <c r="A139" s="7">
        <v>2</v>
      </c>
      <c r="B139" t="s">
        <v>39</v>
      </c>
      <c r="C139" t="s">
        <v>32</v>
      </c>
      <c r="D139" s="8">
        <v>1383</v>
      </c>
      <c r="E139" s="8">
        <v>141</v>
      </c>
      <c r="F139" s="8">
        <v>720</v>
      </c>
      <c r="G139" s="8" t="s">
        <v>42</v>
      </c>
      <c r="H139" s="8">
        <v>989</v>
      </c>
      <c r="I139" s="8">
        <v>1160</v>
      </c>
      <c r="J139" s="8">
        <v>3365</v>
      </c>
      <c r="K139" s="8">
        <f>J139/R139</f>
        <v>3958.5221835580683</v>
      </c>
      <c r="L139" s="8">
        <v>10209</v>
      </c>
      <c r="M139" s="8">
        <f>SUM(D139:F139,H139:I139)/Q139</f>
        <v>12920.588235294117</v>
      </c>
      <c r="N139" s="8">
        <f>K139/AVERAGE(H139:I139)</f>
        <v>3.6840597334183975</v>
      </c>
      <c r="O139" s="9">
        <f>L139/J139</f>
        <v>3.0338781575037146</v>
      </c>
      <c r="P139" s="6">
        <f>L139/M139</f>
        <v>0.79013430457546097</v>
      </c>
      <c r="Q139" s="6">
        <v>0.34</v>
      </c>
      <c r="R139" s="6">
        <f>R138</f>
        <v>0.85006470696986514</v>
      </c>
      <c r="S139" s="6">
        <f t="shared" ref="S139:S155" si="0">D139/J139</f>
        <v>0.41099554234769686</v>
      </c>
      <c r="T139" s="6">
        <f>F139/J139-U139</f>
        <v>0.17020858237719111</v>
      </c>
      <c r="U139" s="6">
        <f>F139/J139*X138</f>
        <v>4.3758728172585998E-2</v>
      </c>
      <c r="V139" s="6">
        <f>(H139+0.5*E139)/J139</f>
        <v>0.31485884101040118</v>
      </c>
      <c r="W139" s="6">
        <f>(I139+0.5*E139)/J139</f>
        <v>0.36567607726597323</v>
      </c>
      <c r="X139" s="6">
        <f>U139/(T139+U139)</f>
        <v>0.20451127819548873</v>
      </c>
      <c r="Y139" t="s">
        <v>148</v>
      </c>
    </row>
    <row r="140" spans="1:25" x14ac:dyDescent="0.35">
      <c r="A140" s="7">
        <v>3</v>
      </c>
      <c r="B140" t="s">
        <v>44</v>
      </c>
      <c r="C140" t="s">
        <v>45</v>
      </c>
      <c r="D140" s="8">
        <v>984.6</v>
      </c>
      <c r="E140" s="8" t="s">
        <v>42</v>
      </c>
      <c r="F140" s="8">
        <v>611</v>
      </c>
      <c r="G140" s="8" t="s">
        <v>42</v>
      </c>
      <c r="H140" s="8">
        <v>591</v>
      </c>
      <c r="I140" s="8">
        <v>591</v>
      </c>
      <c r="J140" s="8">
        <f>K140*R140</f>
        <v>1676.327602144574</v>
      </c>
      <c r="K140" s="8">
        <v>1972</v>
      </c>
      <c r="L140" s="8">
        <f>M140*P140</f>
        <v>6352.6998367451752</v>
      </c>
      <c r="M140" s="8">
        <v>7473.7</v>
      </c>
      <c r="N140" s="8">
        <f>15.1/3.7</f>
        <v>4.0810810810810807</v>
      </c>
      <c r="O140" s="9">
        <f>L140/J140</f>
        <v>3.7896529464872999</v>
      </c>
      <c r="P140" s="6">
        <f>P138</f>
        <v>0.85000733729547284</v>
      </c>
      <c r="Q140" s="6">
        <f>SUM(D140:I140)/M140</f>
        <v>0.37164991904946681</v>
      </c>
      <c r="R140" s="6">
        <f>R138</f>
        <v>0.85006470696986514</v>
      </c>
      <c r="S140" s="6">
        <f t="shared" si="0"/>
        <v>0.58735535866639255</v>
      </c>
      <c r="T140" s="6">
        <f>F140/J140-U140</f>
        <v>0.28994547867657067</v>
      </c>
      <c r="U140" s="6">
        <f>F140/J140*X138</f>
        <v>7.4541748771292271E-2</v>
      </c>
      <c r="V140" s="6">
        <f>H140/J140</f>
        <v>0.35255638530554334</v>
      </c>
      <c r="W140" s="6">
        <f>I140/J140</f>
        <v>0.35255638530554334</v>
      </c>
      <c r="X140" s="6">
        <f>U140/(T140+U140)</f>
        <v>0.20451127819548873</v>
      </c>
      <c r="Y140" t="s">
        <v>149</v>
      </c>
    </row>
    <row r="141" spans="1:25" x14ac:dyDescent="0.35">
      <c r="A141" s="7">
        <v>4</v>
      </c>
      <c r="B141" t="s">
        <v>44</v>
      </c>
      <c r="C141" t="s">
        <v>46</v>
      </c>
      <c r="D141" s="8">
        <f>564.4+340.7</f>
        <v>905.09999999999991</v>
      </c>
      <c r="E141" s="8" t="s">
        <v>42</v>
      </c>
      <c r="F141" s="8">
        <f>2230.3+1341.3</f>
        <v>3571.6000000000004</v>
      </c>
      <c r="G141" s="8" t="s">
        <v>42</v>
      </c>
      <c r="H141" s="8">
        <v>6998</v>
      </c>
      <c r="I141" s="8">
        <v>2343</v>
      </c>
      <c r="J141" s="8">
        <f>K141*R141</f>
        <v>5948.7528193751159</v>
      </c>
      <c r="K141" s="8">
        <v>6998</v>
      </c>
      <c r="L141" s="8">
        <f>M141*P141</f>
        <v>20524.447167803948</v>
      </c>
      <c r="M141" s="8">
        <v>24146.2</v>
      </c>
      <c r="N141" s="8">
        <f>10.35/3.35</f>
        <v>3.08955223880597</v>
      </c>
      <c r="O141" s="9">
        <f>L141/J141</f>
        <v>3.4502101181537963</v>
      </c>
      <c r="P141" s="6">
        <f>P138</f>
        <v>0.85000733729547284</v>
      </c>
      <c r="Q141" s="6">
        <f>SUM(D141:I141)/M141</f>
        <v>0.57225153440292886</v>
      </c>
      <c r="R141" s="6">
        <f>R138</f>
        <v>0.85006470696986514</v>
      </c>
      <c r="S141" s="6">
        <f t="shared" si="0"/>
        <v>0.15214953915249008</v>
      </c>
      <c r="T141" s="6">
        <f>F141/J141-U141</f>
        <v>0.47760725736381188</v>
      </c>
      <c r="U141" s="6">
        <f>F141/J141*X138</f>
        <v>0.12278749905761516</v>
      </c>
      <c r="V141" s="6">
        <f>H141/J141</f>
        <v>1.1763810352327098</v>
      </c>
      <c r="W141" s="6">
        <f>I141/J141</f>
        <v>0.39386407052732769</v>
      </c>
      <c r="X141" s="6">
        <f>U141/(T141+U141)</f>
        <v>0.20451127819548873</v>
      </c>
      <c r="Y141" t="s">
        <v>152</v>
      </c>
    </row>
    <row r="142" spans="1:25" x14ac:dyDescent="0.35">
      <c r="A142" s="7">
        <v>5</v>
      </c>
      <c r="B142" t="s">
        <v>44</v>
      </c>
      <c r="C142" t="s">
        <v>47</v>
      </c>
      <c r="D142" s="8">
        <f>760+543.15</f>
        <v>1303.1500000000001</v>
      </c>
      <c r="E142" s="8" t="s">
        <v>42</v>
      </c>
      <c r="F142" s="8">
        <f>608.8+984.8</f>
        <v>1593.6</v>
      </c>
      <c r="G142" s="8" t="s">
        <v>42</v>
      </c>
      <c r="H142" s="8">
        <v>2025</v>
      </c>
      <c r="I142" s="8">
        <f>350.5+1674.5+88+280</f>
        <v>2393</v>
      </c>
      <c r="J142" s="8">
        <f>K142*R142</f>
        <v>10659.811425402109</v>
      </c>
      <c r="K142" s="8">
        <v>12540</v>
      </c>
      <c r="L142" s="8">
        <f>M142*P142</f>
        <v>34834.745694841877</v>
      </c>
      <c r="M142" s="8">
        <v>40981.699999999997</v>
      </c>
      <c r="N142" s="8">
        <f>16.25/3.25</f>
        <v>5</v>
      </c>
      <c r="O142" s="9">
        <f>L142/J142</f>
        <v>3.2678575919111852</v>
      </c>
      <c r="P142" s="6">
        <f>P138</f>
        <v>0.85000733729547284</v>
      </c>
      <c r="Q142" s="6">
        <f>SUM(D142:I142)/M142</f>
        <v>0.1784882032712162</v>
      </c>
      <c r="R142" s="6">
        <f>R138</f>
        <v>0.85006470696986514</v>
      </c>
      <c r="S142" s="6">
        <f t="shared" si="0"/>
        <v>0.12224887927141194</v>
      </c>
      <c r="T142" s="6">
        <f>F142/J142-U142</f>
        <v>0.1189224439793361</v>
      </c>
      <c r="U142" s="6">
        <f>F142/J142*X138</f>
        <v>3.0573633990906825E-2</v>
      </c>
      <c r="V142" s="6">
        <f>H142/J142</f>
        <v>0.1899658370292055</v>
      </c>
      <c r="W142" s="6">
        <f>I142/J142</f>
        <v>0.22448802370908089</v>
      </c>
      <c r="X142" s="6">
        <f>U142/(T142+U142)</f>
        <v>0.20451127819548873</v>
      </c>
      <c r="Y142" t="s">
        <v>150</v>
      </c>
    </row>
    <row r="143" spans="1:25" x14ac:dyDescent="0.35">
      <c r="A143" s="7">
        <v>6</v>
      </c>
      <c r="B143" t="s">
        <v>44</v>
      </c>
      <c r="C143" t="s">
        <v>48</v>
      </c>
      <c r="D143" s="8">
        <f>289.3+1418.5</f>
        <v>1707.8</v>
      </c>
      <c r="E143" s="8" t="s">
        <v>42</v>
      </c>
      <c r="F143" s="8">
        <f>196.3+2217.5</f>
        <v>2413.8000000000002</v>
      </c>
      <c r="G143" s="8" t="s">
        <v>42</v>
      </c>
      <c r="H143" s="8">
        <v>348</v>
      </c>
      <c r="I143" s="8">
        <f>348</f>
        <v>348</v>
      </c>
      <c r="J143" s="8">
        <f>K143*R143</f>
        <v>4830.917729709744</v>
      </c>
      <c r="K143" s="8">
        <v>5683</v>
      </c>
      <c r="L143" s="8">
        <f>M143*P143</f>
        <v>15788.163784026709</v>
      </c>
      <c r="M143" s="8">
        <v>18574.150000000001</v>
      </c>
      <c r="N143" s="8">
        <f>55.55/3.25</f>
        <v>17.092307692307692</v>
      </c>
      <c r="O143" s="9">
        <f>L143/J143</f>
        <v>3.2681500011748925</v>
      </c>
      <c r="P143" s="6">
        <f>P138</f>
        <v>0.85000733729547284</v>
      </c>
      <c r="Q143" s="6">
        <f>SUM(D143:I143)/M143</f>
        <v>0.25937122290925829</v>
      </c>
      <c r="R143" s="6">
        <f>R138</f>
        <v>0.85006470696986514</v>
      </c>
      <c r="S143" s="6">
        <f t="shared" si="0"/>
        <v>0.35351461058779193</v>
      </c>
      <c r="T143" s="6">
        <f>F143/J143-U143</f>
        <v>0.39747120197948349</v>
      </c>
      <c r="U143" s="6">
        <f>F143/J143*X138</f>
        <v>0.10218541298527363</v>
      </c>
      <c r="V143" s="6">
        <f>H143/J143</f>
        <v>7.203600215748425E-2</v>
      </c>
      <c r="W143" s="6">
        <f>I143/J143</f>
        <v>7.203600215748425E-2</v>
      </c>
      <c r="X143" s="6">
        <f>U143/(T143+U143)</f>
        <v>0.20451127819548873</v>
      </c>
      <c r="Y143" t="s">
        <v>153</v>
      </c>
    </row>
    <row r="144" spans="1:25" x14ac:dyDescent="0.35">
      <c r="A144" s="7">
        <v>8</v>
      </c>
      <c r="B144" t="s">
        <v>24</v>
      </c>
      <c r="C144" t="s">
        <v>10</v>
      </c>
      <c r="D144" s="8">
        <v>506.7</v>
      </c>
      <c r="E144" s="8" t="s">
        <v>42</v>
      </c>
      <c r="F144" s="8">
        <v>111.1</v>
      </c>
      <c r="G144" s="8">
        <v>32.200000000000003</v>
      </c>
      <c r="H144" s="8">
        <v>531</v>
      </c>
      <c r="I144" s="8">
        <v>531</v>
      </c>
      <c r="J144" s="8">
        <v>483.2</v>
      </c>
      <c r="K144" s="8">
        <v>531</v>
      </c>
      <c r="L144" s="8">
        <f>3117.4/N144</f>
        <v>3117.4</v>
      </c>
      <c r="M144" s="8">
        <f>3425.7/N144</f>
        <v>3425.7</v>
      </c>
      <c r="N144" s="8">
        <v>1</v>
      </c>
      <c r="O144" s="9">
        <f>L144/J144/N144</f>
        <v>6.4515728476821197</v>
      </c>
      <c r="P144" s="6">
        <f>L144/M144</f>
        <v>0.91000379484484928</v>
      </c>
      <c r="Q144" s="6">
        <f>SUM(D144:G144)/M144</f>
        <v>0.18974224246139476</v>
      </c>
      <c r="R144" s="6">
        <f>J144/K144</f>
        <v>0.90998116760828618</v>
      </c>
      <c r="S144" s="6">
        <f t="shared" si="0"/>
        <v>1.0486341059602649</v>
      </c>
      <c r="T144" s="6">
        <f>F144/J144</f>
        <v>0.22992549668874171</v>
      </c>
      <c r="U144" s="6">
        <f>G144/J144</f>
        <v>6.6639072847682126E-2</v>
      </c>
      <c r="V144" s="6">
        <f>H144/J144</f>
        <v>1.0989238410596027</v>
      </c>
      <c r="W144" s="6">
        <f>I144/J144</f>
        <v>1.0989238410596027</v>
      </c>
      <c r="X144" s="6">
        <f>G144/(F144+G144)</f>
        <v>0.22470341939986044</v>
      </c>
      <c r="Y144" t="s">
        <v>154</v>
      </c>
    </row>
    <row r="145" spans="1:25" x14ac:dyDescent="0.35">
      <c r="A145" s="7">
        <v>9</v>
      </c>
      <c r="B145" t="s">
        <v>39</v>
      </c>
      <c r="C145" t="s">
        <v>10</v>
      </c>
      <c r="D145" s="8">
        <v>498</v>
      </c>
      <c r="E145" s="8">
        <v>24</v>
      </c>
      <c r="F145" s="8">
        <v>155</v>
      </c>
      <c r="G145" s="8" t="s">
        <v>42</v>
      </c>
      <c r="H145" s="8">
        <v>690</v>
      </c>
      <c r="I145" s="8">
        <v>690</v>
      </c>
      <c r="J145" s="8">
        <v>634</v>
      </c>
      <c r="K145" s="8">
        <f>J145/R145</f>
        <v>696.71771523178813</v>
      </c>
      <c r="L145" s="8">
        <v>2900</v>
      </c>
      <c r="M145" s="8">
        <f>SUM(D145:F145,H145:I145)/Q145</f>
        <v>3608.7719298245615</v>
      </c>
      <c r="N145" s="8">
        <f>K145/AVERAGE(H145:I145)</f>
        <v>1.0097358191765045</v>
      </c>
      <c r="O145" s="9">
        <f>L145/J145</f>
        <v>4.5741324921135647</v>
      </c>
      <c r="P145" s="6">
        <f>L145/M145</f>
        <v>0.80359747204666987</v>
      </c>
      <c r="Q145" s="6">
        <v>0.56999999999999995</v>
      </c>
      <c r="R145" s="6">
        <f>R144</f>
        <v>0.90998116760828618</v>
      </c>
      <c r="S145" s="6">
        <f t="shared" si="0"/>
        <v>0.78548895899053628</v>
      </c>
      <c r="T145" s="6">
        <f>F145/J145-U145</f>
        <v>0.18954411670823601</v>
      </c>
      <c r="U145" s="6">
        <f>F145/J145*X144</f>
        <v>5.4935378559902791E-2</v>
      </c>
      <c r="V145" s="6">
        <f>(H145+0.5*E145)/J145</f>
        <v>1.1072555205047319</v>
      </c>
      <c r="W145" s="6">
        <f>(I145+0.5*E145)/J145</f>
        <v>1.1072555205047319</v>
      </c>
      <c r="X145" s="6">
        <f>U145/(T145+U145)</f>
        <v>0.22470341939986044</v>
      </c>
      <c r="Y145" t="s">
        <v>155</v>
      </c>
    </row>
    <row r="146" spans="1:25" x14ac:dyDescent="0.35">
      <c r="A146" s="7">
        <v>10</v>
      </c>
      <c r="B146" t="s">
        <v>44</v>
      </c>
      <c r="C146" t="s">
        <v>54</v>
      </c>
      <c r="D146" s="8">
        <v>987.3</v>
      </c>
      <c r="E146" s="8" t="s">
        <v>42</v>
      </c>
      <c r="F146" s="8">
        <v>274.39999999999998</v>
      </c>
      <c r="G146" s="8" t="s">
        <v>42</v>
      </c>
      <c r="H146" s="8">
        <v>1261</v>
      </c>
      <c r="I146" s="8">
        <v>1261</v>
      </c>
      <c r="J146" s="8">
        <f>K146*R146</f>
        <v>1147.4862523540489</v>
      </c>
      <c r="K146" s="8">
        <v>1261</v>
      </c>
      <c r="L146" s="8">
        <f>M146*P146</f>
        <v>8987.3794786467006</v>
      </c>
      <c r="M146" s="8">
        <v>9876.2000000000007</v>
      </c>
      <c r="N146" s="8" t="s">
        <v>42</v>
      </c>
      <c r="O146" s="9">
        <f>L146/J146</f>
        <v>7.8322328134295649</v>
      </c>
      <c r="P146" s="6">
        <f>P144</f>
        <v>0.91000379484484928</v>
      </c>
      <c r="Q146" s="6">
        <f>SUM(D146:I146)/M146</f>
        <v>0.38311293817460151</v>
      </c>
      <c r="R146" s="6">
        <f>R144</f>
        <v>0.90998116760828618</v>
      </c>
      <c r="S146" s="6">
        <f t="shared" si="0"/>
        <v>0.86040246493112271</v>
      </c>
      <c r="T146" s="6">
        <f>F146/J146-U146</f>
        <v>0.1853977607838376</v>
      </c>
      <c r="U146" s="6">
        <f>F146/J146*X144</f>
        <v>5.3733644439600096E-2</v>
      </c>
      <c r="V146" s="6">
        <f>H146/J146</f>
        <v>1.0989238410596027</v>
      </c>
      <c r="W146" s="6">
        <f>I146/J146</f>
        <v>1.0989238410596027</v>
      </c>
      <c r="X146" s="6">
        <f>U146/(T146+U146)</f>
        <v>0.22470341939986044</v>
      </c>
      <c r="Y146" t="s">
        <v>156</v>
      </c>
    </row>
    <row r="147" spans="1:25" x14ac:dyDescent="0.35">
      <c r="A147" s="7">
        <v>11</v>
      </c>
      <c r="B147" t="s">
        <v>44</v>
      </c>
      <c r="C147" t="s">
        <v>55</v>
      </c>
      <c r="D147" s="8">
        <v>1108.4000000000001</v>
      </c>
      <c r="E147" s="8" t="s">
        <v>42</v>
      </c>
      <c r="F147" s="8">
        <v>271.10000000000002</v>
      </c>
      <c r="G147" s="8" t="s">
        <v>42</v>
      </c>
      <c r="H147" s="8">
        <v>1614</v>
      </c>
      <c r="I147" s="8">
        <v>1614</v>
      </c>
      <c r="J147" s="8">
        <f>K147*R147</f>
        <v>1650.7058380414312</v>
      </c>
      <c r="K147" s="8">
        <v>1814</v>
      </c>
      <c r="L147" s="8">
        <f>M147*P147</f>
        <v>11223.34980295998</v>
      </c>
      <c r="M147" s="8">
        <v>12333.3</v>
      </c>
      <c r="N147" s="8" t="s">
        <v>42</v>
      </c>
      <c r="O147" s="9">
        <f>L147/J147</f>
        <v>6.7991216510608137</v>
      </c>
      <c r="P147" s="6">
        <f>P144</f>
        <v>0.91000379484484928</v>
      </c>
      <c r="Q147" s="6">
        <f>SUM(D147:I147)/M147</f>
        <v>0.3735820907624075</v>
      </c>
      <c r="R147" s="6">
        <f>R144</f>
        <v>0.90998116760828618</v>
      </c>
      <c r="S147" s="6">
        <f t="shared" si="0"/>
        <v>0.67147033375439014</v>
      </c>
      <c r="T147" s="6">
        <f>F147/J147-U147</f>
        <v>0.12732910864971597</v>
      </c>
      <c r="U147" s="6">
        <f>F147/J147*X144</f>
        <v>3.6903666053293017E-2</v>
      </c>
      <c r="V147" s="6">
        <f>H147/J147</f>
        <v>0.97776354987331793</v>
      </c>
      <c r="W147" s="6">
        <f>I147/J147</f>
        <v>0.97776354987331793</v>
      </c>
      <c r="X147" s="6">
        <f>U147/(T147+U147)</f>
        <v>0.22470341939986044</v>
      </c>
      <c r="Y147" t="s">
        <v>157</v>
      </c>
    </row>
    <row r="148" spans="1:25" x14ac:dyDescent="0.35">
      <c r="A148" s="7">
        <v>13</v>
      </c>
      <c r="B148" t="s">
        <v>39</v>
      </c>
      <c r="C148" t="s">
        <v>40</v>
      </c>
      <c r="D148" s="8">
        <v>302</v>
      </c>
      <c r="E148" s="8">
        <v>0</v>
      </c>
      <c r="F148" s="8">
        <v>123</v>
      </c>
      <c r="G148" s="8" t="s">
        <v>42</v>
      </c>
      <c r="H148" s="8">
        <v>563</v>
      </c>
      <c r="I148" s="8">
        <v>555</v>
      </c>
      <c r="J148" s="8">
        <v>592</v>
      </c>
      <c r="K148" s="8">
        <f>J148/R148</f>
        <v>672.75595026642986</v>
      </c>
      <c r="L148" s="8">
        <v>1823</v>
      </c>
      <c r="M148" s="8">
        <f>SUM(D148:F148,H148:I148)/Q148</f>
        <v>2269.1176470588234</v>
      </c>
      <c r="N148" s="8">
        <f>K148/AVERAGE(H148:I148)</f>
        <v>1.2034990165767976</v>
      </c>
      <c r="O148" s="9">
        <f>L148/J148</f>
        <v>3.0793918918918921</v>
      </c>
      <c r="P148" s="6">
        <f>L148/M148</f>
        <v>0.80339598185353212</v>
      </c>
      <c r="Q148" s="6">
        <v>0.68</v>
      </c>
      <c r="R148" s="6">
        <f>R150</f>
        <v>0.87996248827758672</v>
      </c>
      <c r="S148" s="6">
        <f t="shared" si="0"/>
        <v>0.51013513513513509</v>
      </c>
      <c r="T148" s="6">
        <f>F148/J148-U148</f>
        <v>0.17887030980448532</v>
      </c>
      <c r="U148" s="6">
        <f>F148/J148*X150</f>
        <v>2.889996046578493E-2</v>
      </c>
      <c r="V148" s="6">
        <f>(H148+0.5*E148)/J148</f>
        <v>0.95101351351351349</v>
      </c>
      <c r="W148" s="6">
        <f>(I148+0.5*E148)/J148</f>
        <v>0.9375</v>
      </c>
      <c r="X148" s="6">
        <f>U148/(T148+U148)</f>
        <v>0.13909574468085106</v>
      </c>
      <c r="Y148" t="s">
        <v>158</v>
      </c>
    </row>
    <row r="149" spans="1:25" x14ac:dyDescent="0.35">
      <c r="A149" s="7">
        <v>14</v>
      </c>
      <c r="B149" t="s">
        <v>44</v>
      </c>
      <c r="C149" t="s">
        <v>40</v>
      </c>
      <c r="D149" s="8">
        <v>436.7</v>
      </c>
      <c r="E149" s="8" t="s">
        <v>42</v>
      </c>
      <c r="F149" s="8">
        <v>269.2</v>
      </c>
      <c r="G149" s="8" t="s">
        <v>42</v>
      </c>
      <c r="H149" s="8">
        <v>558.5</v>
      </c>
      <c r="I149" s="8">
        <v>558.5</v>
      </c>
      <c r="J149" s="8">
        <f>K149*R149</f>
        <v>491.45904970303218</v>
      </c>
      <c r="K149" s="8">
        <v>558.5</v>
      </c>
      <c r="L149" s="8">
        <f>M149*P149</f>
        <v>2703.1355389754203</v>
      </c>
      <c r="M149" s="8">
        <v>3071.75</v>
      </c>
      <c r="N149" s="8">
        <f>5.5/5.2</f>
        <v>1.0576923076923077</v>
      </c>
      <c r="O149" s="9">
        <f>L149/J149</f>
        <v>5.5002253811559889</v>
      </c>
      <c r="P149" s="6">
        <f>P150</f>
        <v>0.87999854772537489</v>
      </c>
      <c r="Q149" s="6">
        <f>SUM(D149:I149)/M149</f>
        <v>0.593440221372182</v>
      </c>
      <c r="R149" s="6">
        <f>R150</f>
        <v>0.87996248827758672</v>
      </c>
      <c r="S149" s="6">
        <f t="shared" si="0"/>
        <v>0.88857861151174089</v>
      </c>
      <c r="T149" s="6">
        <f>F149/J149-U149</f>
        <v>0.47156609624332857</v>
      </c>
      <c r="U149" s="6">
        <f>F149/J149*X150</f>
        <v>7.6190629698875773E-2</v>
      </c>
      <c r="V149" s="6">
        <f>H149/J149</f>
        <v>1.1364120781527531</v>
      </c>
      <c r="W149" s="6">
        <f>I149/J149</f>
        <v>1.1364120781527531</v>
      </c>
      <c r="X149" s="6">
        <f>U149/(T149+U149)</f>
        <v>0.13909574468085106</v>
      </c>
      <c r="Y149" t="s">
        <v>159</v>
      </c>
    </row>
    <row r="150" spans="1:25" x14ac:dyDescent="0.35">
      <c r="A150" s="7">
        <v>16</v>
      </c>
      <c r="B150" t="s">
        <v>24</v>
      </c>
      <c r="C150" t="s">
        <v>31</v>
      </c>
      <c r="D150" s="8">
        <v>685.5</v>
      </c>
      <c r="E150" s="8" t="s">
        <v>42</v>
      </c>
      <c r="F150" s="8">
        <v>323.7</v>
      </c>
      <c r="G150" s="8">
        <v>52.3</v>
      </c>
      <c r="H150" s="8">
        <v>685.5</v>
      </c>
      <c r="I150" s="8">
        <v>685.5</v>
      </c>
      <c r="J150" s="8">
        <v>1407.5</v>
      </c>
      <c r="K150" s="8">
        <v>1599.5</v>
      </c>
      <c r="L150" s="8">
        <f>12118.9/N150</f>
        <v>5269.086956521739</v>
      </c>
      <c r="M150" s="8">
        <f>13771.5/N150</f>
        <v>5987.608695652174</v>
      </c>
      <c r="N150" s="8">
        <v>2.2999999999999998</v>
      </c>
      <c r="O150" s="9">
        <f>L150/J150/N150</f>
        <v>1.6276428933575533</v>
      </c>
      <c r="P150" s="6">
        <f>L150/M150</f>
        <v>0.87999854772537489</v>
      </c>
      <c r="Q150" s="6">
        <f>SUM(D150:G150)/M150</f>
        <v>0.17728279417637874</v>
      </c>
      <c r="R150" s="6">
        <f>J150/K150</f>
        <v>0.87996248827758672</v>
      </c>
      <c r="S150" s="6">
        <f t="shared" si="0"/>
        <v>0.48703374777975134</v>
      </c>
      <c r="T150" s="6">
        <f>F150/J150</f>
        <v>0.22998223801065718</v>
      </c>
      <c r="U150" s="6">
        <f>G150/J150</f>
        <v>3.7158081705150975E-2</v>
      </c>
      <c r="V150" s="6">
        <f>H150/J150</f>
        <v>0.48703374777975134</v>
      </c>
      <c r="W150" s="6">
        <f>I150/J150</f>
        <v>0.48703374777975134</v>
      </c>
      <c r="X150" s="6">
        <f>G150/(F150+G150)</f>
        <v>0.13909574468085106</v>
      </c>
      <c r="Y150" t="s">
        <v>160</v>
      </c>
    </row>
    <row r="151" spans="1:25" x14ac:dyDescent="0.35">
      <c r="A151" s="7">
        <v>17</v>
      </c>
      <c r="B151" t="s">
        <v>39</v>
      </c>
      <c r="C151" t="s">
        <v>7</v>
      </c>
      <c r="D151" s="8">
        <v>766</v>
      </c>
      <c r="E151" s="8">
        <v>154</v>
      </c>
      <c r="F151" s="8">
        <v>370</v>
      </c>
      <c r="G151" s="8" t="s">
        <v>42</v>
      </c>
      <c r="H151" s="8">
        <v>1547</v>
      </c>
      <c r="I151" s="8">
        <v>1547</v>
      </c>
      <c r="J151" s="8">
        <v>1438</v>
      </c>
      <c r="K151" s="8">
        <f>J151/R151</f>
        <v>1634.160568383659</v>
      </c>
      <c r="L151" s="8">
        <v>4550</v>
      </c>
      <c r="M151" s="8">
        <f>SUM(D151:F151,H151:I151)/Q151</f>
        <v>5693.5064935064938</v>
      </c>
      <c r="N151" s="8">
        <f t="shared" ref="N151:N153" si="1">K151/AVERAGE(H151:I151)</f>
        <v>1.0563416731633219</v>
      </c>
      <c r="O151" s="9">
        <f>L151/J151</f>
        <v>3.164116828929068</v>
      </c>
      <c r="P151" s="6">
        <f>L151/M151</f>
        <v>0.79915602189781021</v>
      </c>
      <c r="Q151" s="6">
        <v>0.77</v>
      </c>
      <c r="R151" s="6">
        <f>R150</f>
        <v>0.87996248827758672</v>
      </c>
      <c r="S151" s="6">
        <f t="shared" si="0"/>
        <v>0.53268428372739918</v>
      </c>
      <c r="T151" s="6">
        <f>F151/J151-U151</f>
        <v>0.22151222146598409</v>
      </c>
      <c r="U151" s="6">
        <f>F151/J151*X150</f>
        <v>3.578958660077531E-2</v>
      </c>
      <c r="V151" s="6">
        <f>(H151+0.5*E151)/J151</f>
        <v>1.1293463143254521</v>
      </c>
      <c r="W151" s="6">
        <f>(I151+0.5*E151)/J151</f>
        <v>1.1293463143254521</v>
      </c>
      <c r="X151" s="6">
        <f>U151/(T151+U151)</f>
        <v>0.13909574468085106</v>
      </c>
      <c r="Y151" t="s">
        <v>161</v>
      </c>
    </row>
    <row r="152" spans="1:25" x14ac:dyDescent="0.35">
      <c r="A152" s="7">
        <v>18</v>
      </c>
      <c r="B152" t="s">
        <v>39</v>
      </c>
      <c r="C152" t="s">
        <v>8</v>
      </c>
      <c r="D152" s="8">
        <v>1790</v>
      </c>
      <c r="E152" s="8">
        <v>0</v>
      </c>
      <c r="F152" s="8">
        <v>1335</v>
      </c>
      <c r="G152" s="8" t="s">
        <v>42</v>
      </c>
      <c r="H152" s="8">
        <v>2040</v>
      </c>
      <c r="I152" s="8">
        <v>2049</v>
      </c>
      <c r="J152" s="8">
        <v>4047</v>
      </c>
      <c r="K152" s="8">
        <f>J152/R152</f>
        <v>4599.0596802841919</v>
      </c>
      <c r="L152" s="8">
        <v>14029</v>
      </c>
      <c r="M152" s="8">
        <f>SUM(D152:F152,H152:I152)/Q152</f>
        <v>17595.121951219513</v>
      </c>
      <c r="N152" s="8">
        <f t="shared" si="1"/>
        <v>2.2494789338636303</v>
      </c>
      <c r="O152" s="9">
        <f>L152/J152</f>
        <v>3.4665184086978007</v>
      </c>
      <c r="P152" s="6">
        <f>L152/M152</f>
        <v>0.79732326032714163</v>
      </c>
      <c r="Q152" s="6">
        <v>0.41</v>
      </c>
      <c r="R152" s="6">
        <f>R150</f>
        <v>0.87996248827758672</v>
      </c>
      <c r="S152" s="6">
        <f t="shared" si="0"/>
        <v>0.44230294044971585</v>
      </c>
      <c r="T152" s="6">
        <f>F152/J152-U152</f>
        <v>0.28398991372647986</v>
      </c>
      <c r="U152" s="6">
        <f>F152/J152*X150</f>
        <v>4.5884066999984228E-2</v>
      </c>
      <c r="V152" s="6">
        <f>(H152+0.5*E152)/J152</f>
        <v>0.50407709414381019</v>
      </c>
      <c r="W152" s="6">
        <f>(I152+0.5*E152)/J152</f>
        <v>0.50630096367679767</v>
      </c>
      <c r="X152" s="6">
        <f>U152/(T152+U152)</f>
        <v>0.13909574468085106</v>
      </c>
      <c r="Y152" t="s">
        <v>162</v>
      </c>
    </row>
    <row r="153" spans="1:25" x14ac:dyDescent="0.35">
      <c r="A153" s="7">
        <v>19</v>
      </c>
      <c r="B153" t="s">
        <v>39</v>
      </c>
      <c r="C153" t="s">
        <v>9</v>
      </c>
      <c r="D153" s="8">
        <v>1220</v>
      </c>
      <c r="E153" s="8">
        <v>438</v>
      </c>
      <c r="F153" s="8">
        <v>764</v>
      </c>
      <c r="G153" s="8" t="s">
        <v>42</v>
      </c>
      <c r="H153" s="8">
        <v>1616</v>
      </c>
      <c r="I153" s="8">
        <v>1504</v>
      </c>
      <c r="J153" s="8">
        <v>4368</v>
      </c>
      <c r="K153" s="8">
        <f>J153/R153</f>
        <v>4963.8479573712257</v>
      </c>
      <c r="L153" s="8">
        <v>15759</v>
      </c>
      <c r="M153" s="8">
        <f>SUM(D153:F153,H153:I153)/Q153</f>
        <v>19792.857142857141</v>
      </c>
      <c r="N153" s="8">
        <f t="shared" si="1"/>
        <v>3.1819538188277088</v>
      </c>
      <c r="O153" s="9">
        <f>L153/J153</f>
        <v>3.6078296703296702</v>
      </c>
      <c r="P153" s="6">
        <f>L153/M153</f>
        <v>0.79619631901840493</v>
      </c>
      <c r="Q153" s="6">
        <v>0.28000000000000003</v>
      </c>
      <c r="R153" s="6">
        <f>R151</f>
        <v>0.87996248827758672</v>
      </c>
      <c r="S153" s="6">
        <f t="shared" si="0"/>
        <v>0.27930402930402931</v>
      </c>
      <c r="T153" s="6">
        <f>F153/J153-U153</f>
        <v>0.15057940729483282</v>
      </c>
      <c r="U153" s="6">
        <f>F153/J153*X150</f>
        <v>2.4329017613592081E-2</v>
      </c>
      <c r="V153" s="6">
        <f>(H153+0.5*E153)/J153</f>
        <v>0.42010073260073261</v>
      </c>
      <c r="W153" s="6">
        <f>(I153+0.5*E153)/J153</f>
        <v>0.39445970695970695</v>
      </c>
      <c r="X153" s="6">
        <f>U153/(T153+U153)</f>
        <v>0.13909574468085106</v>
      </c>
      <c r="Y153" t="s">
        <v>163</v>
      </c>
    </row>
    <row r="154" spans="1:25" x14ac:dyDescent="0.35">
      <c r="A154" s="7">
        <v>20</v>
      </c>
      <c r="B154" t="s">
        <v>44</v>
      </c>
      <c r="C154" t="s">
        <v>49</v>
      </c>
      <c r="D154" s="8">
        <v>1562.8</v>
      </c>
      <c r="E154" s="8" t="s">
        <v>42</v>
      </c>
      <c r="F154" s="8">
        <v>967.7</v>
      </c>
      <c r="G154" s="8" t="s">
        <v>42</v>
      </c>
      <c r="H154" s="8">
        <v>2596</v>
      </c>
      <c r="I154" s="8">
        <v>2596.3000000000002</v>
      </c>
      <c r="J154" s="8">
        <f>K154*R154</f>
        <v>4402.4523288527662</v>
      </c>
      <c r="K154" s="8">
        <v>5003</v>
      </c>
      <c r="L154" s="8">
        <f>M154*P154</f>
        <v>15434.241728642486</v>
      </c>
      <c r="M154" s="8">
        <v>17538.939999999999</v>
      </c>
      <c r="N154" s="8">
        <v>1</v>
      </c>
      <c r="O154" s="9">
        <f t="shared" ref="O154:O155" si="2">L154/J154</f>
        <v>3.5058282465637718</v>
      </c>
      <c r="P154" s="6">
        <f>P150</f>
        <v>0.87999854772537489</v>
      </c>
      <c r="Q154" s="6">
        <f>SUM(D154:I154)/M154</f>
        <v>0.44032307539680282</v>
      </c>
      <c r="R154" s="6">
        <f>R150</f>
        <v>0.87996248827758672</v>
      </c>
      <c r="S154" s="6">
        <f t="shared" si="0"/>
        <v>0.35498396876616484</v>
      </c>
      <c r="T154" s="6">
        <f>F154/J154-U154</f>
        <v>0.18923476863392569</v>
      </c>
      <c r="U154" s="6">
        <f>F154/J154*X150</f>
        <v>3.0574539386945668E-2</v>
      </c>
      <c r="V154" s="6">
        <f>H154/J154</f>
        <v>0.5896713481680087</v>
      </c>
      <c r="W154" s="6">
        <f>I154/J154</f>
        <v>0.58973949200639486</v>
      </c>
      <c r="X154" s="6">
        <f t="shared" ref="X154:X155" si="3">U154/(T154+U154)</f>
        <v>0.13909574468085106</v>
      </c>
      <c r="Y154" t="s">
        <v>151</v>
      </c>
    </row>
    <row r="155" spans="1:25" x14ac:dyDescent="0.35">
      <c r="A155" s="7">
        <v>21</v>
      </c>
      <c r="B155" t="s">
        <v>44</v>
      </c>
      <c r="C155" t="s">
        <v>50</v>
      </c>
      <c r="D155" s="8">
        <v>4752.45</v>
      </c>
      <c r="E155" s="8" t="s">
        <v>42</v>
      </c>
      <c r="F155" s="8">
        <v>2825.8</v>
      </c>
      <c r="G155" s="8" t="s">
        <v>42</v>
      </c>
      <c r="H155" s="8">
        <v>4267</v>
      </c>
      <c r="I155" s="8">
        <v>4267</v>
      </c>
      <c r="J155" s="8">
        <f>K155*R155</f>
        <v>10317.560175054705</v>
      </c>
      <c r="K155" s="8">
        <v>11725</v>
      </c>
      <c r="L155" s="8">
        <f>M155*P155</f>
        <v>47468.749661620015</v>
      </c>
      <c r="M155" s="8">
        <v>53941.85</v>
      </c>
      <c r="N155" s="8">
        <f>13.65/4.45</f>
        <v>3.0674157303370788</v>
      </c>
      <c r="O155" s="9">
        <f t="shared" si="2"/>
        <v>4.6007727462920593</v>
      </c>
      <c r="P155" s="6">
        <f>P150</f>
        <v>0.87999854772537489</v>
      </c>
      <c r="Q155" s="6">
        <f>SUM(D155:I155)/M155</f>
        <v>0.29869665204289436</v>
      </c>
      <c r="R155" s="6">
        <f>R150</f>
        <v>0.87996248827758672</v>
      </c>
      <c r="S155" s="6">
        <f t="shared" si="0"/>
        <v>0.46061761883301078</v>
      </c>
      <c r="T155" s="6">
        <f>F155/J155-U155</f>
        <v>0.23578667857567912</v>
      </c>
      <c r="U155" s="6">
        <f>F155/J155*X150</f>
        <v>3.8095901419549022E-2</v>
      </c>
      <c r="V155" s="6">
        <f>H155/J155</f>
        <v>0.41356676652262664</v>
      </c>
      <c r="W155" s="6">
        <f>I155/J155</f>
        <v>0.41356676652262664</v>
      </c>
      <c r="X155" s="6">
        <f t="shared" si="3"/>
        <v>0.13909574468085106</v>
      </c>
      <c r="Y155" t="s">
        <v>164</v>
      </c>
    </row>
  </sheetData>
  <pageMargins left="0.7" right="0.7" top="0.78740157499999996" bottom="0.78740157499999996"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CF7355-484D-4192-BCC0-BB1F2C9D731F}">
  <sheetPr>
    <tabColor theme="0"/>
  </sheetPr>
  <dimension ref="A1:K96"/>
  <sheetViews>
    <sheetView showGridLines="0" zoomScale="70" zoomScaleNormal="70" workbookViewId="0">
      <selection sqref="A1:XFD1"/>
    </sheetView>
  </sheetViews>
  <sheetFormatPr baseColWidth="10" defaultRowHeight="14.5" x14ac:dyDescent="0.35"/>
  <sheetData>
    <row r="1" spans="1:4" s="1" customFormat="1" x14ac:dyDescent="0.35">
      <c r="A1" s="2" t="s">
        <v>84</v>
      </c>
      <c r="D1" s="2"/>
    </row>
    <row r="4" spans="1:4" x14ac:dyDescent="0.35">
      <c r="A4" t="s">
        <v>0</v>
      </c>
    </row>
    <row r="23" spans="1:1" x14ac:dyDescent="0.35">
      <c r="A23" t="s">
        <v>1</v>
      </c>
    </row>
    <row r="39" spans="1:1" x14ac:dyDescent="0.35">
      <c r="A39" t="s">
        <v>221</v>
      </c>
    </row>
    <row r="50" spans="1:7" s="1" customFormat="1" x14ac:dyDescent="0.35">
      <c r="A50" s="2" t="s">
        <v>85</v>
      </c>
    </row>
    <row r="51" spans="1:7" s="3" customFormat="1" x14ac:dyDescent="0.35">
      <c r="A51" s="18" t="s">
        <v>76</v>
      </c>
      <c r="B51" s="3" t="s">
        <v>87</v>
      </c>
      <c r="C51" s="3" t="s">
        <v>100</v>
      </c>
      <c r="D51" s="4"/>
      <c r="E51" s="5"/>
      <c r="F51" s="5"/>
    </row>
    <row r="52" spans="1:7" s="3" customFormat="1" x14ac:dyDescent="0.35">
      <c r="A52" s="18"/>
      <c r="C52" s="18" t="s">
        <v>19</v>
      </c>
      <c r="D52" s="18" t="s">
        <v>20</v>
      </c>
      <c r="E52" s="18" t="s">
        <v>21</v>
      </c>
      <c r="F52" s="18" t="s">
        <v>22</v>
      </c>
      <c r="G52" s="18" t="s">
        <v>23</v>
      </c>
    </row>
    <row r="53" spans="1:7" x14ac:dyDescent="0.35">
      <c r="A53" s="7">
        <v>1</v>
      </c>
      <c r="B53" t="s">
        <v>88</v>
      </c>
      <c r="C53" s="6">
        <v>1.5</v>
      </c>
      <c r="D53" s="6">
        <v>2.9</v>
      </c>
      <c r="E53" s="7">
        <v>4.5</v>
      </c>
      <c r="F53" s="6">
        <v>1</v>
      </c>
      <c r="G53" s="6">
        <v>1.2</v>
      </c>
    </row>
    <row r="54" spans="1:7" x14ac:dyDescent="0.35">
      <c r="A54" s="7">
        <v>2</v>
      </c>
      <c r="B54" t="s">
        <v>89</v>
      </c>
      <c r="C54" s="6">
        <v>1.5</v>
      </c>
      <c r="D54" s="6">
        <v>2.9</v>
      </c>
      <c r="E54" s="7">
        <v>4.5</v>
      </c>
      <c r="F54" s="6">
        <v>1</v>
      </c>
      <c r="G54" s="6">
        <v>1.2</v>
      </c>
    </row>
    <row r="55" spans="1:7" x14ac:dyDescent="0.35">
      <c r="A55" s="7">
        <v>3</v>
      </c>
      <c r="B55" t="s">
        <v>90</v>
      </c>
      <c r="C55" s="6">
        <v>1.2</v>
      </c>
      <c r="D55" s="6">
        <v>2.9</v>
      </c>
      <c r="E55" s="7">
        <v>4.5</v>
      </c>
      <c r="F55" s="6">
        <v>1</v>
      </c>
      <c r="G55" s="6">
        <v>1.2</v>
      </c>
    </row>
    <row r="56" spans="1:7" x14ac:dyDescent="0.35">
      <c r="A56" s="7">
        <v>4</v>
      </c>
      <c r="B56" t="s">
        <v>91</v>
      </c>
      <c r="C56" s="6">
        <v>1.2</v>
      </c>
      <c r="D56" s="6">
        <v>2.9</v>
      </c>
      <c r="E56" s="7">
        <v>4.5</v>
      </c>
      <c r="F56" s="6">
        <v>1</v>
      </c>
      <c r="G56" s="6">
        <v>1.2</v>
      </c>
    </row>
    <row r="57" spans="1:7" x14ac:dyDescent="0.35">
      <c r="A57" s="7">
        <v>5</v>
      </c>
      <c r="B57" t="s">
        <v>92</v>
      </c>
      <c r="C57" s="6">
        <v>1</v>
      </c>
      <c r="D57" s="6">
        <v>2.9</v>
      </c>
      <c r="E57" s="7">
        <v>4.5</v>
      </c>
      <c r="F57" s="6">
        <v>1</v>
      </c>
      <c r="G57" s="6">
        <v>1.2</v>
      </c>
    </row>
    <row r="58" spans="1:7" x14ac:dyDescent="0.35">
      <c r="A58" s="7">
        <v>6</v>
      </c>
      <c r="B58" t="s">
        <v>93</v>
      </c>
      <c r="C58" s="6">
        <v>1</v>
      </c>
      <c r="D58" s="6">
        <v>2.9</v>
      </c>
      <c r="E58" s="7">
        <v>4.5</v>
      </c>
      <c r="F58" s="6">
        <v>1</v>
      </c>
      <c r="G58" s="6">
        <v>1.2</v>
      </c>
    </row>
    <row r="59" spans="1:7" x14ac:dyDescent="0.35">
      <c r="A59" s="7">
        <v>7</v>
      </c>
      <c r="B59" t="s">
        <v>94</v>
      </c>
      <c r="C59" s="6">
        <v>1</v>
      </c>
      <c r="D59" s="6">
        <v>2.9</v>
      </c>
      <c r="E59" s="7">
        <v>2.5</v>
      </c>
      <c r="F59" s="6">
        <v>0.45</v>
      </c>
      <c r="G59" s="6">
        <v>0.85</v>
      </c>
    </row>
    <row r="60" spans="1:7" x14ac:dyDescent="0.35">
      <c r="A60" s="7">
        <v>8</v>
      </c>
      <c r="B60" t="s">
        <v>95</v>
      </c>
      <c r="C60" s="6">
        <v>0.85</v>
      </c>
      <c r="D60" s="6">
        <v>1.9</v>
      </c>
      <c r="E60" s="7">
        <v>2.5</v>
      </c>
      <c r="F60" s="6">
        <v>0.3</v>
      </c>
      <c r="G60" s="6">
        <v>0.4</v>
      </c>
    </row>
    <row r="61" spans="1:7" x14ac:dyDescent="0.35">
      <c r="A61" s="7">
        <v>9</v>
      </c>
      <c r="B61" t="s">
        <v>96</v>
      </c>
      <c r="C61" s="6">
        <v>0.35</v>
      </c>
      <c r="D61" s="6">
        <v>1.9</v>
      </c>
      <c r="E61" s="7">
        <v>2.5</v>
      </c>
      <c r="F61" s="6">
        <v>0.3</v>
      </c>
      <c r="G61" s="6">
        <v>0.4</v>
      </c>
    </row>
    <row r="62" spans="1:7" x14ac:dyDescent="0.35">
      <c r="A62" s="7">
        <v>10</v>
      </c>
      <c r="B62" t="s">
        <v>97</v>
      </c>
      <c r="C62" s="6">
        <v>0.35</v>
      </c>
      <c r="D62" s="6">
        <v>1.3</v>
      </c>
      <c r="E62" s="7">
        <v>1.8</v>
      </c>
      <c r="F62" s="6">
        <v>0.25</v>
      </c>
      <c r="G62" s="6">
        <v>0.4</v>
      </c>
    </row>
    <row r="63" spans="1:7" x14ac:dyDescent="0.35">
      <c r="A63" s="7">
        <v>11</v>
      </c>
      <c r="B63" t="s">
        <v>98</v>
      </c>
      <c r="C63" s="6">
        <v>0.25</v>
      </c>
      <c r="D63" s="6">
        <v>1.3</v>
      </c>
      <c r="E63" s="7">
        <v>1.8</v>
      </c>
      <c r="F63" s="6">
        <v>0.25</v>
      </c>
      <c r="G63" s="6">
        <v>0.4</v>
      </c>
    </row>
    <row r="64" spans="1:7" x14ac:dyDescent="0.35">
      <c r="A64" s="7">
        <v>12</v>
      </c>
      <c r="B64" t="s">
        <v>99</v>
      </c>
      <c r="C64" s="6">
        <v>0.2</v>
      </c>
      <c r="D64" s="6">
        <v>1</v>
      </c>
      <c r="E64" s="7">
        <v>1.8</v>
      </c>
      <c r="F64" s="6">
        <v>0.2</v>
      </c>
      <c r="G64" s="6">
        <v>0.25</v>
      </c>
    </row>
    <row r="65" spans="1:11" x14ac:dyDescent="0.35">
      <c r="A65" s="7">
        <v>13</v>
      </c>
      <c r="B65" t="s">
        <v>102</v>
      </c>
      <c r="C65" s="6">
        <v>0.15</v>
      </c>
      <c r="D65" s="6">
        <v>0.85</v>
      </c>
      <c r="E65" s="7">
        <v>1.3</v>
      </c>
      <c r="F65" s="6">
        <v>0.15</v>
      </c>
      <c r="G65" s="6">
        <v>0.15</v>
      </c>
    </row>
    <row r="66" spans="1:11" x14ac:dyDescent="0.35">
      <c r="A66" s="7">
        <v>14</v>
      </c>
      <c r="B66" t="s">
        <v>103</v>
      </c>
      <c r="C66" s="6">
        <v>0.1</v>
      </c>
      <c r="D66" s="6">
        <v>0.7</v>
      </c>
      <c r="E66" s="8">
        <v>1</v>
      </c>
      <c r="F66" s="6">
        <v>0.1</v>
      </c>
      <c r="G66" s="6">
        <v>0.1</v>
      </c>
    </row>
    <row r="67" spans="1:11" s="1" customFormat="1" x14ac:dyDescent="0.35">
      <c r="A67" s="35" t="s">
        <v>125</v>
      </c>
    </row>
    <row r="68" spans="1:11" s="3" customFormat="1" x14ac:dyDescent="0.35">
      <c r="A68" s="18" t="s">
        <v>76</v>
      </c>
      <c r="B68" s="3" t="s">
        <v>87</v>
      </c>
      <c r="C68" s="3" t="s">
        <v>100</v>
      </c>
      <c r="D68" s="4"/>
      <c r="E68" s="5"/>
      <c r="F68" s="5"/>
    </row>
    <row r="69" spans="1:11" s="3" customFormat="1" x14ac:dyDescent="0.35">
      <c r="A69" s="18"/>
      <c r="C69" s="18" t="s">
        <v>116</v>
      </c>
      <c r="F69" s="18"/>
      <c r="G69" s="18"/>
      <c r="I69" s="18"/>
      <c r="J69" s="18"/>
    </row>
    <row r="70" spans="1:11" x14ac:dyDescent="0.35">
      <c r="A70" s="7">
        <v>1</v>
      </c>
      <c r="B70" t="s">
        <v>107</v>
      </c>
      <c r="F70" s="7" t="s">
        <v>114</v>
      </c>
      <c r="G70" s="7" t="s">
        <v>117</v>
      </c>
      <c r="H70" s="7" t="s">
        <v>115</v>
      </c>
      <c r="I70" s="7" t="s">
        <v>118</v>
      </c>
      <c r="J70" s="7" t="s">
        <v>119</v>
      </c>
      <c r="K70" s="7" t="s">
        <v>120</v>
      </c>
    </row>
    <row r="71" spans="1:11" x14ac:dyDescent="0.35">
      <c r="A71" s="7">
        <v>2</v>
      </c>
      <c r="B71" t="s">
        <v>109</v>
      </c>
      <c r="C71" s="6">
        <v>0.6</v>
      </c>
      <c r="F71" s="6">
        <v>0.15</v>
      </c>
      <c r="G71" s="21">
        <v>3</v>
      </c>
      <c r="H71" s="21">
        <v>1</v>
      </c>
      <c r="I71" s="6">
        <f>G71/0.04/100</f>
        <v>0.75</v>
      </c>
      <c r="J71" s="6">
        <f t="shared" ref="J71:J76" si="0">F71+H71+I71</f>
        <v>1.9</v>
      </c>
      <c r="K71" s="6">
        <f>1/J71</f>
        <v>0.52631578947368418</v>
      </c>
    </row>
    <row r="72" spans="1:11" x14ac:dyDescent="0.35">
      <c r="A72" s="7">
        <v>3</v>
      </c>
      <c r="B72" t="s">
        <v>108</v>
      </c>
      <c r="C72" s="6">
        <v>0.4</v>
      </c>
      <c r="F72" s="6">
        <v>0.15</v>
      </c>
      <c r="G72" s="21">
        <v>6</v>
      </c>
      <c r="H72" s="21">
        <v>1</v>
      </c>
      <c r="I72" s="6">
        <f>G72/0.04/100</f>
        <v>1.5</v>
      </c>
      <c r="J72" s="6">
        <f t="shared" si="0"/>
        <v>2.65</v>
      </c>
      <c r="K72" s="6">
        <f t="shared" ref="K72:K76" si="1">1/J72</f>
        <v>0.37735849056603776</v>
      </c>
    </row>
    <row r="73" spans="1:11" x14ac:dyDescent="0.35">
      <c r="A73" s="7">
        <v>4</v>
      </c>
      <c r="B73" t="s">
        <v>111</v>
      </c>
      <c r="C73" s="6">
        <v>0.3</v>
      </c>
      <c r="F73" s="6">
        <v>0.15</v>
      </c>
      <c r="G73" s="21">
        <v>8</v>
      </c>
      <c r="H73" s="21">
        <v>1</v>
      </c>
      <c r="I73" s="6">
        <f>G73/0.035/100</f>
        <v>2.2857142857142856</v>
      </c>
      <c r="J73" s="6">
        <f t="shared" si="0"/>
        <v>3.4357142857142855</v>
      </c>
      <c r="K73" s="6">
        <f t="shared" si="1"/>
        <v>0.29106029106029108</v>
      </c>
    </row>
    <row r="74" spans="1:11" x14ac:dyDescent="0.35">
      <c r="A74" s="7">
        <v>5</v>
      </c>
      <c r="B74" t="s">
        <v>112</v>
      </c>
      <c r="C74" s="6">
        <v>0.2</v>
      </c>
      <c r="F74" s="6">
        <v>0.15</v>
      </c>
      <c r="G74" s="21">
        <v>13</v>
      </c>
      <c r="H74" s="21">
        <v>1</v>
      </c>
      <c r="I74" s="6">
        <f>G74/0.035/100</f>
        <v>3.714285714285714</v>
      </c>
      <c r="J74" s="6">
        <f t="shared" si="0"/>
        <v>4.8642857142857139</v>
      </c>
      <c r="K74" s="6">
        <f t="shared" si="1"/>
        <v>0.20558002936857564</v>
      </c>
    </row>
    <row r="75" spans="1:11" x14ac:dyDescent="0.35">
      <c r="A75" s="7">
        <v>6</v>
      </c>
      <c r="B75" t="s">
        <v>113</v>
      </c>
      <c r="C75" s="6">
        <v>0.15</v>
      </c>
      <c r="F75" s="6">
        <v>0.15</v>
      </c>
      <c r="G75" s="21">
        <v>18</v>
      </c>
      <c r="H75" s="21">
        <v>1</v>
      </c>
      <c r="I75" s="6">
        <f>G75/0.032/100</f>
        <v>5.625</v>
      </c>
      <c r="J75" s="6">
        <f t="shared" si="0"/>
        <v>6.7750000000000004</v>
      </c>
      <c r="K75" s="6">
        <f t="shared" si="1"/>
        <v>0.14760147601476015</v>
      </c>
    </row>
    <row r="76" spans="1:11" x14ac:dyDescent="0.35">
      <c r="A76" s="7">
        <v>7</v>
      </c>
      <c r="B76" t="s">
        <v>110</v>
      </c>
      <c r="C76" s="6">
        <v>0.1</v>
      </c>
      <c r="F76" s="6">
        <v>0.15</v>
      </c>
      <c r="G76" s="21">
        <v>25</v>
      </c>
      <c r="H76" s="21">
        <v>1</v>
      </c>
      <c r="I76" s="6">
        <f>G76/0.032/100</f>
        <v>7.8125</v>
      </c>
      <c r="J76" s="6">
        <f t="shared" si="0"/>
        <v>8.9625000000000004</v>
      </c>
      <c r="K76" s="6">
        <f t="shared" si="1"/>
        <v>0.11157601115760112</v>
      </c>
    </row>
    <row r="77" spans="1:11" s="1" customFormat="1" x14ac:dyDescent="0.35">
      <c r="A77" s="35" t="s">
        <v>132</v>
      </c>
    </row>
    <row r="78" spans="1:11" s="3" customFormat="1" x14ac:dyDescent="0.35">
      <c r="A78" s="18" t="s">
        <v>76</v>
      </c>
      <c r="B78" s="3" t="s">
        <v>87</v>
      </c>
      <c r="C78" s="3" t="s">
        <v>100</v>
      </c>
      <c r="D78" s="4"/>
      <c r="E78" s="5"/>
      <c r="F78" s="5"/>
    </row>
    <row r="79" spans="1:11" s="3" customFormat="1" x14ac:dyDescent="0.35">
      <c r="A79" s="18"/>
      <c r="C79" s="18" t="s">
        <v>116</v>
      </c>
      <c r="F79" s="18"/>
      <c r="G79" s="18"/>
      <c r="I79" s="18"/>
      <c r="J79" s="18"/>
    </row>
    <row r="80" spans="1:11" x14ac:dyDescent="0.35">
      <c r="A80" s="7">
        <v>1</v>
      </c>
      <c r="B80" t="s">
        <v>107</v>
      </c>
      <c r="F80" s="7"/>
      <c r="G80" s="7"/>
      <c r="H80" s="7"/>
      <c r="I80" s="7"/>
      <c r="J80" s="7"/>
      <c r="K80" s="7"/>
    </row>
    <row r="81" spans="1:11" x14ac:dyDescent="0.35">
      <c r="A81" s="7">
        <v>2</v>
      </c>
      <c r="B81" t="s">
        <v>126</v>
      </c>
      <c r="C81" s="6">
        <v>5</v>
      </c>
      <c r="F81" s="6"/>
      <c r="G81" s="21"/>
      <c r="H81" s="21"/>
      <c r="I81" s="6"/>
      <c r="J81" s="6"/>
      <c r="K81" s="6"/>
    </row>
    <row r="82" spans="1:11" x14ac:dyDescent="0.35">
      <c r="A82" s="7">
        <v>3</v>
      </c>
      <c r="B82" t="s">
        <v>127</v>
      </c>
      <c r="C82" s="6">
        <v>2.6</v>
      </c>
      <c r="F82" s="6"/>
      <c r="G82" s="21"/>
      <c r="H82" s="21"/>
      <c r="I82" s="6"/>
      <c r="J82" s="6"/>
      <c r="K82" s="6"/>
    </row>
    <row r="83" spans="1:11" x14ac:dyDescent="0.35">
      <c r="A83" s="7">
        <v>4</v>
      </c>
      <c r="B83" t="s">
        <v>130</v>
      </c>
      <c r="C83" s="6">
        <v>1.9</v>
      </c>
      <c r="F83" s="6"/>
      <c r="G83" s="21"/>
      <c r="H83" s="21"/>
      <c r="I83" s="6"/>
      <c r="J83" s="6"/>
      <c r="K83" s="6"/>
    </row>
    <row r="84" spans="1:11" x14ac:dyDescent="0.35">
      <c r="A84" s="7">
        <v>5</v>
      </c>
      <c r="B84" t="s">
        <v>131</v>
      </c>
      <c r="C84" s="6">
        <v>1.3</v>
      </c>
      <c r="F84" s="6"/>
      <c r="G84" s="21"/>
      <c r="H84" s="21"/>
      <c r="I84" s="6"/>
      <c r="J84" s="6"/>
      <c r="K84" s="6"/>
    </row>
    <row r="85" spans="1:11" x14ac:dyDescent="0.35">
      <c r="A85" s="7">
        <v>6</v>
      </c>
      <c r="B85" t="s">
        <v>128</v>
      </c>
      <c r="C85" s="6">
        <v>1</v>
      </c>
      <c r="F85" s="6"/>
      <c r="G85" s="21"/>
      <c r="H85" s="21"/>
      <c r="I85" s="6"/>
      <c r="J85" s="6"/>
      <c r="K85" s="6"/>
    </row>
    <row r="86" spans="1:11" x14ac:dyDescent="0.35">
      <c r="A86" s="7">
        <v>7</v>
      </c>
      <c r="B86" t="s">
        <v>129</v>
      </c>
      <c r="C86" s="6">
        <v>0.7</v>
      </c>
      <c r="F86" s="6"/>
      <c r="G86" s="21"/>
      <c r="H86" s="21"/>
      <c r="I86" s="6"/>
      <c r="J86" s="6"/>
      <c r="K86" s="6"/>
    </row>
    <row r="87" spans="1:11" s="1" customFormat="1" x14ac:dyDescent="0.35">
      <c r="A87" s="35" t="s">
        <v>138</v>
      </c>
    </row>
    <row r="88" spans="1:11" s="3" customFormat="1" x14ac:dyDescent="0.35">
      <c r="A88" s="18" t="s">
        <v>76</v>
      </c>
      <c r="B88" s="3" t="s">
        <v>87</v>
      </c>
      <c r="C88" s="3" t="s">
        <v>100</v>
      </c>
      <c r="D88" s="4"/>
      <c r="E88" s="5"/>
      <c r="F88" s="5"/>
    </row>
    <row r="89" spans="1:11" s="3" customFormat="1" x14ac:dyDescent="0.35">
      <c r="A89" s="18"/>
      <c r="C89" s="18" t="s">
        <v>116</v>
      </c>
      <c r="F89" s="18"/>
      <c r="G89" s="18"/>
      <c r="I89" s="18"/>
      <c r="J89" s="18"/>
    </row>
    <row r="90" spans="1:11" x14ac:dyDescent="0.35">
      <c r="A90" s="7">
        <v>1</v>
      </c>
      <c r="B90" t="s">
        <v>107</v>
      </c>
      <c r="F90" s="7"/>
      <c r="G90" s="7"/>
      <c r="H90" s="7"/>
      <c r="I90" s="7"/>
      <c r="J90" s="7"/>
      <c r="K90" s="7"/>
    </row>
    <row r="91" spans="1:11" x14ac:dyDescent="0.35">
      <c r="A91" s="7">
        <v>2</v>
      </c>
      <c r="B91" t="s">
        <v>137</v>
      </c>
      <c r="C91" s="6">
        <v>4.5</v>
      </c>
      <c r="F91" s="6"/>
      <c r="G91" s="21"/>
      <c r="H91" s="21"/>
      <c r="I91" s="6"/>
      <c r="J91" s="6"/>
      <c r="K91" s="6"/>
    </row>
    <row r="92" spans="1:11" x14ac:dyDescent="0.35">
      <c r="A92" s="7">
        <v>3</v>
      </c>
      <c r="B92" t="s">
        <v>136</v>
      </c>
      <c r="C92" s="6">
        <v>3.5</v>
      </c>
      <c r="F92" s="6"/>
      <c r="G92" s="21"/>
      <c r="H92" s="21"/>
      <c r="I92" s="6"/>
      <c r="J92" s="6"/>
      <c r="K92" s="6"/>
    </row>
    <row r="93" spans="1:11" x14ac:dyDescent="0.35">
      <c r="A93" s="7">
        <v>4</v>
      </c>
      <c r="B93" t="s">
        <v>135</v>
      </c>
      <c r="C93" s="6">
        <v>2.5</v>
      </c>
      <c r="F93" s="6"/>
      <c r="G93" s="21"/>
      <c r="H93" s="21"/>
      <c r="I93" s="6"/>
      <c r="J93" s="6"/>
      <c r="K93" s="6"/>
    </row>
    <row r="94" spans="1:11" x14ac:dyDescent="0.35">
      <c r="A94" s="7">
        <v>5</v>
      </c>
      <c r="B94" t="s">
        <v>134</v>
      </c>
      <c r="C94" s="6">
        <v>1.8</v>
      </c>
      <c r="F94" s="6"/>
      <c r="G94" s="21"/>
      <c r="H94" s="21"/>
      <c r="I94" s="6"/>
      <c r="J94" s="6"/>
      <c r="K94" s="6"/>
    </row>
    <row r="95" spans="1:11" x14ac:dyDescent="0.35">
      <c r="A95" s="7">
        <v>6</v>
      </c>
      <c r="B95" t="s">
        <v>133</v>
      </c>
      <c r="C95" s="6">
        <v>1.3</v>
      </c>
      <c r="F95" s="6"/>
      <c r="G95" s="21"/>
      <c r="H95" s="21"/>
      <c r="I95" s="6"/>
      <c r="J95" s="6"/>
      <c r="K95" s="6"/>
    </row>
    <row r="96" spans="1:11" x14ac:dyDescent="0.35">
      <c r="A96" s="7">
        <v>7</v>
      </c>
      <c r="B96" t="s">
        <v>129</v>
      </c>
      <c r="C96" s="6">
        <v>1</v>
      </c>
      <c r="F96" s="6"/>
      <c r="G96" s="21"/>
      <c r="H96" s="21"/>
      <c r="I96" s="6"/>
      <c r="J96" s="6"/>
      <c r="K96" s="6"/>
    </row>
  </sheetData>
  <pageMargins left="0.7" right="0.7" top="0.78740157499999996" bottom="0.78740157499999996"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9F74ED-4CA1-4013-B95E-9D8797B305DA}">
  <sheetPr>
    <tabColor theme="0"/>
    <outlinePr summaryBelow="0" summaryRight="0"/>
  </sheetPr>
  <dimension ref="A1:K84"/>
  <sheetViews>
    <sheetView showGridLines="0" zoomScale="70" zoomScaleNormal="70" workbookViewId="0"/>
  </sheetViews>
  <sheetFormatPr baseColWidth="10" defaultRowHeight="14.5" x14ac:dyDescent="0.35"/>
  <sheetData>
    <row r="1" spans="1:4" s="1" customFormat="1" x14ac:dyDescent="0.35">
      <c r="A1" s="2" t="s">
        <v>84</v>
      </c>
      <c r="D1" s="2"/>
    </row>
    <row r="2" spans="1:4" x14ac:dyDescent="0.35">
      <c r="A2" t="s">
        <v>217</v>
      </c>
    </row>
    <row r="10" spans="1:4" x14ac:dyDescent="0.35">
      <c r="A10" t="s">
        <v>221</v>
      </c>
    </row>
    <row r="19" spans="1:1" x14ac:dyDescent="0.35">
      <c r="A19" t="s">
        <v>221</v>
      </c>
    </row>
    <row r="31" spans="1:1" x14ac:dyDescent="0.35">
      <c r="A31" t="s">
        <v>217</v>
      </c>
    </row>
    <row r="40" spans="1:11" s="1" customFormat="1" x14ac:dyDescent="0.35">
      <c r="A40" s="35" t="s">
        <v>191</v>
      </c>
    </row>
    <row r="41" spans="1:11" s="3" customFormat="1" x14ac:dyDescent="0.35">
      <c r="A41" s="18" t="s">
        <v>76</v>
      </c>
      <c r="B41" s="3" t="s">
        <v>219</v>
      </c>
      <c r="C41" s="3" t="s">
        <v>209</v>
      </c>
      <c r="D41" s="4"/>
      <c r="E41" s="5"/>
      <c r="F41" s="5"/>
    </row>
    <row r="42" spans="1:11" s="3" customFormat="1" x14ac:dyDescent="0.35">
      <c r="A42" s="18"/>
      <c r="C42" s="18"/>
      <c r="F42" s="18"/>
      <c r="G42" s="18"/>
      <c r="I42" s="18"/>
      <c r="J42" s="18"/>
    </row>
    <row r="43" spans="1:11" x14ac:dyDescent="0.35">
      <c r="A43" s="7">
        <v>1</v>
      </c>
      <c r="B43" t="s">
        <v>197</v>
      </c>
      <c r="F43" s="7"/>
      <c r="G43" s="7"/>
      <c r="H43" s="7"/>
      <c r="I43" s="7"/>
      <c r="J43" s="7"/>
      <c r="K43" s="7"/>
    </row>
    <row r="44" spans="1:11" x14ac:dyDescent="0.35">
      <c r="A44" s="7">
        <v>2</v>
      </c>
      <c r="B44" t="s">
        <v>210</v>
      </c>
      <c r="C44" s="6">
        <v>0.12</v>
      </c>
      <c r="F44" s="6"/>
      <c r="G44" s="21"/>
      <c r="H44" s="21"/>
      <c r="I44" s="6"/>
      <c r="J44" s="6"/>
      <c r="K44" s="6"/>
    </row>
    <row r="45" spans="1:11" x14ac:dyDescent="0.35">
      <c r="A45" s="7">
        <v>3</v>
      </c>
      <c r="B45" t="s">
        <v>212</v>
      </c>
      <c r="C45" s="6">
        <v>0.08</v>
      </c>
      <c r="F45" s="6"/>
      <c r="G45" s="21"/>
      <c r="H45" s="21"/>
      <c r="I45" s="6"/>
      <c r="J45" s="6"/>
      <c r="K45" s="6"/>
    </row>
    <row r="46" spans="1:11" x14ac:dyDescent="0.35">
      <c r="A46" s="7">
        <v>4</v>
      </c>
      <c r="B46" t="s">
        <v>211</v>
      </c>
      <c r="C46" s="6">
        <v>0.04</v>
      </c>
      <c r="F46" s="6"/>
      <c r="G46" s="21"/>
      <c r="H46" s="21"/>
      <c r="I46" s="6"/>
      <c r="J46" s="6"/>
      <c r="K46" s="6"/>
    </row>
    <row r="47" spans="1:11" x14ac:dyDescent="0.35">
      <c r="A47" s="7">
        <v>5</v>
      </c>
      <c r="B47" t="s">
        <v>213</v>
      </c>
      <c r="C47" s="6">
        <v>0.01</v>
      </c>
      <c r="F47" s="6"/>
      <c r="G47" s="21"/>
      <c r="H47" s="21"/>
      <c r="I47" s="6"/>
      <c r="J47" s="6"/>
      <c r="K47" s="6"/>
    </row>
    <row r="48" spans="1:11" x14ac:dyDescent="0.35">
      <c r="A48" s="7">
        <v>6</v>
      </c>
      <c r="B48" t="s">
        <v>214</v>
      </c>
      <c r="C48" s="6">
        <v>1.0000000000000001E-9</v>
      </c>
      <c r="F48" s="6"/>
      <c r="G48" s="21"/>
      <c r="H48" s="21"/>
      <c r="I48" s="6"/>
      <c r="J48" s="6"/>
      <c r="K48" s="6"/>
    </row>
    <row r="49" spans="1:11" s="3" customFormat="1" x14ac:dyDescent="0.35">
      <c r="A49" s="3" t="s">
        <v>198</v>
      </c>
      <c r="E49" s="5"/>
    </row>
    <row r="50" spans="1:11" s="36" customFormat="1" x14ac:dyDescent="0.35">
      <c r="C50" s="37"/>
      <c r="D50" s="37"/>
      <c r="E50" s="37" t="s">
        <v>199</v>
      </c>
      <c r="F50" s="37" t="s">
        <v>200</v>
      </c>
    </row>
    <row r="51" spans="1:11" x14ac:dyDescent="0.35">
      <c r="B51" t="s">
        <v>201</v>
      </c>
      <c r="C51" s="7" t="s">
        <v>106</v>
      </c>
      <c r="D51" s="22"/>
      <c r="E51" s="42">
        <v>-0.02</v>
      </c>
      <c r="F51" s="42">
        <v>-0.05</v>
      </c>
    </row>
    <row r="52" spans="1:11" x14ac:dyDescent="0.35">
      <c r="C52" s="7"/>
      <c r="D52" s="22"/>
      <c r="E52" s="7" t="s">
        <v>202</v>
      </c>
      <c r="F52" s="7" t="s">
        <v>202</v>
      </c>
    </row>
    <row r="53" spans="1:11" x14ac:dyDescent="0.35">
      <c r="C53" s="7"/>
      <c r="D53" s="22"/>
      <c r="E53" s="6">
        <v>2.6000000000000002E-2</v>
      </c>
      <c r="F53" s="6">
        <v>6.5000000000000002E-2</v>
      </c>
    </row>
    <row r="54" spans="1:11" s="1" customFormat="1" x14ac:dyDescent="0.35">
      <c r="A54" s="35" t="s">
        <v>267</v>
      </c>
    </row>
    <row r="55" spans="1:11" s="3" customFormat="1" x14ac:dyDescent="0.35">
      <c r="A55" s="18" t="s">
        <v>76</v>
      </c>
      <c r="B55" s="3" t="s">
        <v>220</v>
      </c>
      <c r="C55" s="3" t="s">
        <v>209</v>
      </c>
      <c r="D55" s="4"/>
      <c r="E55" s="5"/>
      <c r="F55" s="5"/>
    </row>
    <row r="56" spans="1:11" s="3" customFormat="1" x14ac:dyDescent="0.35">
      <c r="A56" s="18"/>
      <c r="C56" s="18"/>
      <c r="F56" s="18"/>
      <c r="G56" s="18"/>
      <c r="I56" s="18"/>
      <c r="J56" s="18"/>
    </row>
    <row r="57" spans="1:11" x14ac:dyDescent="0.35">
      <c r="A57" s="7">
        <v>1</v>
      </c>
      <c r="B57" t="s">
        <v>197</v>
      </c>
      <c r="F57" s="7"/>
      <c r="G57" s="7"/>
      <c r="H57" s="7"/>
      <c r="I57" s="7"/>
      <c r="J57" s="7"/>
      <c r="K57" s="7"/>
    </row>
    <row r="58" spans="1:11" x14ac:dyDescent="0.35">
      <c r="A58" s="7">
        <v>2</v>
      </c>
      <c r="B58" t="s">
        <v>222</v>
      </c>
      <c r="C58" s="6">
        <v>1</v>
      </c>
      <c r="F58" s="6"/>
      <c r="G58" s="21"/>
      <c r="H58" s="21"/>
      <c r="I58" s="6"/>
      <c r="J58" s="6"/>
      <c r="K58" s="6"/>
    </row>
    <row r="59" spans="1:11" x14ac:dyDescent="0.35">
      <c r="A59" s="7">
        <v>3</v>
      </c>
      <c r="B59" t="s">
        <v>227</v>
      </c>
      <c r="C59" s="6">
        <v>0.9</v>
      </c>
      <c r="F59" s="6"/>
      <c r="G59" s="21"/>
      <c r="H59" s="21"/>
      <c r="I59" s="6"/>
      <c r="J59" s="6"/>
      <c r="K59" s="6"/>
    </row>
    <row r="60" spans="1:11" x14ac:dyDescent="0.35">
      <c r="A60" s="7">
        <v>4</v>
      </c>
      <c r="B60" t="s">
        <v>223</v>
      </c>
      <c r="C60" s="6">
        <v>0.8</v>
      </c>
      <c r="F60" s="6"/>
      <c r="G60" s="21"/>
      <c r="H60" s="21"/>
      <c r="I60" s="6"/>
      <c r="J60" s="6"/>
      <c r="K60" s="6"/>
    </row>
    <row r="61" spans="1:11" x14ac:dyDescent="0.35">
      <c r="A61" s="7">
        <v>5</v>
      </c>
      <c r="B61" t="s">
        <v>224</v>
      </c>
      <c r="C61" s="6">
        <v>0.6</v>
      </c>
      <c r="F61" s="6"/>
      <c r="G61" s="21"/>
      <c r="H61" s="21"/>
      <c r="I61" s="6"/>
      <c r="J61" s="6"/>
      <c r="K61" s="6"/>
    </row>
    <row r="62" spans="1:11" x14ac:dyDescent="0.35">
      <c r="A62" s="7">
        <v>6</v>
      </c>
      <c r="B62" t="s">
        <v>228</v>
      </c>
      <c r="C62" s="6">
        <v>0.5</v>
      </c>
      <c r="F62" s="6"/>
      <c r="G62" s="21"/>
      <c r="H62" s="21"/>
      <c r="I62" s="6"/>
      <c r="J62" s="6"/>
      <c r="K62" s="6"/>
    </row>
    <row r="63" spans="1:11" x14ac:dyDescent="0.35">
      <c r="A63" s="7">
        <v>7</v>
      </c>
      <c r="B63" t="s">
        <v>225</v>
      </c>
      <c r="C63" s="6">
        <v>0.4</v>
      </c>
    </row>
    <row r="64" spans="1:11" x14ac:dyDescent="0.35">
      <c r="A64" s="7">
        <v>8</v>
      </c>
      <c r="B64" t="s">
        <v>226</v>
      </c>
      <c r="C64" s="6">
        <v>1.0000000000000001E-9</v>
      </c>
    </row>
    <row r="65" spans="1:10" s="3" customFormat="1" x14ac:dyDescent="0.35">
      <c r="A65" s="3" t="s">
        <v>232</v>
      </c>
      <c r="E65" s="5"/>
    </row>
    <row r="66" spans="1:10" s="36" customFormat="1" x14ac:dyDescent="0.35">
      <c r="C66" s="37"/>
      <c r="D66" s="37"/>
      <c r="E66" s="37"/>
      <c r="F66" s="37"/>
    </row>
    <row r="67" spans="1:10" x14ac:dyDescent="0.35">
      <c r="B67" t="s">
        <v>236</v>
      </c>
      <c r="D67" s="7" t="s">
        <v>206</v>
      </c>
      <c r="E67" s="7">
        <v>1</v>
      </c>
      <c r="F67" s="42"/>
    </row>
    <row r="68" spans="1:10" x14ac:dyDescent="0.35">
      <c r="B68" t="s">
        <v>233</v>
      </c>
      <c r="D68" s="7" t="s">
        <v>206</v>
      </c>
      <c r="E68" s="7">
        <v>0.5</v>
      </c>
      <c r="F68" t="s">
        <v>237</v>
      </c>
    </row>
    <row r="69" spans="1:10" x14ac:dyDescent="0.35">
      <c r="B69" t="s">
        <v>234</v>
      </c>
      <c r="D69" s="7" t="s">
        <v>206</v>
      </c>
      <c r="E69" s="7">
        <v>0.9</v>
      </c>
      <c r="F69" t="s">
        <v>235</v>
      </c>
    </row>
    <row r="70" spans="1:10" s="1" customFormat="1" x14ac:dyDescent="0.35">
      <c r="A70" s="35" t="s">
        <v>269</v>
      </c>
    </row>
    <row r="71" spans="1:10" s="3" customFormat="1" x14ac:dyDescent="0.35">
      <c r="A71" s="18" t="s">
        <v>76</v>
      </c>
      <c r="B71" s="3" t="s">
        <v>219</v>
      </c>
      <c r="C71" s="3" t="s">
        <v>246</v>
      </c>
      <c r="D71" s="4"/>
      <c r="E71" s="5"/>
      <c r="F71" s="5"/>
    </row>
    <row r="72" spans="1:10" s="3" customFormat="1" x14ac:dyDescent="0.35">
      <c r="A72" s="18"/>
      <c r="C72" s="18"/>
      <c r="F72" s="18"/>
      <c r="G72" s="18"/>
      <c r="I72" s="18"/>
      <c r="J72" s="18"/>
    </row>
    <row r="73" spans="1:10" x14ac:dyDescent="0.35">
      <c r="A73" s="7">
        <v>1</v>
      </c>
      <c r="B73" t="s">
        <v>197</v>
      </c>
    </row>
    <row r="74" spans="1:10" x14ac:dyDescent="0.35">
      <c r="A74" s="7">
        <v>2</v>
      </c>
      <c r="B74" t="s">
        <v>272</v>
      </c>
      <c r="C74" s="6">
        <v>0.4</v>
      </c>
    </row>
    <row r="75" spans="1:10" x14ac:dyDescent="0.35">
      <c r="A75" s="7">
        <v>3</v>
      </c>
      <c r="B75" t="s">
        <v>274</v>
      </c>
      <c r="C75" s="6">
        <v>0.25</v>
      </c>
    </row>
    <row r="76" spans="1:10" x14ac:dyDescent="0.35">
      <c r="A76" s="7">
        <v>4</v>
      </c>
      <c r="B76" t="s">
        <v>273</v>
      </c>
      <c r="C76" s="6">
        <v>0.12</v>
      </c>
    </row>
    <row r="77" spans="1:10" x14ac:dyDescent="0.35">
      <c r="A77" s="7">
        <v>5</v>
      </c>
      <c r="B77" t="s">
        <v>275</v>
      </c>
      <c r="C77" s="6">
        <v>0.06</v>
      </c>
    </row>
    <row r="78" spans="1:10" s="3" customFormat="1" x14ac:dyDescent="0.35">
      <c r="A78" s="3" t="s">
        <v>277</v>
      </c>
      <c r="E78" s="5"/>
    </row>
    <row r="79" spans="1:10" s="36" customFormat="1" x14ac:dyDescent="0.35">
      <c r="C79" s="37"/>
      <c r="D79" s="37"/>
      <c r="E79" s="37" t="s">
        <v>199</v>
      </c>
      <c r="F79" s="37" t="s">
        <v>200</v>
      </c>
    </row>
    <row r="80" spans="1:10" x14ac:dyDescent="0.35">
      <c r="B80" t="s">
        <v>278</v>
      </c>
      <c r="C80" s="7" t="s">
        <v>279</v>
      </c>
      <c r="D80" s="22"/>
      <c r="E80" s="42">
        <f>C76</f>
        <v>0.12</v>
      </c>
      <c r="F80" s="42">
        <f>C75</f>
        <v>0.25</v>
      </c>
    </row>
    <row r="81" spans="1:10" s="1" customFormat="1" x14ac:dyDescent="0.35">
      <c r="A81" s="35" t="s">
        <v>270</v>
      </c>
    </row>
    <row r="82" spans="1:10" s="3" customFormat="1" x14ac:dyDescent="0.35">
      <c r="A82" s="18" t="s">
        <v>76</v>
      </c>
      <c r="B82" s="3" t="s">
        <v>219</v>
      </c>
      <c r="C82" s="3" t="s">
        <v>246</v>
      </c>
      <c r="D82" s="4"/>
      <c r="E82" s="5"/>
      <c r="F82" s="5"/>
    </row>
    <row r="83" spans="1:10" s="3" customFormat="1" x14ac:dyDescent="0.35">
      <c r="A83" s="18"/>
      <c r="C83" s="18"/>
      <c r="F83" s="18"/>
      <c r="G83" s="18"/>
      <c r="I83" s="18"/>
      <c r="J83" s="18"/>
    </row>
    <row r="84" spans="1:10" x14ac:dyDescent="0.35">
      <c r="B84" t="s">
        <v>270</v>
      </c>
      <c r="D84" s="7" t="s">
        <v>206</v>
      </c>
      <c r="E84" s="7">
        <v>0.85</v>
      </c>
    </row>
  </sheetData>
  <pageMargins left="0.7" right="0.7" top="0.78740157499999996" bottom="0.78740157499999996" header="0.3" footer="0.3"/>
  <drawing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7</vt:i4>
      </vt:variant>
    </vt:vector>
  </HeadingPairs>
  <TitlesOfParts>
    <vt:vector size="7" baseType="lpstr">
      <vt:lpstr>Ein- und Ausgabe</vt:lpstr>
      <vt:lpstr>Berechnung</vt:lpstr>
      <vt:lpstr>DB_Ampel_Temp</vt:lpstr>
      <vt:lpstr>DB_Nutzung</vt:lpstr>
      <vt:lpstr>DB_Geometrie</vt:lpstr>
      <vt:lpstr>DB_Hülle</vt:lpstr>
      <vt:lpstr>DB_QS&amp;Rest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Kati Jagnow</dc:creator>
  <cp:lastModifiedBy>Kati Jagnow</cp:lastModifiedBy>
  <dcterms:created xsi:type="dcterms:W3CDTF">2025-10-01T07:06:37Z</dcterms:created>
  <dcterms:modified xsi:type="dcterms:W3CDTF">2025-12-16T13:30:17Z</dcterms:modified>
</cp:coreProperties>
</file>