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DieseArbeitsmappe"/>
  <mc:AlternateContent xmlns:mc="http://schemas.openxmlformats.org/markup-compatibility/2006">
    <mc:Choice Requires="x15">
      <x15ac:absPath xmlns:x15ac="http://schemas.microsoft.com/office/spreadsheetml/2010/11/ac" url="C:\DATEN\21 MD Vorlesungen\_BA TGA (B607) SS\50 Für STUDENTEN\16 GEG\"/>
    </mc:Choice>
  </mc:AlternateContent>
  <xr:revisionPtr revIDLastSave="0" documentId="13_ncr:1_{7334FC8A-8246-465F-8219-23CE6BBFC07F}" xr6:coauthVersionLast="47" xr6:coauthVersionMax="47" xr10:uidLastSave="{00000000-0000-0000-0000-000000000000}"/>
  <workbookProtection workbookAlgorithmName="SHA-512" workbookHashValue="f+yMypzpCeXnQSXM/nI4FUKJwLTMdAQ5mPhueOf2VJxd9xi2mn3dMyVqFUqfpCAhmkfxiTZR40Zi8JK0DNihEA==" workbookSaltValue="X31hqIH+DChOLe42zzZg0g==" workbookSpinCount="100000" lockStructure="1"/>
  <bookViews>
    <workbookView xWindow="-110" yWindow="-110" windowWidth="19420" windowHeight="11600" tabRatio="818" firstSheet="4" activeTab="7" xr2:uid="{00000000-000D-0000-FFFF-FFFF00000000}"/>
  </bookViews>
  <sheets>
    <sheet name="LIZENZ" sheetId="1" state="hidden" r:id="rId1"/>
    <sheet name="Hinweis" sheetId="33" r:id="rId2"/>
    <sheet name="Allgemeines (01)" sheetId="6" r:id="rId3"/>
    <sheet name="Gebäude (02,03)" sheetId="36" r:id="rId4"/>
    <sheet name="Anlage (04)" sheetId="8" r:id="rId5"/>
    <sheet name="Ergebnisse IST (05,06,07)" sheetId="9" r:id="rId6"/>
    <sheet name="Ergebnisse REF (08,09,10)" sheetId="35" r:id="rId7"/>
    <sheet name="Übersicht (11)" sheetId="10" r:id="rId8"/>
    <sheet name="Probleme" sheetId="3" r:id="rId9"/>
    <sheet name="Nutzung" sheetId="4" r:id="rId10"/>
    <sheet name="Formelzeichen" sheetId="5" r:id="rId11"/>
    <sheet name="Rechnungen" sheetId="11" state="hidden" r:id="rId12"/>
    <sheet name="TW-01" sheetId="18" state="hidden" r:id="rId13"/>
    <sheet name="TW-02" sheetId="19" state="hidden" r:id="rId14"/>
    <sheet name="TW-03" sheetId="20" state="hidden" r:id="rId15"/>
    <sheet name="TW-04" sheetId="21" state="hidden" r:id="rId16"/>
    <sheet name="TW-05" sheetId="22" state="hidden" r:id="rId17"/>
    <sheet name="L-01" sheetId="23" state="hidden" r:id="rId18"/>
    <sheet name="L-02" sheetId="24" state="hidden" r:id="rId19"/>
    <sheet name="L-03" sheetId="25" state="hidden" r:id="rId20"/>
    <sheet name="L-04" sheetId="26" state="hidden" r:id="rId21"/>
    <sheet name="L-05" sheetId="27" state="hidden" r:id="rId22"/>
    <sheet name="H-01" sheetId="28" state="hidden" r:id="rId23"/>
    <sheet name="H-02" sheetId="29" state="hidden" r:id="rId24"/>
    <sheet name="H-03" sheetId="30" state="hidden" r:id="rId25"/>
    <sheet name="H-04" sheetId="31" state="hidden" r:id="rId26"/>
    <sheet name="H-05" sheetId="32" state="hidden" r:id="rId27"/>
    <sheet name="FP" sheetId="34" state="hidden" r:id="rId28"/>
  </sheets>
  <definedNames>
    <definedName name="_xlnm.Print_Area" localSheetId="2">'Allgemeines (01)'!$A$1:$G$47</definedName>
    <definedName name="_xlnm.Print_Area" localSheetId="4">'Anlage (04)'!$A$5:$G$68</definedName>
    <definedName name="_xlnm.Print_Area" localSheetId="5">'Ergebnisse IST (05,06,07)'!$A$1:$P$217</definedName>
    <definedName name="_xlnm.Print_Area" localSheetId="6">'Ergebnisse REF (08,09,10)'!$A$1:$P$217</definedName>
    <definedName name="_xlnm.Print_Area" localSheetId="10">Formelzeichen!$A$1:$G$31</definedName>
    <definedName name="_xlnm.Print_Area" localSheetId="3">'Gebäude (02,03)'!$A$5:$S$146</definedName>
    <definedName name="_xlnm.Print_Area" localSheetId="1">Hinweis!$A$1:$L$30</definedName>
    <definedName name="_xlnm.Print_Area" localSheetId="9">Nutzung!$A$1:$G$39</definedName>
    <definedName name="_xlnm.Print_Area" localSheetId="8">Probleme!$A$1:$G$44</definedName>
    <definedName name="_xlnm.Print_Area" localSheetId="7">'Übersicht (11)'!$A$1:$N$81</definedName>
    <definedName name="Z_586D4F31_1FA3_11D6_B431_009027A4C716_.wvu.PrintArea" localSheetId="2" hidden="1">'Allgemeines (01)'!$A$1:$G$47</definedName>
    <definedName name="Z_586D4F31_1FA3_11D6_B431_009027A4C716_.wvu.PrintArea" localSheetId="4" hidden="1">'Anlage (04)'!$A$5:$G$68</definedName>
    <definedName name="Z_586D4F31_1FA3_11D6_B431_009027A4C716_.wvu.PrintArea" localSheetId="5" hidden="1">'Ergebnisse IST (05,06,07)'!$A$1:$P$217</definedName>
    <definedName name="Z_586D4F31_1FA3_11D6_B431_009027A4C716_.wvu.PrintArea" localSheetId="6" hidden="1">'Ergebnisse REF (08,09,10)'!$A$1:$O$217</definedName>
    <definedName name="Z_586D4F31_1FA3_11D6_B431_009027A4C716_.wvu.PrintArea" localSheetId="10" hidden="1">Formelzeichen!$A$1:$G$23</definedName>
    <definedName name="Z_586D4F31_1FA3_11D6_B431_009027A4C716_.wvu.PrintArea" localSheetId="9" hidden="1">Nutzung!$A$37:$G$39</definedName>
    <definedName name="Z_586D4F31_1FA3_11D6_B431_009027A4C716_.wvu.PrintArea" localSheetId="8" hidden="1">Probleme!$A$1:$G$44</definedName>
    <definedName name="Z_586D4F31_1FA3_11D6_B431_009027A4C716_.wvu.PrintArea" localSheetId="7" hidden="1">'Übersicht (11)'!$A$1:$N$52</definedName>
  </definedNames>
  <calcPr calcId="191029" calcOnSave="0"/>
  <customWorkbookViews>
    <customWorkbookView name="din1" guid="{AB7935E0-18C1-11D5-A405-00409522490A}" maximized="1" windowWidth="1018" windowHeight="738" tabRatio="862" activeSheetId="5" showFormulaBar="0" showStatusbar="0" showComments="commNone"/>
    <customWorkbookView name="Jagnow - Persönliche Ansicht" guid="{586D4F31-1FA3-11D6-B431-009027A4C716}" mergeInterval="0" personalView="1" maximized="1" windowWidth="1020" windowHeight="560" tabRatio="86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10" l="1"/>
  <c r="A2" i="1"/>
  <c r="AF323" i="11" l="1"/>
  <c r="AK605" i="11"/>
  <c r="G141" i="35" s="1"/>
  <c r="AK311" i="11"/>
  <c r="AK301" i="11"/>
  <c r="L661" i="11"/>
  <c r="D656" i="11"/>
  <c r="K608" i="11"/>
  <c r="G143" i="9" s="1"/>
  <c r="E71" i="36" l="1"/>
  <c r="B124" i="11" l="1"/>
  <c r="B123" i="11"/>
  <c r="B114" i="11"/>
  <c r="D13" i="11"/>
  <c r="D12" i="11"/>
  <c r="G4" i="9" s="1"/>
  <c r="D684" i="11"/>
  <c r="B112" i="11"/>
  <c r="D112" i="11"/>
  <c r="L112" i="11" s="1"/>
  <c r="C112" i="11"/>
  <c r="U112" i="11"/>
  <c r="D114" i="11"/>
  <c r="L114" i="11" s="1"/>
  <c r="C114" i="11"/>
  <c r="U114" i="11"/>
  <c r="D116" i="11"/>
  <c r="C116" i="11"/>
  <c r="U116" i="11"/>
  <c r="D118" i="11"/>
  <c r="AB118" i="11" s="1"/>
  <c r="C118" i="11"/>
  <c r="U118" i="11"/>
  <c r="B113" i="11"/>
  <c r="D113" i="11"/>
  <c r="L113" i="11" s="1"/>
  <c r="C113" i="11"/>
  <c r="U113" i="11"/>
  <c r="D115" i="11"/>
  <c r="I115" i="11" s="1"/>
  <c r="C115" i="11"/>
  <c r="U115" i="11"/>
  <c r="D117" i="11"/>
  <c r="AB117" i="11" s="1"/>
  <c r="C117" i="11"/>
  <c r="U117" i="11"/>
  <c r="D119" i="11"/>
  <c r="C119" i="11"/>
  <c r="U119" i="11"/>
  <c r="B120" i="11"/>
  <c r="D120" i="11"/>
  <c r="C120" i="11"/>
  <c r="U120" i="11"/>
  <c r="B122" i="11"/>
  <c r="D122" i="11"/>
  <c r="L122" i="11" s="1"/>
  <c r="C122" i="11"/>
  <c r="U122" i="11"/>
  <c r="D124" i="11"/>
  <c r="C124" i="11"/>
  <c r="U124" i="11"/>
  <c r="D123" i="11"/>
  <c r="C123" i="11"/>
  <c r="U123" i="11"/>
  <c r="B125" i="11"/>
  <c r="D125" i="11"/>
  <c r="G125" i="11"/>
  <c r="F125" i="11"/>
  <c r="C125" i="11"/>
  <c r="U125" i="11"/>
  <c r="B126" i="11"/>
  <c r="D126" i="11"/>
  <c r="AB126" i="11" s="1"/>
  <c r="D133" i="11"/>
  <c r="D128" i="11"/>
  <c r="O128" i="11" s="1"/>
  <c r="D127" i="11"/>
  <c r="S127" i="11" s="1"/>
  <c r="D121" i="11"/>
  <c r="L121" i="11" s="1"/>
  <c r="G126" i="11"/>
  <c r="F126" i="11"/>
  <c r="C126" i="11"/>
  <c r="U126" i="11"/>
  <c r="B127" i="11"/>
  <c r="G127" i="11"/>
  <c r="F127" i="11"/>
  <c r="C127" i="11"/>
  <c r="U127" i="11"/>
  <c r="B128" i="11"/>
  <c r="G128" i="11"/>
  <c r="F128" i="11"/>
  <c r="C128" i="11"/>
  <c r="U128" i="11"/>
  <c r="B121" i="11"/>
  <c r="C121" i="11"/>
  <c r="U121" i="11"/>
  <c r="B48" i="11"/>
  <c r="B52" i="11"/>
  <c r="B62" i="11"/>
  <c r="D63" i="11"/>
  <c r="B55" i="11"/>
  <c r="B60" i="11" s="1"/>
  <c r="D228" i="11" s="1"/>
  <c r="R112" i="11"/>
  <c r="B187" i="11"/>
  <c r="P114" i="11"/>
  <c r="R114" i="11"/>
  <c r="B189" i="11"/>
  <c r="R116" i="11"/>
  <c r="B191" i="11"/>
  <c r="R118" i="11"/>
  <c r="B193" i="11"/>
  <c r="R113" i="11"/>
  <c r="B188" i="11"/>
  <c r="R115" i="11"/>
  <c r="B190" i="11"/>
  <c r="R117" i="11"/>
  <c r="B192" i="11"/>
  <c r="R119" i="11"/>
  <c r="B194" i="11"/>
  <c r="R120" i="11"/>
  <c r="B195" i="11"/>
  <c r="R122" i="11"/>
  <c r="B197" i="11"/>
  <c r="R124" i="11"/>
  <c r="B199" i="11"/>
  <c r="R123" i="11"/>
  <c r="B198" i="11"/>
  <c r="P126" i="11"/>
  <c r="R121" i="11"/>
  <c r="B196" i="11"/>
  <c r="D152" i="11"/>
  <c r="D154" i="11"/>
  <c r="D156" i="11"/>
  <c r="D158" i="11"/>
  <c r="D151" i="11"/>
  <c r="D153" i="11"/>
  <c r="D155" i="11"/>
  <c r="D157" i="11"/>
  <c r="D159" i="11"/>
  <c r="D160" i="11"/>
  <c r="D161" i="11"/>
  <c r="D162" i="11"/>
  <c r="D163" i="11"/>
  <c r="W126" i="11"/>
  <c r="G76" i="35"/>
  <c r="AB656" i="11" s="1"/>
  <c r="G77" i="35"/>
  <c r="AB657" i="11" s="1"/>
  <c r="G79" i="35"/>
  <c r="N4" i="21"/>
  <c r="G81" i="35"/>
  <c r="AB661" i="11" s="1"/>
  <c r="G82" i="35"/>
  <c r="AB662" i="11" s="1"/>
  <c r="G83" i="35"/>
  <c r="AB663" i="11" s="1"/>
  <c r="D4" i="11"/>
  <c r="F46" i="9" s="1"/>
  <c r="G112" i="11"/>
  <c r="H112" i="11" s="1"/>
  <c r="G113" i="11"/>
  <c r="H113" i="11" s="1"/>
  <c r="G114" i="11"/>
  <c r="H114" i="11" s="1"/>
  <c r="G115" i="11"/>
  <c r="H115" i="11" s="1"/>
  <c r="G116" i="11"/>
  <c r="H116" i="11" s="1"/>
  <c r="G117" i="11"/>
  <c r="H117" i="11" s="1"/>
  <c r="G118" i="11"/>
  <c r="H118" i="11" s="1"/>
  <c r="G119" i="11"/>
  <c r="H119" i="11" s="1"/>
  <c r="G120" i="11"/>
  <c r="H120" i="11" s="1"/>
  <c r="G121" i="11"/>
  <c r="H121" i="11" s="1"/>
  <c r="G122" i="11"/>
  <c r="H122" i="11" s="1"/>
  <c r="G123" i="11"/>
  <c r="H123" i="11" s="1"/>
  <c r="G124" i="11"/>
  <c r="H124" i="11" s="1"/>
  <c r="D141" i="11"/>
  <c r="E141" i="11" s="1"/>
  <c r="N66" i="36" s="1"/>
  <c r="D140" i="11"/>
  <c r="S140" i="11" s="1"/>
  <c r="D139" i="11"/>
  <c r="I139" i="11" s="1"/>
  <c r="D138" i="11"/>
  <c r="S138" i="11" s="1"/>
  <c r="D137" i="11"/>
  <c r="W137" i="11" s="1"/>
  <c r="D136" i="11"/>
  <c r="L136" i="11" s="1"/>
  <c r="D135" i="11"/>
  <c r="I135" i="11" s="1"/>
  <c r="D134" i="11"/>
  <c r="L134" i="11" s="1"/>
  <c r="D132" i="11"/>
  <c r="L132" i="11" s="1"/>
  <c r="D131" i="11"/>
  <c r="D130" i="11"/>
  <c r="I130" i="11" s="1"/>
  <c r="D129" i="11"/>
  <c r="P129" i="11" s="1"/>
  <c r="C129" i="11"/>
  <c r="G129" i="11"/>
  <c r="H129" i="11" s="1"/>
  <c r="U129" i="11"/>
  <c r="C130" i="11"/>
  <c r="G130" i="11"/>
  <c r="H130" i="11" s="1"/>
  <c r="U130" i="11"/>
  <c r="C131" i="11"/>
  <c r="G131" i="11"/>
  <c r="H131" i="11" s="1"/>
  <c r="U131" i="11"/>
  <c r="C132" i="11"/>
  <c r="G132" i="11"/>
  <c r="H132" i="11" s="1"/>
  <c r="U132" i="11"/>
  <c r="C133" i="11"/>
  <c r="G133" i="11"/>
  <c r="H133" i="11" s="1"/>
  <c r="U133" i="11"/>
  <c r="C134" i="11"/>
  <c r="G134" i="11"/>
  <c r="H134" i="11" s="1"/>
  <c r="U134" i="11"/>
  <c r="C135" i="11"/>
  <c r="G135" i="11"/>
  <c r="H135" i="11" s="1"/>
  <c r="U135" i="11"/>
  <c r="C136" i="11"/>
  <c r="G136" i="11"/>
  <c r="H136" i="11" s="1"/>
  <c r="U136" i="11"/>
  <c r="C137" i="11"/>
  <c r="G137" i="11"/>
  <c r="H137" i="11" s="1"/>
  <c r="U137" i="11"/>
  <c r="C138" i="11"/>
  <c r="G138" i="11"/>
  <c r="H138" i="11" s="1"/>
  <c r="U138" i="11"/>
  <c r="C139" i="11"/>
  <c r="G139" i="11"/>
  <c r="H139" i="11" s="1"/>
  <c r="U139" i="11"/>
  <c r="C140" i="11"/>
  <c r="G140" i="11"/>
  <c r="H140" i="11" s="1"/>
  <c r="U140" i="11"/>
  <c r="C141" i="11"/>
  <c r="G141" i="11"/>
  <c r="H141" i="11" s="1"/>
  <c r="U141" i="11"/>
  <c r="AB53" i="11"/>
  <c r="AG225" i="11"/>
  <c r="D11" i="11"/>
  <c r="AB60" i="11"/>
  <c r="AC107" i="11" s="1"/>
  <c r="AD228" i="11" s="1"/>
  <c r="AD225" i="11"/>
  <c r="B151" i="11"/>
  <c r="AB151" i="11" s="1"/>
  <c r="C151" i="11"/>
  <c r="AC151" i="11" s="1"/>
  <c r="B152" i="11"/>
  <c r="C152" i="11"/>
  <c r="AC152" i="11" s="1"/>
  <c r="B153" i="11"/>
  <c r="AB153" i="11" s="1"/>
  <c r="C153" i="11"/>
  <c r="AC153" i="11" s="1"/>
  <c r="B154" i="11"/>
  <c r="AB154" i="11" s="1"/>
  <c r="C154" i="11"/>
  <c r="AC154" i="11" s="1"/>
  <c r="B155" i="11"/>
  <c r="AB155" i="11" s="1"/>
  <c r="C155" i="11"/>
  <c r="AC155" i="11" s="1"/>
  <c r="B156" i="11"/>
  <c r="AB156" i="11" s="1"/>
  <c r="C156" i="11"/>
  <c r="AC156" i="11" s="1"/>
  <c r="B157" i="11"/>
  <c r="AB157" i="11" s="1"/>
  <c r="C157" i="11"/>
  <c r="AC157" i="11" s="1"/>
  <c r="B158" i="11"/>
  <c r="AB158" i="11" s="1"/>
  <c r="C158" i="11"/>
  <c r="AC158" i="11" s="1"/>
  <c r="B159" i="11"/>
  <c r="AB159" i="11" s="1"/>
  <c r="C159" i="11"/>
  <c r="AC159" i="11" s="1"/>
  <c r="B160" i="11"/>
  <c r="C160" i="11"/>
  <c r="AC160" i="11" s="1"/>
  <c r="B161" i="11"/>
  <c r="AB161" i="11" s="1"/>
  <c r="C161" i="11"/>
  <c r="AC161" i="11" s="1"/>
  <c r="B162" i="11"/>
  <c r="AB162" i="11" s="1"/>
  <c r="C162" i="11"/>
  <c r="AC162" i="11" s="1"/>
  <c r="B163" i="11"/>
  <c r="AB163" i="11" s="1"/>
  <c r="C163" i="11"/>
  <c r="AC163" i="11" s="1"/>
  <c r="R125" i="11"/>
  <c r="R126" i="11"/>
  <c r="R127" i="11"/>
  <c r="R128" i="11"/>
  <c r="R129" i="11"/>
  <c r="R130" i="11"/>
  <c r="R131" i="11"/>
  <c r="R132" i="11"/>
  <c r="R133" i="11"/>
  <c r="R134" i="11"/>
  <c r="R135" i="11"/>
  <c r="R136" i="11"/>
  <c r="R137" i="11"/>
  <c r="R138" i="11"/>
  <c r="R139" i="11"/>
  <c r="R140" i="11"/>
  <c r="R141" i="11"/>
  <c r="B200" i="11"/>
  <c r="B201" i="11"/>
  <c r="B202" i="11"/>
  <c r="B203" i="11"/>
  <c r="B204" i="11"/>
  <c r="B205" i="11"/>
  <c r="B206" i="11"/>
  <c r="B207" i="11"/>
  <c r="B208" i="11"/>
  <c r="B209" i="11"/>
  <c r="B210" i="11"/>
  <c r="B211" i="11"/>
  <c r="B212" i="11"/>
  <c r="B213" i="11"/>
  <c r="B214" i="11"/>
  <c r="B215" i="11"/>
  <c r="B216" i="11"/>
  <c r="A222" i="11"/>
  <c r="B243" i="11"/>
  <c r="E244" i="11"/>
  <c r="D244" i="11"/>
  <c r="G98" i="35"/>
  <c r="AF654" i="11" s="1"/>
  <c r="G101" i="35"/>
  <c r="G103" i="35" s="1"/>
  <c r="AF659" i="11" s="1"/>
  <c r="G104" i="35"/>
  <c r="AF660" i="11" s="1"/>
  <c r="G96" i="35"/>
  <c r="AF652" i="11" s="1"/>
  <c r="G97" i="35"/>
  <c r="AF653" i="11" s="1"/>
  <c r="AC400" i="11"/>
  <c r="AF483" i="11"/>
  <c r="G124" i="35" s="1"/>
  <c r="AJ656" i="11" s="1"/>
  <c r="G126" i="35"/>
  <c r="AJ658" i="11" s="1"/>
  <c r="G127" i="35"/>
  <c r="AJ659" i="11" s="1"/>
  <c r="G128" i="35"/>
  <c r="AJ660" i="11" s="1"/>
  <c r="G130" i="35"/>
  <c r="M130" i="35" s="1"/>
  <c r="F565" i="11"/>
  <c r="AF577" i="11" s="1"/>
  <c r="G131" i="35" s="1"/>
  <c r="G133" i="35"/>
  <c r="M133" i="35" s="1"/>
  <c r="AL660" i="11" s="1"/>
  <c r="G134" i="35"/>
  <c r="AJ666" i="11" s="1"/>
  <c r="G135" i="35"/>
  <c r="AJ667" i="11" s="1"/>
  <c r="M83" i="35"/>
  <c r="AD663" i="11" s="1"/>
  <c r="AE400" i="11"/>
  <c r="E34" i="27" s="1"/>
  <c r="M126" i="35"/>
  <c r="AL653" i="11" s="1"/>
  <c r="M135" i="35"/>
  <c r="AL662" i="11" s="1"/>
  <c r="D605" i="11"/>
  <c r="A599" i="11"/>
  <c r="K599" i="11" s="1"/>
  <c r="G140" i="9" s="1"/>
  <c r="D612" i="11"/>
  <c r="M146" i="35"/>
  <c r="K270" i="11"/>
  <c r="G65" i="9" s="1"/>
  <c r="A294" i="11"/>
  <c r="A288" i="11"/>
  <c r="K284" i="11" s="1"/>
  <c r="G66" i="9" s="1"/>
  <c r="A321" i="11"/>
  <c r="F325" i="11"/>
  <c r="A326" i="11"/>
  <c r="K331" i="11"/>
  <c r="A363" i="11"/>
  <c r="K362" i="11" s="1"/>
  <c r="H327" i="11" s="1"/>
  <c r="A327" i="11" s="1"/>
  <c r="A386" i="11"/>
  <c r="A392" i="11"/>
  <c r="A404" i="11"/>
  <c r="A426" i="11"/>
  <c r="K425" i="11" s="1"/>
  <c r="G90" i="9" s="1"/>
  <c r="A433" i="11"/>
  <c r="A439" i="11"/>
  <c r="K439" i="11" s="1"/>
  <c r="G91" i="9" s="1"/>
  <c r="A446" i="11"/>
  <c r="K446" i="11" s="1"/>
  <c r="A452" i="11"/>
  <c r="K452" i="11"/>
  <c r="K464" i="11"/>
  <c r="G110" i="9" s="1"/>
  <c r="A488" i="11"/>
  <c r="A500" i="11"/>
  <c r="K493" i="11" s="1"/>
  <c r="A506" i="11"/>
  <c r="K505" i="11" s="1"/>
  <c r="G113" i="9" s="1"/>
  <c r="K521" i="11"/>
  <c r="G115" i="9" s="1"/>
  <c r="A549" i="11"/>
  <c r="A566" i="11"/>
  <c r="A575" i="11"/>
  <c r="A581" i="11"/>
  <c r="A582" i="11"/>
  <c r="G376" i="11"/>
  <c r="F321" i="11"/>
  <c r="L2" i="21"/>
  <c r="E376" i="11"/>
  <c r="D429" i="11"/>
  <c r="F442" i="11"/>
  <c r="F449" i="11"/>
  <c r="B129" i="11"/>
  <c r="B130" i="11"/>
  <c r="B131" i="11"/>
  <c r="B132" i="11"/>
  <c r="B133" i="11"/>
  <c r="B134" i="11"/>
  <c r="B135" i="11"/>
  <c r="B136" i="11"/>
  <c r="B137" i="11"/>
  <c r="B138" i="11"/>
  <c r="B139" i="11"/>
  <c r="B140" i="11"/>
  <c r="B141" i="11"/>
  <c r="G359" i="11"/>
  <c r="F412" i="11"/>
  <c r="B7" i="23"/>
  <c r="D18" i="23" s="1"/>
  <c r="D449" i="11"/>
  <c r="B6" i="23" s="1"/>
  <c r="B6" i="25" s="1"/>
  <c r="D442" i="11"/>
  <c r="B5" i="23" s="1"/>
  <c r="B5" i="24" s="1"/>
  <c r="C429" i="11"/>
  <c r="B4" i="23" s="1"/>
  <c r="B4" i="24" s="1"/>
  <c r="C389" i="11"/>
  <c r="F483" i="11"/>
  <c r="E3" i="28"/>
  <c r="F36" i="28" s="1"/>
  <c r="E512" i="11"/>
  <c r="C526" i="11"/>
  <c r="D526" i="11" s="1"/>
  <c r="C527" i="11"/>
  <c r="D527" i="11" s="1"/>
  <c r="C528" i="11"/>
  <c r="E528" i="11" s="1"/>
  <c r="C529" i="11"/>
  <c r="D529" i="11" s="1"/>
  <c r="C530" i="11"/>
  <c r="D530" i="11" s="1"/>
  <c r="C531" i="11"/>
  <c r="D531" i="11" s="1"/>
  <c r="C532" i="11"/>
  <c r="D532" i="11" s="1"/>
  <c r="G533" i="11"/>
  <c r="B212" i="30"/>
  <c r="E212" i="30" s="1"/>
  <c r="F212" i="30" s="1"/>
  <c r="F566" i="11"/>
  <c r="F577" i="11" s="1"/>
  <c r="E454" i="11" s="1"/>
  <c r="E1" i="30"/>
  <c r="I13" i="30" s="1"/>
  <c r="I20" i="30" s="1"/>
  <c r="F590" i="11"/>
  <c r="F376" i="11"/>
  <c r="D436" i="11"/>
  <c r="B8" i="23" s="1"/>
  <c r="B8" i="27" s="1"/>
  <c r="E389" i="11"/>
  <c r="E400" i="11" s="1"/>
  <c r="B3" i="23" s="1"/>
  <c r="B3" i="27" s="1"/>
  <c r="F59" i="28"/>
  <c r="F60" i="28"/>
  <c r="F61" i="28"/>
  <c r="F62" i="28"/>
  <c r="F517" i="11"/>
  <c r="G590" i="11"/>
  <c r="C631" i="11"/>
  <c r="D615" i="11"/>
  <c r="C618" i="11" s="1"/>
  <c r="C619" i="11" s="1"/>
  <c r="D631" i="11"/>
  <c r="E631" i="11"/>
  <c r="F631" i="11"/>
  <c r="G631" i="11"/>
  <c r="H631" i="11"/>
  <c r="I631" i="11"/>
  <c r="J631" i="11"/>
  <c r="K631" i="11"/>
  <c r="L631" i="11"/>
  <c r="M631" i="11"/>
  <c r="N631" i="11"/>
  <c r="B3" i="11"/>
  <c r="M2" i="21"/>
  <c r="M3" i="21"/>
  <c r="A286" i="11"/>
  <c r="A320" i="11"/>
  <c r="A312" i="11"/>
  <c r="K311" i="11" s="1"/>
  <c r="A541" i="11"/>
  <c r="A574" i="11"/>
  <c r="F455" i="11"/>
  <c r="E455" i="11"/>
  <c r="B11" i="34"/>
  <c r="F574" i="11" s="1"/>
  <c r="B4" i="11"/>
  <c r="G674" i="11"/>
  <c r="G673" i="11"/>
  <c r="A354" i="11"/>
  <c r="H676" i="11"/>
  <c r="H674" i="11"/>
  <c r="H673" i="11"/>
  <c r="D676" i="11"/>
  <c r="D674" i="11"/>
  <c r="D659" i="11"/>
  <c r="F662" i="11"/>
  <c r="F659" i="11"/>
  <c r="H659" i="11"/>
  <c r="L658" i="11"/>
  <c r="A573" i="11"/>
  <c r="A319" i="11"/>
  <c r="A572" i="11"/>
  <c r="A318" i="11"/>
  <c r="A571" i="11"/>
  <c r="A317" i="11"/>
  <c r="A570" i="11"/>
  <c r="A316" i="11"/>
  <c r="F312" i="11"/>
  <c r="F323" i="11" s="1"/>
  <c r="E453" i="11"/>
  <c r="F573" i="11"/>
  <c r="A364" i="11"/>
  <c r="A347" i="11"/>
  <c r="A388" i="11"/>
  <c r="K386" i="11" s="1"/>
  <c r="A393" i="11"/>
  <c r="K392" i="11" s="1"/>
  <c r="G87" i="9" s="1"/>
  <c r="A551" i="11"/>
  <c r="C89" i="19"/>
  <c r="C90" i="19"/>
  <c r="C91" i="19"/>
  <c r="C92" i="19"/>
  <c r="C93" i="19"/>
  <c r="C94" i="19"/>
  <c r="G3" i="20"/>
  <c r="G62" i="20" s="1"/>
  <c r="E347" i="11"/>
  <c r="F327" i="11"/>
  <c r="E3" i="25"/>
  <c r="F3" i="25" s="1"/>
  <c r="C393" i="11"/>
  <c r="G442" i="11"/>
  <c r="F575" i="11"/>
  <c r="F564" i="11" s="1"/>
  <c r="P139" i="35"/>
  <c r="AK608" i="11"/>
  <c r="G143" i="35" s="1"/>
  <c r="AK602" i="11"/>
  <c r="G142" i="35" s="1"/>
  <c r="AK599" i="11"/>
  <c r="G140" i="35" s="1"/>
  <c r="A68" i="8"/>
  <c r="A138" i="35" s="1"/>
  <c r="A63" i="35" s="1"/>
  <c r="F1" i="6"/>
  <c r="N1" i="35" s="1"/>
  <c r="M139" i="35" s="1"/>
  <c r="A23" i="36"/>
  <c r="K602" i="11"/>
  <c r="G142" i="9" s="1"/>
  <c r="A565" i="11"/>
  <c r="A311" i="11"/>
  <c r="A417" i="11"/>
  <c r="K415" i="11" s="1"/>
  <c r="E2" i="32"/>
  <c r="G2" i="32" s="1"/>
  <c r="F8" i="32" s="1"/>
  <c r="B12" i="32"/>
  <c r="E15" i="32"/>
  <c r="F15" i="32"/>
  <c r="E21" i="32"/>
  <c r="E28" i="32"/>
  <c r="C31" i="32"/>
  <c r="E31" i="32"/>
  <c r="B35" i="32"/>
  <c r="C33" i="22" s="1"/>
  <c r="E38" i="32"/>
  <c r="F38" i="32"/>
  <c r="E44" i="32"/>
  <c r="E51" i="32"/>
  <c r="C54" i="32"/>
  <c r="E54" i="32"/>
  <c r="B58" i="32"/>
  <c r="C50" i="22" s="1"/>
  <c r="E61" i="32"/>
  <c r="F61" i="32"/>
  <c r="E67" i="32"/>
  <c r="E74" i="32"/>
  <c r="C77" i="32"/>
  <c r="E77" i="32"/>
  <c r="D5" i="31"/>
  <c r="E5" i="31"/>
  <c r="E6" i="31" s="1"/>
  <c r="F5" i="31"/>
  <c r="F6" i="31" s="1"/>
  <c r="G5" i="31"/>
  <c r="G6" i="31" s="1"/>
  <c r="D6" i="31"/>
  <c r="D8" i="31" s="1"/>
  <c r="F28" i="30"/>
  <c r="F35" i="30"/>
  <c r="B19" i="30"/>
  <c r="B21" i="30"/>
  <c r="C21" i="30"/>
  <c r="D21" i="30"/>
  <c r="E21" i="30"/>
  <c r="F21" i="30"/>
  <c r="G21" i="30"/>
  <c r="H21" i="30"/>
  <c r="I21" i="30"/>
  <c r="J21" i="30"/>
  <c r="K21" i="30"/>
  <c r="B20" i="30"/>
  <c r="E188" i="30"/>
  <c r="E189" i="30"/>
  <c r="E190" i="30"/>
  <c r="E191" i="30"/>
  <c r="E192" i="30"/>
  <c r="E193" i="30"/>
  <c r="E194" i="30"/>
  <c r="E195" i="30"/>
  <c r="B203" i="30"/>
  <c r="B206" i="30"/>
  <c r="E1" i="29"/>
  <c r="B41" i="29"/>
  <c r="E4" i="28"/>
  <c r="L71" i="28" s="1"/>
  <c r="A3" i="27"/>
  <c r="A4" i="27"/>
  <c r="A5" i="27"/>
  <c r="A6" i="27"/>
  <c r="A7" i="27"/>
  <c r="A8" i="27"/>
  <c r="C34" i="27"/>
  <c r="C44" i="27"/>
  <c r="A3" i="26"/>
  <c r="A4" i="26"/>
  <c r="A5" i="26"/>
  <c r="A6" i="26"/>
  <c r="A7" i="26"/>
  <c r="A8" i="26"/>
  <c r="B21" i="26"/>
  <c r="C21" i="26"/>
  <c r="B22" i="26"/>
  <c r="C22" i="26"/>
  <c r="D22" i="26"/>
  <c r="E22" i="26"/>
  <c r="F22" i="26"/>
  <c r="A3" i="25"/>
  <c r="A4" i="25"/>
  <c r="A5" i="25"/>
  <c r="A6" i="25"/>
  <c r="A7" i="25"/>
  <c r="A8" i="25"/>
  <c r="B21" i="25"/>
  <c r="C21" i="25"/>
  <c r="B22" i="25"/>
  <c r="C22" i="25"/>
  <c r="D22" i="25"/>
  <c r="E22" i="25"/>
  <c r="F22" i="25"/>
  <c r="B45" i="25"/>
  <c r="C45" i="25"/>
  <c r="G440" i="11" s="1"/>
  <c r="A3" i="24"/>
  <c r="A4" i="24"/>
  <c r="A5" i="24"/>
  <c r="A6" i="24"/>
  <c r="A7" i="24"/>
  <c r="A8" i="24"/>
  <c r="C14" i="23"/>
  <c r="H2" i="22"/>
  <c r="D62" i="22" s="1"/>
  <c r="A16" i="22"/>
  <c r="B19" i="22"/>
  <c r="C16" i="22"/>
  <c r="D16" i="22"/>
  <c r="A13" i="22"/>
  <c r="B13" i="22"/>
  <c r="A33" i="22"/>
  <c r="B36" i="22"/>
  <c r="D33" i="22"/>
  <c r="A30" i="22"/>
  <c r="B30" i="22"/>
  <c r="A50" i="22"/>
  <c r="B53" i="22"/>
  <c r="D50" i="22"/>
  <c r="A47" i="22"/>
  <c r="B47" i="22"/>
  <c r="G14" i="21"/>
  <c r="M24" i="21"/>
  <c r="C29" i="21"/>
  <c r="C34" i="21"/>
  <c r="M34" i="21"/>
  <c r="C39" i="21"/>
  <c r="C44" i="21"/>
  <c r="M44" i="21"/>
  <c r="B54" i="21"/>
  <c r="C54" i="21" s="1"/>
  <c r="G40" i="20"/>
  <c r="G48" i="20" s="1"/>
  <c r="G56" i="20" s="1"/>
  <c r="K40" i="20"/>
  <c r="K48" i="20" s="1"/>
  <c r="K56" i="20" s="1"/>
  <c r="G64" i="20"/>
  <c r="G67" i="20"/>
  <c r="B6" i="11"/>
  <c r="B7"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112" i="11"/>
  <c r="F113" i="11"/>
  <c r="F114" i="11"/>
  <c r="F115" i="11"/>
  <c r="F116" i="11"/>
  <c r="E117" i="11"/>
  <c r="N42" i="36" s="1"/>
  <c r="F117" i="11"/>
  <c r="F118" i="11"/>
  <c r="F119" i="11"/>
  <c r="F120" i="11"/>
  <c r="F121" i="11"/>
  <c r="F122" i="11"/>
  <c r="F123" i="11"/>
  <c r="F124" i="11"/>
  <c r="S126" i="11"/>
  <c r="F129" i="11"/>
  <c r="F130" i="11"/>
  <c r="F131" i="11"/>
  <c r="F132" i="11"/>
  <c r="F133" i="11"/>
  <c r="F134" i="11"/>
  <c r="F135" i="11"/>
  <c r="F136" i="11"/>
  <c r="F137" i="11"/>
  <c r="F138" i="11"/>
  <c r="F139" i="11"/>
  <c r="F140" i="11"/>
  <c r="F141" i="11"/>
  <c r="B164" i="11"/>
  <c r="AB164" i="11" s="1"/>
  <c r="C164" i="11"/>
  <c r="AC164" i="11" s="1"/>
  <c r="D164" i="11"/>
  <c r="B165" i="11"/>
  <c r="AB165" i="11" s="1"/>
  <c r="C165" i="11"/>
  <c r="AC165" i="11" s="1"/>
  <c r="D165" i="11"/>
  <c r="AD165" i="11"/>
  <c r="B166" i="11"/>
  <c r="AB166" i="11" s="1"/>
  <c r="C166" i="11"/>
  <c r="AC166" i="11" s="1"/>
  <c r="D166" i="11"/>
  <c r="B167" i="11"/>
  <c r="AB167" i="11" s="1"/>
  <c r="C167" i="11"/>
  <c r="AC167" i="11" s="1"/>
  <c r="D167" i="11"/>
  <c r="B168" i="11"/>
  <c r="AB168" i="11" s="1"/>
  <c r="C168" i="11"/>
  <c r="AC168" i="11" s="1"/>
  <c r="D168" i="11"/>
  <c r="B169" i="11"/>
  <c r="AB169" i="11" s="1"/>
  <c r="C169" i="11"/>
  <c r="AC169" i="11" s="1"/>
  <c r="D169" i="11"/>
  <c r="B170" i="11"/>
  <c r="AB170" i="11" s="1"/>
  <c r="C170" i="11"/>
  <c r="AC170" i="11" s="1"/>
  <c r="D170" i="11"/>
  <c r="B171" i="11"/>
  <c r="AB171" i="11" s="1"/>
  <c r="C171" i="11"/>
  <c r="AC171" i="11" s="1"/>
  <c r="D171" i="11"/>
  <c r="B172" i="11"/>
  <c r="AB172" i="11" s="1"/>
  <c r="C172" i="11"/>
  <c r="AC172" i="11" s="1"/>
  <c r="D172" i="11"/>
  <c r="B173" i="11"/>
  <c r="AB173" i="11" s="1"/>
  <c r="C173" i="11"/>
  <c r="AC173" i="11" s="1"/>
  <c r="D173" i="11"/>
  <c r="B174" i="11"/>
  <c r="AB174" i="11" s="1"/>
  <c r="C174" i="11"/>
  <c r="AC174" i="11" s="1"/>
  <c r="D174" i="11"/>
  <c r="B175" i="11"/>
  <c r="AB175" i="11" s="1"/>
  <c r="C175" i="11"/>
  <c r="AC175" i="11" s="1"/>
  <c r="D175" i="11"/>
  <c r="B176" i="11"/>
  <c r="AB176" i="11" s="1"/>
  <c r="C176" i="11"/>
  <c r="AC176" i="11" s="1"/>
  <c r="D176" i="11"/>
  <c r="B177" i="11"/>
  <c r="AB177" i="11" s="1"/>
  <c r="C177" i="11"/>
  <c r="AC177" i="11" s="1"/>
  <c r="D177" i="11"/>
  <c r="B178" i="11"/>
  <c r="AB178" i="11" s="1"/>
  <c r="C178" i="11"/>
  <c r="AC178" i="11" s="1"/>
  <c r="D178" i="11"/>
  <c r="B179" i="11"/>
  <c r="AB179" i="11" s="1"/>
  <c r="C179" i="11"/>
  <c r="AC179" i="11" s="1"/>
  <c r="D179" i="11"/>
  <c r="B180" i="11"/>
  <c r="AB180" i="11" s="1"/>
  <c r="C180" i="11"/>
  <c r="AC180" i="11" s="1"/>
  <c r="D180" i="11"/>
  <c r="D245" i="11"/>
  <c r="E245" i="11"/>
  <c r="D246" i="11"/>
  <c r="E246" i="11"/>
  <c r="AK270" i="11"/>
  <c r="G65" i="35" s="1"/>
  <c r="A287" i="11"/>
  <c r="A289" i="11"/>
  <c r="A290" i="11"/>
  <c r="A291" i="11"/>
  <c r="A292" i="11"/>
  <c r="A293" i="11"/>
  <c r="A295" i="11"/>
  <c r="A296" i="11"/>
  <c r="A297" i="11"/>
  <c r="G67" i="35"/>
  <c r="F311" i="11"/>
  <c r="A313" i="11"/>
  <c r="F313" i="11"/>
  <c r="A314" i="11"/>
  <c r="F314" i="11"/>
  <c r="A315" i="11"/>
  <c r="F315" i="11"/>
  <c r="F316" i="11"/>
  <c r="F317" i="11"/>
  <c r="F318" i="11"/>
  <c r="F319" i="11"/>
  <c r="A322" i="11"/>
  <c r="F322" i="11"/>
  <c r="AK326" i="11"/>
  <c r="AK331" i="11"/>
  <c r="A345" i="11"/>
  <c r="E345" i="11"/>
  <c r="A346" i="11"/>
  <c r="E346" i="11"/>
  <c r="A348" i="11"/>
  <c r="E348" i="11"/>
  <c r="A349" i="11"/>
  <c r="E349" i="11"/>
  <c r="A350" i="11"/>
  <c r="E350" i="11"/>
  <c r="A351" i="11"/>
  <c r="E351" i="11"/>
  <c r="A352" i="11"/>
  <c r="E352" i="11"/>
  <c r="A353" i="11"/>
  <c r="E353" i="11"/>
  <c r="A355" i="11"/>
  <c r="A356" i="11"/>
  <c r="A357" i="11"/>
  <c r="AK362" i="11"/>
  <c r="AK386" i="11"/>
  <c r="A387" i="11"/>
  <c r="C387" i="11"/>
  <c r="AK392" i="11"/>
  <c r="G87" i="35" s="1"/>
  <c r="A394" i="11"/>
  <c r="C394" i="11"/>
  <c r="A395" i="11"/>
  <c r="C395" i="11"/>
  <c r="A396" i="11"/>
  <c r="C396" i="11"/>
  <c r="A397" i="11"/>
  <c r="C397" i="11"/>
  <c r="A398" i="11"/>
  <c r="C398" i="11"/>
  <c r="A399" i="11"/>
  <c r="C399" i="11"/>
  <c r="AK403" i="11"/>
  <c r="G89" i="35" s="1"/>
  <c r="AK415" i="11"/>
  <c r="AK425" i="11"/>
  <c r="G90" i="35" s="1"/>
  <c r="AK433" i="11"/>
  <c r="G93" i="35" s="1"/>
  <c r="AK439" i="11"/>
  <c r="G91" i="35" s="1"/>
  <c r="E442" i="11"/>
  <c r="AK446" i="11"/>
  <c r="AK452" i="11"/>
  <c r="AK464" i="11"/>
  <c r="G110" i="35" s="1"/>
  <c r="A486" i="11"/>
  <c r="AK486" i="11"/>
  <c r="G112" i="35" s="1"/>
  <c r="A487" i="11"/>
  <c r="A489" i="11"/>
  <c r="A490" i="11"/>
  <c r="AK493" i="11"/>
  <c r="A495" i="11"/>
  <c r="A496" i="11"/>
  <c r="A497" i="11"/>
  <c r="A498" i="11"/>
  <c r="A499" i="11"/>
  <c r="A505" i="11"/>
  <c r="AK505" i="11"/>
  <c r="G113" i="35" s="1"/>
  <c r="A507" i="11"/>
  <c r="AK511" i="11"/>
  <c r="G114" i="35" s="1"/>
  <c r="A513" i="11"/>
  <c r="K511" i="11" s="1"/>
  <c r="G114" i="9" s="1"/>
  <c r="A514" i="11"/>
  <c r="AK521" i="11"/>
  <c r="G115" i="35" s="1"/>
  <c r="A526" i="11"/>
  <c r="A538" i="11"/>
  <c r="A539" i="11"/>
  <c r="A540" i="11"/>
  <c r="A543" i="11"/>
  <c r="A545" i="11"/>
  <c r="A548" i="11"/>
  <c r="A550" i="11"/>
  <c r="A552" i="11"/>
  <c r="A553" i="11"/>
  <c r="A555" i="11"/>
  <c r="A556" i="11"/>
  <c r="A557" i="11"/>
  <c r="A558" i="11"/>
  <c r="A559" i="11"/>
  <c r="A564" i="11"/>
  <c r="AK564" i="11"/>
  <c r="A567" i="11"/>
  <c r="F567" i="11"/>
  <c r="A568" i="11"/>
  <c r="F568" i="11"/>
  <c r="A569" i="11"/>
  <c r="F569" i="11"/>
  <c r="F570" i="11"/>
  <c r="F571" i="11"/>
  <c r="F572" i="11"/>
  <c r="A576" i="11"/>
  <c r="F576" i="11"/>
  <c r="AK580" i="11"/>
  <c r="G117" i="35" s="1"/>
  <c r="A583" i="11"/>
  <c r="A584" i="11"/>
  <c r="A585" i="11"/>
  <c r="A586" i="11"/>
  <c r="A587" i="11"/>
  <c r="A588" i="11"/>
  <c r="A589" i="11"/>
  <c r="H651" i="11"/>
  <c r="AB651" i="11"/>
  <c r="AH651" i="11"/>
  <c r="AL651" i="11"/>
  <c r="AB652" i="11"/>
  <c r="AD652" i="11"/>
  <c r="AH652" i="11"/>
  <c r="AH653" i="11"/>
  <c r="L655" i="11"/>
  <c r="AF655" i="11"/>
  <c r="AF656" i="11"/>
  <c r="AL656" i="11"/>
  <c r="H658" i="11"/>
  <c r="AH658" i="11"/>
  <c r="AJ661" i="11"/>
  <c r="D662" i="11"/>
  <c r="AD675" i="11"/>
  <c r="AJ675" i="11" s="1"/>
  <c r="E9" i="6"/>
  <c r="M7" i="35" s="1"/>
  <c r="N1" i="10"/>
  <c r="B26" i="10"/>
  <c r="B27" i="10"/>
  <c r="B28" i="10"/>
  <c r="B29" i="10"/>
  <c r="B30" i="10"/>
  <c r="A138" i="9"/>
  <c r="A81" i="10" s="1"/>
  <c r="B50" i="10"/>
  <c r="C50" i="10"/>
  <c r="D50" i="10"/>
  <c r="B51" i="10"/>
  <c r="C51" i="10"/>
  <c r="D51" i="10"/>
  <c r="B52" i="10"/>
  <c r="C52" i="10"/>
  <c r="D52" i="10"/>
  <c r="B53" i="10"/>
  <c r="C53" i="10"/>
  <c r="D53" i="10"/>
  <c r="B54" i="10"/>
  <c r="C54" i="10"/>
  <c r="D54" i="10"/>
  <c r="B55" i="10"/>
  <c r="C55" i="10"/>
  <c r="D55" i="10"/>
  <c r="B56" i="10"/>
  <c r="C56" i="10"/>
  <c r="D56" i="10"/>
  <c r="B57" i="10"/>
  <c r="C57" i="10"/>
  <c r="D57" i="10"/>
  <c r="B58" i="10"/>
  <c r="C58" i="10"/>
  <c r="D58" i="10"/>
  <c r="B59" i="10"/>
  <c r="C59" i="10"/>
  <c r="D59" i="10"/>
  <c r="B60" i="10"/>
  <c r="C60" i="10"/>
  <c r="D60" i="10"/>
  <c r="B61" i="10"/>
  <c r="C61" i="10"/>
  <c r="D61" i="10"/>
  <c r="B62" i="10"/>
  <c r="C62" i="10"/>
  <c r="D62" i="10"/>
  <c r="B63" i="10"/>
  <c r="C63" i="10"/>
  <c r="D63" i="10"/>
  <c r="B64" i="10"/>
  <c r="C64" i="10"/>
  <c r="D64" i="10"/>
  <c r="B65" i="10"/>
  <c r="C65" i="10"/>
  <c r="D65" i="10"/>
  <c r="B66" i="10"/>
  <c r="C66" i="10"/>
  <c r="D66" i="10"/>
  <c r="B67" i="10"/>
  <c r="C67" i="10"/>
  <c r="D67" i="10"/>
  <c r="B68" i="10"/>
  <c r="C68" i="10"/>
  <c r="D68" i="10"/>
  <c r="B69" i="10"/>
  <c r="C69" i="10"/>
  <c r="D69" i="10"/>
  <c r="B70" i="10"/>
  <c r="C70" i="10"/>
  <c r="D70" i="10"/>
  <c r="B71" i="10"/>
  <c r="C71" i="10"/>
  <c r="D71" i="10"/>
  <c r="B72" i="10"/>
  <c r="C72" i="10"/>
  <c r="D72" i="10"/>
  <c r="B73" i="10"/>
  <c r="C73" i="10"/>
  <c r="D73" i="10"/>
  <c r="B74" i="10"/>
  <c r="C74" i="10"/>
  <c r="D74" i="10"/>
  <c r="B75" i="10"/>
  <c r="C75" i="10"/>
  <c r="D75" i="10"/>
  <c r="B76" i="10"/>
  <c r="C76" i="10"/>
  <c r="D76" i="10"/>
  <c r="B77" i="10"/>
  <c r="C77" i="10"/>
  <c r="D77" i="10"/>
  <c r="B78" i="10"/>
  <c r="C78" i="10"/>
  <c r="D78" i="10"/>
  <c r="B79" i="10"/>
  <c r="C79" i="10"/>
  <c r="D79" i="10"/>
  <c r="P1" i="35"/>
  <c r="M2" i="35"/>
  <c r="M3" i="35"/>
  <c r="M4" i="35"/>
  <c r="M5" i="35"/>
  <c r="E11" i="35"/>
  <c r="F11" i="35"/>
  <c r="G11" i="35"/>
  <c r="H11" i="35"/>
  <c r="I11" i="35"/>
  <c r="J11" i="35"/>
  <c r="K11" i="35"/>
  <c r="L11" i="35"/>
  <c r="M11" i="35"/>
  <c r="N11" i="35"/>
  <c r="O11" i="35"/>
  <c r="P11" i="35"/>
  <c r="E12" i="35"/>
  <c r="F12" i="35" s="1"/>
  <c r="G12" i="35" s="1"/>
  <c r="H12" i="35" s="1"/>
  <c r="I12" i="35" s="1"/>
  <c r="J12" i="35" s="1"/>
  <c r="K12" i="35" s="1"/>
  <c r="L12" i="35" s="1"/>
  <c r="M12" i="35" s="1"/>
  <c r="N12" i="35" s="1"/>
  <c r="O12" i="35" s="1"/>
  <c r="P12" i="35" s="1"/>
  <c r="P64" i="35"/>
  <c r="G111" i="35"/>
  <c r="P1" i="9"/>
  <c r="M2" i="9"/>
  <c r="M3" i="9"/>
  <c r="M4" i="9"/>
  <c r="M5" i="9"/>
  <c r="E11" i="9"/>
  <c r="F11" i="9"/>
  <c r="G11" i="9"/>
  <c r="H11" i="9"/>
  <c r="I11" i="9"/>
  <c r="J11" i="9"/>
  <c r="K11" i="9"/>
  <c r="L11" i="9"/>
  <c r="M11" i="9"/>
  <c r="N11" i="9"/>
  <c r="O11" i="9"/>
  <c r="P11" i="9"/>
  <c r="E12" i="9"/>
  <c r="F12" i="9" s="1"/>
  <c r="G12" i="9" s="1"/>
  <c r="H12" i="9" s="1"/>
  <c r="I12" i="9" s="1"/>
  <c r="J12" i="9" s="1"/>
  <c r="K12" i="9" s="1"/>
  <c r="L12" i="9" s="1"/>
  <c r="M12" i="9" s="1"/>
  <c r="N12" i="9" s="1"/>
  <c r="O12" i="9" s="1"/>
  <c r="P12" i="9" s="1"/>
  <c r="P64" i="9"/>
  <c r="G111" i="9"/>
  <c r="P139" i="9"/>
  <c r="F5" i="8"/>
  <c r="G5" i="8"/>
  <c r="S5" i="36"/>
  <c r="O8" i="36"/>
  <c r="Q54" i="36"/>
  <c r="R54" i="36"/>
  <c r="C128" i="36" s="1"/>
  <c r="Q55" i="36"/>
  <c r="R55" i="36"/>
  <c r="C129" i="36" s="1"/>
  <c r="Q56" i="36"/>
  <c r="R56" i="36"/>
  <c r="Q57" i="36"/>
  <c r="R57" i="36"/>
  <c r="S57" i="36" s="1"/>
  <c r="Q58" i="36"/>
  <c r="R58" i="36"/>
  <c r="Q59" i="36"/>
  <c r="R59" i="36"/>
  <c r="S59" i="36" s="1"/>
  <c r="Q60" i="36"/>
  <c r="R60" i="36"/>
  <c r="Q61" i="36"/>
  <c r="R61" i="36"/>
  <c r="S61" i="36" s="1"/>
  <c r="Q62" i="36"/>
  <c r="R62" i="36"/>
  <c r="S62" i="36" s="1"/>
  <c r="Q63" i="36"/>
  <c r="R63" i="36"/>
  <c r="S63" i="36" s="1"/>
  <c r="Q64" i="36"/>
  <c r="R64" i="36"/>
  <c r="S64" i="36" s="1"/>
  <c r="Q65" i="36"/>
  <c r="R65" i="36"/>
  <c r="S65" i="36" s="1"/>
  <c r="Q66" i="36"/>
  <c r="R66" i="36"/>
  <c r="E70" i="36"/>
  <c r="E73" i="36"/>
  <c r="A146" i="36"/>
  <c r="A78" i="36" s="1"/>
  <c r="S79" i="36"/>
  <c r="L82" i="36"/>
  <c r="G1" i="6"/>
  <c r="G88" i="9" l="1"/>
  <c r="G69" i="35"/>
  <c r="G92" i="35"/>
  <c r="D14" i="11"/>
  <c r="A6" i="29" s="1"/>
  <c r="B6" i="29" s="1"/>
  <c r="C6" i="29" s="1"/>
  <c r="P121" i="11"/>
  <c r="G88" i="35"/>
  <c r="M7" i="9"/>
  <c r="D12" i="31"/>
  <c r="D10" i="31"/>
  <c r="G8" i="31"/>
  <c r="G9" i="31"/>
  <c r="G15" i="31" s="1"/>
  <c r="F8" i="31"/>
  <c r="F9" i="31"/>
  <c r="F15" i="31" s="1"/>
  <c r="E9" i="31"/>
  <c r="E15" i="31" s="1"/>
  <c r="E8" i="31"/>
  <c r="D9" i="31"/>
  <c r="D15" i="31" s="1"/>
  <c r="K30" i="30"/>
  <c r="I30" i="30" s="1"/>
  <c r="K157" i="30" s="1"/>
  <c r="I157" i="30" s="1"/>
  <c r="F618" i="11"/>
  <c r="F619" i="11" s="1"/>
  <c r="F620" i="11" s="1"/>
  <c r="H146" i="9" s="1"/>
  <c r="F526" i="11"/>
  <c r="D19" i="23"/>
  <c r="F17" i="23"/>
  <c r="K326" i="11"/>
  <c r="G69" i="9" s="1"/>
  <c r="H527" i="11"/>
  <c r="H528" i="11"/>
  <c r="F530" i="11"/>
  <c r="E530" i="11"/>
  <c r="K580" i="11"/>
  <c r="G117" i="9" s="1"/>
  <c r="K486" i="11"/>
  <c r="G112" i="9" s="1"/>
  <c r="N1" i="9"/>
  <c r="M139" i="9" s="1"/>
  <c r="F527" i="11"/>
  <c r="H530" i="11"/>
  <c r="E527" i="11"/>
  <c r="D528" i="11"/>
  <c r="D533" i="11" s="1"/>
  <c r="F42" i="28"/>
  <c r="P5" i="36"/>
  <c r="Q79" i="36" s="1"/>
  <c r="S113" i="11"/>
  <c r="W113" i="11"/>
  <c r="P118" i="11"/>
  <c r="AD157" i="11"/>
  <c r="P113" i="11"/>
  <c r="L140" i="11"/>
  <c r="M140" i="11" s="1"/>
  <c r="F320" i="11"/>
  <c r="AB659" i="11"/>
  <c r="K564" i="11"/>
  <c r="A217" i="35"/>
  <c r="M127" i="35"/>
  <c r="AL654" i="11" s="1"/>
  <c r="E675" i="11"/>
  <c r="H532" i="11"/>
  <c r="E532" i="11"/>
  <c r="P138" i="11"/>
  <c r="S137" i="36" s="1"/>
  <c r="G68" i="35"/>
  <c r="F532" i="11"/>
  <c r="F529" i="11"/>
  <c r="W130" i="11"/>
  <c r="E529" i="11"/>
  <c r="S129" i="11"/>
  <c r="K618" i="11"/>
  <c r="K619" i="11" s="1"/>
  <c r="K620" i="11" s="1"/>
  <c r="M146" i="9" s="1"/>
  <c r="H529" i="11"/>
  <c r="M81" i="35"/>
  <c r="M82" i="35" s="1"/>
  <c r="AD662" i="11" s="1"/>
  <c r="AJ665" i="11"/>
  <c r="E138" i="11"/>
  <c r="N63" i="36" s="1"/>
  <c r="F605" i="11"/>
  <c r="AD177" i="11"/>
  <c r="E129" i="11"/>
  <c r="N54" i="36" s="1"/>
  <c r="C400" i="11"/>
  <c r="F8" i="26" s="1"/>
  <c r="M618" i="11"/>
  <c r="M619" i="11" s="1"/>
  <c r="M620" i="11" s="1"/>
  <c r="O146" i="9" s="1"/>
  <c r="H618" i="11"/>
  <c r="H619" i="11" s="1"/>
  <c r="H620" i="11" s="1"/>
  <c r="J146" i="9" s="1"/>
  <c r="H531" i="11"/>
  <c r="F528" i="11"/>
  <c r="E531" i="11"/>
  <c r="G68" i="9"/>
  <c r="L138" i="11"/>
  <c r="M138" i="11" s="1"/>
  <c r="S134" i="11"/>
  <c r="F531" i="11"/>
  <c r="E526" i="11"/>
  <c r="O138" i="11"/>
  <c r="M137" i="36" s="1"/>
  <c r="AD173" i="11"/>
  <c r="AD168" i="11"/>
  <c r="E134" i="11"/>
  <c r="N59" i="36" s="1"/>
  <c r="B662" i="11"/>
  <c r="J618" i="11"/>
  <c r="J619" i="11" s="1"/>
  <c r="J620" i="11" s="1"/>
  <c r="L146" i="9" s="1"/>
  <c r="H526" i="11"/>
  <c r="F328" i="11"/>
  <c r="AD178" i="11"/>
  <c r="O139" i="11"/>
  <c r="M138" i="36" s="1"/>
  <c r="P130" i="11"/>
  <c r="AD153" i="11"/>
  <c r="L135" i="11"/>
  <c r="M135" i="11" s="1"/>
  <c r="AD169" i="11"/>
  <c r="S130" i="11"/>
  <c r="O121" i="11"/>
  <c r="Q121" i="11" s="1"/>
  <c r="T121" i="11" s="1"/>
  <c r="B7" i="26"/>
  <c r="L30" i="28"/>
  <c r="C139" i="36"/>
  <c r="B7" i="24"/>
  <c r="B7" i="25"/>
  <c r="L48" i="28"/>
  <c r="B7" i="27"/>
  <c r="H17" i="27" s="1"/>
  <c r="B6" i="24"/>
  <c r="B6" i="27"/>
  <c r="B6" i="26"/>
  <c r="B30" i="26" s="1"/>
  <c r="C137" i="36"/>
  <c r="C131" i="36"/>
  <c r="F20" i="23"/>
  <c r="B131" i="36"/>
  <c r="B8" i="25"/>
  <c r="B34" i="25" s="1"/>
  <c r="D20" i="23"/>
  <c r="C620" i="11"/>
  <c r="E146" i="9" s="1"/>
  <c r="N146" i="35"/>
  <c r="P146" i="35"/>
  <c r="I618" i="11"/>
  <c r="I619" i="11" s="1"/>
  <c r="I620" i="11" s="1"/>
  <c r="K146" i="9" s="1"/>
  <c r="N618" i="11"/>
  <c r="N619" i="11" s="1"/>
  <c r="N620" i="11" s="1"/>
  <c r="P146" i="9" s="1"/>
  <c r="L618" i="11"/>
  <c r="L619" i="11" s="1"/>
  <c r="L620" i="11" s="1"/>
  <c r="N146" i="9" s="1"/>
  <c r="G618" i="11"/>
  <c r="G619" i="11" s="1"/>
  <c r="G620" i="11" s="1"/>
  <c r="I146" i="9" s="1"/>
  <c r="D65" i="22"/>
  <c r="D61" i="22"/>
  <c r="K36" i="30"/>
  <c r="I34" i="27"/>
  <c r="AF436" i="11" s="1"/>
  <c r="M101" i="35" s="1"/>
  <c r="AH657" i="11" s="1"/>
  <c r="I48" i="28"/>
  <c r="B5" i="25"/>
  <c r="C38" i="25" s="1"/>
  <c r="B202" i="30" s="1"/>
  <c r="B207" i="30" s="1"/>
  <c r="AD156" i="11"/>
  <c r="AB114" i="11"/>
  <c r="AC114" i="11" s="1"/>
  <c r="C36" i="28"/>
  <c r="B3" i="25"/>
  <c r="B38" i="25" s="1"/>
  <c r="B3" i="24"/>
  <c r="F12" i="24" s="1"/>
  <c r="D247" i="11"/>
  <c r="D248" i="11" s="1"/>
  <c r="AD248" i="11" s="1"/>
  <c r="O137" i="11"/>
  <c r="M136" i="36" s="1"/>
  <c r="H193" i="30"/>
  <c r="AD154" i="11"/>
  <c r="AD151" i="11"/>
  <c r="E128" i="11"/>
  <c r="N53" i="36" s="1"/>
  <c r="D67" i="22"/>
  <c r="D60" i="22"/>
  <c r="I42" i="28"/>
  <c r="H195" i="30"/>
  <c r="H188" i="30"/>
  <c r="E13" i="30"/>
  <c r="E20" i="30" s="1"/>
  <c r="K77" i="30" s="1"/>
  <c r="I77" i="30" s="1"/>
  <c r="F46" i="35"/>
  <c r="G102" i="35"/>
  <c r="AF658" i="11" s="1"/>
  <c r="AB115" i="11"/>
  <c r="K53" i="10" s="1"/>
  <c r="W112" i="11"/>
  <c r="S114" i="11"/>
  <c r="O112" i="11"/>
  <c r="E115" i="11"/>
  <c r="N40" i="36" s="1"/>
  <c r="P112" i="11"/>
  <c r="Q101" i="36"/>
  <c r="AF657" i="11"/>
  <c r="AD167" i="11"/>
  <c r="S117" i="11"/>
  <c r="AB192" i="11" s="1"/>
  <c r="S115" i="11"/>
  <c r="E114" i="11"/>
  <c r="N39" i="36" s="1"/>
  <c r="E112" i="11"/>
  <c r="N37" i="36" s="1"/>
  <c r="D66" i="22"/>
  <c r="C42" i="28"/>
  <c r="B3" i="26"/>
  <c r="E30" i="26" s="1"/>
  <c r="K130" i="11"/>
  <c r="AB112" i="11"/>
  <c r="AC112" i="11" s="1"/>
  <c r="S112" i="11"/>
  <c r="K77" i="10"/>
  <c r="I78" i="10"/>
  <c r="J676" i="11"/>
  <c r="E213" i="30"/>
  <c r="F213" i="30" s="1"/>
  <c r="C136" i="36"/>
  <c r="A217" i="9"/>
  <c r="A63" i="9"/>
  <c r="B53" i="11"/>
  <c r="L74" i="36" s="1"/>
  <c r="B34" i="29"/>
  <c r="B15" i="29"/>
  <c r="B35" i="29"/>
  <c r="M131" i="35"/>
  <c r="AL658" i="11" s="1"/>
  <c r="AL657" i="11"/>
  <c r="B33" i="29"/>
  <c r="B16" i="29"/>
  <c r="K148" i="30"/>
  <c r="K141" i="30"/>
  <c r="I141" i="30" s="1"/>
  <c r="D12" i="24"/>
  <c r="C12" i="24"/>
  <c r="C71" i="28"/>
  <c r="F71" i="28"/>
  <c r="I71" i="28"/>
  <c r="AJ663" i="11"/>
  <c r="AD166" i="11"/>
  <c r="E127" i="11"/>
  <c r="N52" i="36" s="1"/>
  <c r="H192" i="30"/>
  <c r="D13" i="30"/>
  <c r="D20" i="30" s="1"/>
  <c r="B4" i="25"/>
  <c r="D34" i="25" s="1"/>
  <c r="K13" i="30"/>
  <c r="K20" i="30" s="1"/>
  <c r="J130" i="11"/>
  <c r="B136" i="36"/>
  <c r="AJ662" i="11"/>
  <c r="M134" i="35"/>
  <c r="AL661" i="11" s="1"/>
  <c r="C48" i="28"/>
  <c r="L36" i="28"/>
  <c r="I30" i="28"/>
  <c r="G13" i="30"/>
  <c r="G20" i="30" s="1"/>
  <c r="C13" i="30"/>
  <c r="C20" i="30" s="1"/>
  <c r="K45" i="30" s="1"/>
  <c r="I45" i="30" s="1"/>
  <c r="H191" i="30"/>
  <c r="B4" i="26"/>
  <c r="D30" i="26" s="1"/>
  <c r="B5" i="26"/>
  <c r="N2" i="21"/>
  <c r="J13" i="30"/>
  <c r="J20" i="30" s="1"/>
  <c r="G95" i="35"/>
  <c r="W136" i="11"/>
  <c r="O135" i="11"/>
  <c r="AB135" i="11"/>
  <c r="L130" i="11"/>
  <c r="W128" i="11"/>
  <c r="O113" i="11"/>
  <c r="Q113" i="11" s="1"/>
  <c r="T113" i="11" s="1"/>
  <c r="H126" i="11"/>
  <c r="E139" i="11"/>
  <c r="N64" i="36" s="1"/>
  <c r="E135" i="11"/>
  <c r="N60" i="36" s="1"/>
  <c r="S122" i="11"/>
  <c r="B8" i="24"/>
  <c r="H194" i="30"/>
  <c r="H13" i="30"/>
  <c r="H20" i="30" s="1"/>
  <c r="W139" i="11"/>
  <c r="P135" i="11"/>
  <c r="O130" i="11"/>
  <c r="L139" i="11"/>
  <c r="M139" i="11" s="1"/>
  <c r="AD174" i="11"/>
  <c r="S139" i="11"/>
  <c r="S135" i="11"/>
  <c r="E130" i="11"/>
  <c r="N55" i="36" s="1"/>
  <c r="S128" i="11"/>
  <c r="C203" i="11" s="1"/>
  <c r="K127" i="36" s="1"/>
  <c r="E118" i="11"/>
  <c r="N43" i="36" s="1"/>
  <c r="B8" i="26"/>
  <c r="L42" i="28"/>
  <c r="I36" i="28"/>
  <c r="C30" i="28"/>
  <c r="H189" i="30"/>
  <c r="F13" i="30"/>
  <c r="F20" i="30" s="1"/>
  <c r="H190" i="30"/>
  <c r="J663" i="11"/>
  <c r="E247" i="11"/>
  <c r="AE247" i="11" s="1"/>
  <c r="W135" i="11"/>
  <c r="P139" i="11"/>
  <c r="O136" i="11"/>
  <c r="M135" i="36" s="1"/>
  <c r="AB139" i="11"/>
  <c r="I79" i="10"/>
  <c r="K78" i="10"/>
  <c r="K73" i="10"/>
  <c r="E60" i="11"/>
  <c r="R98" i="36" s="1"/>
  <c r="AB141" i="11"/>
  <c r="AB130" i="11"/>
  <c r="AB205" i="11" s="1"/>
  <c r="L127" i="11"/>
  <c r="M127" i="11" s="1"/>
  <c r="D62" i="11"/>
  <c r="D64" i="11" s="1"/>
  <c r="B107" i="11" s="1"/>
  <c r="AD176" i="11"/>
  <c r="E137" i="11"/>
  <c r="N62" i="36" s="1"/>
  <c r="E122" i="11"/>
  <c r="N47" i="36" s="1"/>
  <c r="D60" i="11"/>
  <c r="R99" i="36" s="1"/>
  <c r="G92" i="9"/>
  <c r="W141" i="11"/>
  <c r="I104" i="36"/>
  <c r="S141" i="11"/>
  <c r="S132" i="11"/>
  <c r="P137" i="11"/>
  <c r="S136" i="36" s="1"/>
  <c r="AB137" i="11"/>
  <c r="AB201" i="11"/>
  <c r="L120" i="11"/>
  <c r="M120" i="11" s="1"/>
  <c r="I120" i="11"/>
  <c r="K120" i="11" s="1"/>
  <c r="O120" i="11"/>
  <c r="AB120" i="11"/>
  <c r="P120" i="11"/>
  <c r="AD159" i="11"/>
  <c r="E120" i="11"/>
  <c r="N45" i="36" s="1"/>
  <c r="S120" i="11"/>
  <c r="L116" i="11"/>
  <c r="P116" i="11"/>
  <c r="AD155" i="11"/>
  <c r="S116" i="11"/>
  <c r="W116" i="11"/>
  <c r="AB116" i="11"/>
  <c r="K54" i="10" s="1"/>
  <c r="E116" i="11"/>
  <c r="N41" i="36" s="1"/>
  <c r="S58" i="36"/>
  <c r="B132" i="36"/>
  <c r="C132" i="36"/>
  <c r="J135" i="11"/>
  <c r="K135" i="11"/>
  <c r="L125" i="11"/>
  <c r="M125" i="11" s="1"/>
  <c r="AB125" i="11"/>
  <c r="K63" i="10" s="1"/>
  <c r="S125" i="11"/>
  <c r="W125" i="11"/>
  <c r="AD164" i="11"/>
  <c r="L123" i="11"/>
  <c r="M123" i="11" s="1"/>
  <c r="P123" i="11"/>
  <c r="AB123" i="11"/>
  <c r="K61" i="10" s="1"/>
  <c r="AD162" i="11"/>
  <c r="W123" i="11"/>
  <c r="S123" i="11"/>
  <c r="E123" i="11"/>
  <c r="N48" i="36" s="1"/>
  <c r="L124" i="11"/>
  <c r="M124" i="11" s="1"/>
  <c r="W124" i="11"/>
  <c r="E124" i="11"/>
  <c r="N49" i="36" s="1"/>
  <c r="O124" i="11"/>
  <c r="S124" i="11"/>
  <c r="C135" i="36"/>
  <c r="E125" i="11"/>
  <c r="N50" i="36" s="1"/>
  <c r="J139" i="11"/>
  <c r="K139" i="11"/>
  <c r="P124" i="11"/>
  <c r="O116" i="11"/>
  <c r="E133" i="11"/>
  <c r="N58" i="36" s="1"/>
  <c r="S133" i="11"/>
  <c r="AD172" i="11"/>
  <c r="O133" i="11"/>
  <c r="S60" i="36"/>
  <c r="C134" i="36"/>
  <c r="B134" i="36"/>
  <c r="S66" i="36"/>
  <c r="B140" i="36"/>
  <c r="C140" i="36"/>
  <c r="S54" i="36"/>
  <c r="B128" i="36"/>
  <c r="W131" i="11"/>
  <c r="S131" i="11"/>
  <c r="E131" i="11"/>
  <c r="N56" i="36" s="1"/>
  <c r="O131" i="11"/>
  <c r="AD170" i="11"/>
  <c r="P131" i="11"/>
  <c r="I136" i="11"/>
  <c r="K136" i="11" s="1"/>
  <c r="P136" i="11"/>
  <c r="AB136" i="11"/>
  <c r="AC136" i="11" s="1"/>
  <c r="S136" i="11"/>
  <c r="E136" i="11"/>
  <c r="N61" i="36" s="1"/>
  <c r="AD175" i="11"/>
  <c r="I140" i="11"/>
  <c r="K140" i="11" s="1"/>
  <c r="O140" i="11"/>
  <c r="C215" i="11" s="1"/>
  <c r="K139" i="36" s="1"/>
  <c r="E140" i="11"/>
  <c r="N65" i="36" s="1"/>
  <c r="AD179" i="11"/>
  <c r="AB140" i="11"/>
  <c r="AB215" i="11" s="1"/>
  <c r="P140" i="11"/>
  <c r="S139" i="36" s="1"/>
  <c r="W140" i="11"/>
  <c r="W120" i="11"/>
  <c r="O123" i="11"/>
  <c r="K72" i="10"/>
  <c r="H127" i="11"/>
  <c r="I74" i="10"/>
  <c r="I65" i="10"/>
  <c r="AD171" i="11"/>
  <c r="E132" i="11"/>
  <c r="N57" i="36" s="1"/>
  <c r="E126" i="11"/>
  <c r="N51" i="36" s="1"/>
  <c r="E113" i="11"/>
  <c r="N38" i="36" s="1"/>
  <c r="G4" i="35"/>
  <c r="W132" i="11"/>
  <c r="AD160" i="11"/>
  <c r="AB121" i="11"/>
  <c r="AC121" i="11" s="1"/>
  <c r="W121" i="11"/>
  <c r="S121" i="11"/>
  <c r="I121" i="11"/>
  <c r="J121" i="11" s="1"/>
  <c r="H125" i="11"/>
  <c r="K68" i="10"/>
  <c r="I50" i="10"/>
  <c r="I67" i="10"/>
  <c r="I66" i="10"/>
  <c r="I63" i="10"/>
  <c r="AD180" i="11"/>
  <c r="S137" i="11"/>
  <c r="E121" i="11"/>
  <c r="N46" i="36" s="1"/>
  <c r="AD152" i="11"/>
  <c r="AB113" i="11"/>
  <c r="AC113" i="11" s="1"/>
  <c r="H128" i="11"/>
  <c r="M112" i="11"/>
  <c r="S56" i="36"/>
  <c r="B130" i="36"/>
  <c r="C130" i="36"/>
  <c r="L119" i="11"/>
  <c r="O119" i="11"/>
  <c r="AD158" i="11"/>
  <c r="I119" i="11"/>
  <c r="K119" i="11" s="1"/>
  <c r="P119" i="11"/>
  <c r="AB119" i="11"/>
  <c r="K57" i="10" s="1"/>
  <c r="W119" i="11"/>
  <c r="S119" i="11"/>
  <c r="B138" i="36"/>
  <c r="C133" i="36"/>
  <c r="K74" i="10"/>
  <c r="I70" i="10"/>
  <c r="K70" i="10"/>
  <c r="C138" i="36"/>
  <c r="I69" i="10"/>
  <c r="K69" i="10"/>
  <c r="B133" i="36"/>
  <c r="S55" i="36"/>
  <c r="B129" i="36"/>
  <c r="I58" i="10"/>
  <c r="E119" i="11"/>
  <c r="N44" i="36" s="1"/>
  <c r="K76" i="10"/>
  <c r="I73" i="10"/>
  <c r="I61" i="10"/>
  <c r="I77" i="10"/>
  <c r="I71" i="10"/>
  <c r="K64" i="10"/>
  <c r="I59" i="10"/>
  <c r="O127" i="11"/>
  <c r="W127" i="11"/>
  <c r="AB127" i="11"/>
  <c r="K65" i="10" s="1"/>
  <c r="I75" i="10"/>
  <c r="I51" i="10"/>
  <c r="P127" i="11"/>
  <c r="I132" i="11"/>
  <c r="K132" i="11" s="1"/>
  <c r="AB132" i="11"/>
  <c r="O132" i="11"/>
  <c r="M131" i="36" s="1"/>
  <c r="P132" i="11"/>
  <c r="S131" i="36" s="1"/>
  <c r="I137" i="11"/>
  <c r="K137" i="11" s="1"/>
  <c r="L137" i="11"/>
  <c r="M137" i="11" s="1"/>
  <c r="I141" i="11"/>
  <c r="K141" i="11" s="1"/>
  <c r="L141" i="11"/>
  <c r="O141" i="11"/>
  <c r="P141" i="11"/>
  <c r="L128" i="11"/>
  <c r="M128" i="11" s="1"/>
  <c r="AB128" i="11"/>
  <c r="I129" i="11"/>
  <c r="K129" i="11" s="1"/>
  <c r="W129" i="11"/>
  <c r="O129" i="11"/>
  <c r="I134" i="11"/>
  <c r="K134" i="11" s="1"/>
  <c r="AB134" i="11"/>
  <c r="O134" i="11"/>
  <c r="W134" i="11"/>
  <c r="P134" i="11"/>
  <c r="S133" i="36" s="1"/>
  <c r="I138" i="11"/>
  <c r="K138" i="11" s="1"/>
  <c r="AB138" i="11"/>
  <c r="W138" i="11"/>
  <c r="I124" i="11"/>
  <c r="K124" i="11" s="1"/>
  <c r="AB124" i="11"/>
  <c r="K62" i="10" s="1"/>
  <c r="AD163" i="11"/>
  <c r="AD161" i="11"/>
  <c r="W122" i="11"/>
  <c r="AB122" i="11"/>
  <c r="M134" i="11"/>
  <c r="C107" i="11"/>
  <c r="I123" i="11"/>
  <c r="J123" i="11" s="1"/>
  <c r="I113" i="11"/>
  <c r="J113" i="11" s="1"/>
  <c r="I116" i="11"/>
  <c r="J116" i="11" s="1"/>
  <c r="I112" i="11"/>
  <c r="J112" i="11" s="1"/>
  <c r="M136" i="11"/>
  <c r="J674" i="11"/>
  <c r="B115" i="11"/>
  <c r="I53" i="10" s="1"/>
  <c r="I62" i="10"/>
  <c r="M122" i="11"/>
  <c r="M121" i="11"/>
  <c r="B117" i="11"/>
  <c r="I55" i="10" s="1"/>
  <c r="B119" i="11"/>
  <c r="K56" i="10"/>
  <c r="B118" i="11"/>
  <c r="K79" i="10"/>
  <c r="I76" i="10"/>
  <c r="K75" i="10"/>
  <c r="I72" i="10"/>
  <c r="K71" i="10"/>
  <c r="I68" i="10"/>
  <c r="K67" i="10"/>
  <c r="I64" i="10"/>
  <c r="I60" i="10"/>
  <c r="K55" i="10"/>
  <c r="I52" i="10"/>
  <c r="B139" i="36"/>
  <c r="B137" i="36"/>
  <c r="B135" i="36"/>
  <c r="C24" i="32"/>
  <c r="D54" i="32"/>
  <c r="C70" i="32"/>
  <c r="D77" i="32"/>
  <c r="D44" i="32"/>
  <c r="D38" i="32"/>
  <c r="D21" i="32"/>
  <c r="D15" i="32"/>
  <c r="D31" i="32"/>
  <c r="C47" i="32"/>
  <c r="D67" i="32"/>
  <c r="D61" i="32"/>
  <c r="F171" i="30"/>
  <c r="F177" i="30"/>
  <c r="A45" i="28"/>
  <c r="A47" i="28"/>
  <c r="A46" i="28"/>
  <c r="D37" i="27"/>
  <c r="E33" i="27"/>
  <c r="B14" i="23"/>
  <c r="B13" i="23" s="1"/>
  <c r="B12" i="23" s="1"/>
  <c r="G17" i="23" s="1"/>
  <c r="B4" i="27"/>
  <c r="B659" i="11"/>
  <c r="C13" i="23"/>
  <c r="C12" i="23" s="1"/>
  <c r="B5" i="27"/>
  <c r="D17" i="27"/>
  <c r="D13" i="27"/>
  <c r="D15" i="27"/>
  <c r="D18" i="27"/>
  <c r="D20" i="27"/>
  <c r="D22" i="27"/>
  <c r="D11" i="27"/>
  <c r="D12" i="27"/>
  <c r="D14" i="27"/>
  <c r="D16" i="27"/>
  <c r="D19" i="27"/>
  <c r="D21" i="27"/>
  <c r="D23" i="27"/>
  <c r="F48" i="28"/>
  <c r="F30" i="28"/>
  <c r="E618" i="11"/>
  <c r="E619" i="11" s="1"/>
  <c r="E620" i="11" s="1"/>
  <c r="G146" i="9" s="1"/>
  <c r="D17" i="23"/>
  <c r="G105" i="35"/>
  <c r="G106" i="35"/>
  <c r="D618" i="11"/>
  <c r="D619" i="11" s="1"/>
  <c r="D620" i="11" s="1"/>
  <c r="M132" i="11"/>
  <c r="G146" i="35"/>
  <c r="K146" i="35"/>
  <c r="O146" i="35"/>
  <c r="F146" i="35"/>
  <c r="J146" i="35"/>
  <c r="AB133" i="11"/>
  <c r="L146" i="35"/>
  <c r="I146" i="35"/>
  <c r="H146" i="35"/>
  <c r="J115" i="11"/>
  <c r="K115" i="11"/>
  <c r="AB160" i="11"/>
  <c r="AB152" i="11"/>
  <c r="I131" i="11"/>
  <c r="K131" i="11" s="1"/>
  <c r="L131" i="11"/>
  <c r="M131" i="11" s="1"/>
  <c r="AB131" i="11"/>
  <c r="L129" i="11"/>
  <c r="M129" i="11" s="1"/>
  <c r="P117" i="11"/>
  <c r="I117" i="11"/>
  <c r="K117" i="11" s="1"/>
  <c r="L117" i="11"/>
  <c r="AC117" i="11" s="1"/>
  <c r="D146" i="11"/>
  <c r="W117" i="11"/>
  <c r="O117" i="11"/>
  <c r="AB129" i="11"/>
  <c r="D145" i="11"/>
  <c r="I133" i="11"/>
  <c r="K133" i="11" s="1"/>
  <c r="L133" i="11"/>
  <c r="M133" i="11" s="1"/>
  <c r="P133" i="11"/>
  <c r="W133" i="11"/>
  <c r="O118" i="11"/>
  <c r="I118" i="11"/>
  <c r="J118" i="11" s="1"/>
  <c r="W118" i="11"/>
  <c r="L118" i="11"/>
  <c r="AC118" i="11" s="1"/>
  <c r="S118" i="11"/>
  <c r="AB193" i="11" s="1"/>
  <c r="L126" i="11"/>
  <c r="AC126" i="11" s="1"/>
  <c r="O126" i="11"/>
  <c r="O125" i="11"/>
  <c r="I125" i="11"/>
  <c r="P125" i="11"/>
  <c r="O122" i="11"/>
  <c r="I122" i="11"/>
  <c r="K122" i="11" s="1"/>
  <c r="P122" i="11"/>
  <c r="L115" i="11"/>
  <c r="O115" i="11"/>
  <c r="P115" i="11"/>
  <c r="W115" i="11"/>
  <c r="O114" i="11"/>
  <c r="I114" i="11"/>
  <c r="J114" i="11" s="1"/>
  <c r="W114" i="11"/>
  <c r="I128" i="11"/>
  <c r="P128" i="11"/>
  <c r="M113" i="11"/>
  <c r="C142" i="11"/>
  <c r="M114" i="11"/>
  <c r="A406" i="11" l="1"/>
  <c r="F345" i="11"/>
  <c r="A10" i="20"/>
  <c r="G33" i="20" s="1"/>
  <c r="E1" i="23"/>
  <c r="F1" i="27"/>
  <c r="C187" i="11"/>
  <c r="K111" i="36" s="1"/>
  <c r="A408" i="11"/>
  <c r="A447" i="11"/>
  <c r="A434" i="11"/>
  <c r="AB289" i="11"/>
  <c r="AK284" i="11" s="1"/>
  <c r="G66" i="35" s="1"/>
  <c r="A341" i="11"/>
  <c r="A340" i="11"/>
  <c r="G2" i="9"/>
  <c r="A4" i="28"/>
  <c r="C56" i="28" s="1"/>
  <c r="B58" i="28" s="1"/>
  <c r="A339" i="11"/>
  <c r="A420" i="11"/>
  <c r="A546" i="11"/>
  <c r="A337" i="11"/>
  <c r="A336" i="11"/>
  <c r="A5" i="21"/>
  <c r="K44" i="21" s="1"/>
  <c r="A6" i="18"/>
  <c r="D6" i="18" s="1"/>
  <c r="D13" i="18" s="1"/>
  <c r="D20" i="18" s="1"/>
  <c r="D227" i="11"/>
  <c r="AD227" i="11" s="1"/>
  <c r="AM225" i="11" s="1"/>
  <c r="A523" i="11"/>
  <c r="A411" i="11"/>
  <c r="A544" i="11"/>
  <c r="A274" i="11"/>
  <c r="F1" i="25"/>
  <c r="A435" i="11"/>
  <c r="K433" i="11" s="1"/>
  <c r="G93" i="9" s="1"/>
  <c r="A273" i="11"/>
  <c r="A28" i="29"/>
  <c r="B222" i="11"/>
  <c r="H222" i="11" s="1"/>
  <c r="A407" i="11"/>
  <c r="A542" i="11"/>
  <c r="A441" i="11"/>
  <c r="F1" i="26"/>
  <c r="A453" i="11"/>
  <c r="A6" i="30"/>
  <c r="G190" i="30" s="1"/>
  <c r="B40" i="29"/>
  <c r="B42" i="29" s="1"/>
  <c r="F515" i="11" s="1"/>
  <c r="A338" i="11"/>
  <c r="A454" i="11"/>
  <c r="A428" i="11"/>
  <c r="A418" i="11"/>
  <c r="A547" i="11"/>
  <c r="K537" i="11" s="1"/>
  <c r="G116" i="9" s="1"/>
  <c r="G2" i="35"/>
  <c r="E157" i="35" s="1"/>
  <c r="M157" i="35" s="1"/>
  <c r="E214" i="35" s="1"/>
  <c r="A23" i="29"/>
  <c r="B23" i="29" s="1"/>
  <c r="C23" i="29" s="1"/>
  <c r="M8" i="36"/>
  <c r="E3" i="10" s="1"/>
  <c r="D1" i="22"/>
  <c r="A6" i="22" s="1"/>
  <c r="A419" i="11"/>
  <c r="A416" i="11"/>
  <c r="A440" i="11"/>
  <c r="A427" i="11"/>
  <c r="A8" i="19"/>
  <c r="A77" i="19" s="1"/>
  <c r="A11" i="29"/>
  <c r="H22" i="27"/>
  <c r="D1" i="32"/>
  <c r="D41" i="32" s="1"/>
  <c r="E1" i="24"/>
  <c r="A410" i="11"/>
  <c r="A409" i="11"/>
  <c r="A405" i="11"/>
  <c r="K403" i="11" s="1"/>
  <c r="G89" i="9" s="1"/>
  <c r="A303" i="11"/>
  <c r="K301" i="11" s="1"/>
  <c r="K381" i="11" s="1"/>
  <c r="B640" i="11" s="1"/>
  <c r="F346" i="11"/>
  <c r="A448" i="11"/>
  <c r="C209" i="11"/>
  <c r="K133" i="36" s="1"/>
  <c r="AD661" i="11"/>
  <c r="E12" i="31"/>
  <c r="E10" i="31"/>
  <c r="F10" i="31"/>
  <c r="F12" i="31"/>
  <c r="J128" i="11"/>
  <c r="AC135" i="11"/>
  <c r="AD135" i="11" s="1"/>
  <c r="AE135" i="11" s="1"/>
  <c r="AF135" i="11" s="1"/>
  <c r="G10" i="31"/>
  <c r="G12" i="31"/>
  <c r="E30" i="29"/>
  <c r="E12" i="29"/>
  <c r="D13" i="31"/>
  <c r="F130" i="30"/>
  <c r="F123" i="30"/>
  <c r="H19" i="30"/>
  <c r="K19" i="30"/>
  <c r="L1" i="10"/>
  <c r="L34" i="10" s="1"/>
  <c r="F533" i="11"/>
  <c r="Q136" i="11"/>
  <c r="T136" i="11" s="1"/>
  <c r="B116" i="11"/>
  <c r="I54" i="10" s="1"/>
  <c r="J140" i="11"/>
  <c r="N140" i="11" s="1"/>
  <c r="V140" i="11" s="1"/>
  <c r="X140" i="11" s="1"/>
  <c r="C213" i="11"/>
  <c r="K137" i="36" s="1"/>
  <c r="AB190" i="11"/>
  <c r="Q138" i="11"/>
  <c r="T138" i="11" s="1"/>
  <c r="AB195" i="11"/>
  <c r="K605" i="11"/>
  <c r="G141" i="9" s="1"/>
  <c r="M128" i="35"/>
  <c r="AL655" i="11" s="1"/>
  <c r="K58" i="10"/>
  <c r="C196" i="11"/>
  <c r="K120" i="36" s="1"/>
  <c r="H533" i="11"/>
  <c r="J666" i="11" s="1"/>
  <c r="E533" i="11"/>
  <c r="F37" i="27"/>
  <c r="C214" i="11"/>
  <c r="K138" i="36" s="1"/>
  <c r="K52" i="10"/>
  <c r="Q139" i="11"/>
  <c r="T139" i="11" s="1"/>
  <c r="AE178" i="11" s="1"/>
  <c r="F8" i="25"/>
  <c r="C30" i="25" s="1"/>
  <c r="B201" i="30"/>
  <c r="K50" i="10"/>
  <c r="E248" i="11"/>
  <c r="D226" i="11" s="1"/>
  <c r="AD226" i="11" s="1"/>
  <c r="K84" i="30"/>
  <c r="C205" i="11"/>
  <c r="K129" i="36" s="1"/>
  <c r="Q130" i="11"/>
  <c r="T130" i="11" s="1"/>
  <c r="AH169" i="11" s="1"/>
  <c r="AB187" i="11"/>
  <c r="S135" i="36"/>
  <c r="C211" i="11"/>
  <c r="K135" i="36" s="1"/>
  <c r="H16" i="27"/>
  <c r="H15" i="27"/>
  <c r="C189" i="11"/>
  <c r="K113" i="36" s="1"/>
  <c r="J134" i="11"/>
  <c r="N134" i="11" s="1"/>
  <c r="V134" i="11" s="1"/>
  <c r="X134" i="11" s="1"/>
  <c r="J137" i="11"/>
  <c r="N137" i="11" s="1"/>
  <c r="V137" i="11" s="1"/>
  <c r="X137" i="11" s="1"/>
  <c r="S129" i="36"/>
  <c r="Q124" i="11"/>
  <c r="T124" i="11" s="1"/>
  <c r="E199" i="11" s="1"/>
  <c r="I188" i="30"/>
  <c r="F550" i="11" s="1"/>
  <c r="J192" i="30"/>
  <c r="G552" i="11" s="1"/>
  <c r="H20" i="27"/>
  <c r="H18" i="27"/>
  <c r="H13" i="27"/>
  <c r="H21" i="27"/>
  <c r="H14" i="27"/>
  <c r="H12" i="27"/>
  <c r="H11" i="27"/>
  <c r="H23" i="27"/>
  <c r="H19" i="27"/>
  <c r="M107" i="35"/>
  <c r="I190" i="30"/>
  <c r="F551" i="11" s="1"/>
  <c r="S132" i="36"/>
  <c r="M103" i="35"/>
  <c r="AH659" i="11" s="1"/>
  <c r="AH664" i="11" s="1"/>
  <c r="AF678" i="11" s="1"/>
  <c r="M134" i="36"/>
  <c r="G12" i="24"/>
  <c r="F9" i="26" s="1"/>
  <c r="AD247" i="11"/>
  <c r="AB107" i="11"/>
  <c r="AE107" i="11" s="1"/>
  <c r="AD254" i="11" s="1"/>
  <c r="AB189" i="11"/>
  <c r="C207" i="11"/>
  <c r="K131" i="36" s="1"/>
  <c r="Q119" i="11"/>
  <c r="T119" i="11" s="1"/>
  <c r="G158" i="11" s="1"/>
  <c r="C206" i="11"/>
  <c r="K130" i="36" s="1"/>
  <c r="F104" i="36"/>
  <c r="C199" i="11"/>
  <c r="K123" i="36" s="1"/>
  <c r="Q89" i="36"/>
  <c r="AB214" i="11"/>
  <c r="C210" i="11"/>
  <c r="K134" i="36" s="1"/>
  <c r="S138" i="36"/>
  <c r="S140" i="36"/>
  <c r="C188" i="11"/>
  <c r="K112" i="36" s="1"/>
  <c r="M130" i="36"/>
  <c r="AB191" i="11"/>
  <c r="Q112" i="11"/>
  <c r="T112" i="11" s="1"/>
  <c r="AF151" i="11" s="1"/>
  <c r="O152" i="11"/>
  <c r="E152" i="11"/>
  <c r="J152" i="11"/>
  <c r="I160" i="11"/>
  <c r="K160" i="11"/>
  <c r="G160" i="11"/>
  <c r="L160" i="11"/>
  <c r="N160" i="11"/>
  <c r="J160" i="11"/>
  <c r="H160" i="11"/>
  <c r="M160" i="11"/>
  <c r="P160" i="11"/>
  <c r="E160" i="11"/>
  <c r="F160" i="11"/>
  <c r="O160" i="11"/>
  <c r="D196" i="11"/>
  <c r="J194" i="30"/>
  <c r="G553" i="11" s="1"/>
  <c r="K52" i="30"/>
  <c r="Q137" i="11"/>
  <c r="T137" i="11" s="1"/>
  <c r="AF176" i="11" s="1"/>
  <c r="AC139" i="11"/>
  <c r="AD139" i="11" s="1"/>
  <c r="AE139" i="11" s="1"/>
  <c r="AF139" i="11" s="1"/>
  <c r="Q135" i="11"/>
  <c r="T135" i="11" s="1"/>
  <c r="AG174" i="11" s="1"/>
  <c r="AC130" i="11"/>
  <c r="AD130" i="11" s="1"/>
  <c r="AE130" i="11" s="1"/>
  <c r="AF130" i="11" s="1"/>
  <c r="F30" i="26"/>
  <c r="A26" i="26" s="1"/>
  <c r="Q90" i="36"/>
  <c r="I192" i="30"/>
  <c r="F552" i="11" s="1"/>
  <c r="M129" i="36"/>
  <c r="AB210" i="11"/>
  <c r="AC140" i="11"/>
  <c r="K116" i="30"/>
  <c r="K109" i="30"/>
  <c r="I109" i="30" s="1"/>
  <c r="Q140" i="11"/>
  <c r="T140" i="11" s="1"/>
  <c r="AC215" i="11" s="1"/>
  <c r="J141" i="11"/>
  <c r="N135" i="11"/>
  <c r="V135" i="11" s="1"/>
  <c r="X135" i="11" s="1"/>
  <c r="K61" i="30"/>
  <c r="I61" i="30" s="1"/>
  <c r="K68" i="30"/>
  <c r="J124" i="11"/>
  <c r="N124" i="11" s="1"/>
  <c r="M130" i="11"/>
  <c r="N130" i="11" s="1"/>
  <c r="V130" i="11" s="1"/>
  <c r="X130" i="11" s="1"/>
  <c r="Q86" i="36"/>
  <c r="N139" i="11"/>
  <c r="V139" i="11" s="1"/>
  <c r="X139" i="11" s="1"/>
  <c r="K125" i="30"/>
  <c r="I125" i="30" s="1"/>
  <c r="K132" i="30"/>
  <c r="I194" i="30"/>
  <c r="F553" i="11" s="1"/>
  <c r="G122" i="35"/>
  <c r="AJ654" i="11" s="1"/>
  <c r="AF651" i="11"/>
  <c r="AB207" i="11"/>
  <c r="K100" i="30"/>
  <c r="K93" i="30"/>
  <c r="I93" i="30" s="1"/>
  <c r="K179" i="30"/>
  <c r="K173" i="30"/>
  <c r="I173" i="30" s="1"/>
  <c r="M126" i="11"/>
  <c r="AC141" i="11"/>
  <c r="K125" i="11"/>
  <c r="N125" i="11" s="1"/>
  <c r="M128" i="36"/>
  <c r="I83" i="36"/>
  <c r="S134" i="36"/>
  <c r="E34" i="26"/>
  <c r="D34" i="26"/>
  <c r="A34" i="25"/>
  <c r="C34" i="25"/>
  <c r="N152" i="11"/>
  <c r="Q132" i="11"/>
  <c r="T132" i="11" s="1"/>
  <c r="AM207" i="11" s="1"/>
  <c r="S128" i="36"/>
  <c r="AC120" i="11"/>
  <c r="M115" i="11"/>
  <c r="N115" i="11" s="1"/>
  <c r="S130" i="36"/>
  <c r="AC125" i="11"/>
  <c r="C208" i="11"/>
  <c r="K132" i="36" s="1"/>
  <c r="C198" i="11"/>
  <c r="K122" i="36" s="1"/>
  <c r="Q120" i="11"/>
  <c r="T120" i="11" s="1"/>
  <c r="M159" i="11" s="1"/>
  <c r="AB216" i="11"/>
  <c r="I127" i="11"/>
  <c r="K127" i="11" s="1"/>
  <c r="G188" i="11"/>
  <c r="AB196" i="11"/>
  <c r="M140" i="36"/>
  <c r="AC116" i="11"/>
  <c r="C212" i="11"/>
  <c r="K136" i="36" s="1"/>
  <c r="AB212" i="11"/>
  <c r="AD113" i="11"/>
  <c r="AE113" i="11" s="1"/>
  <c r="AF113" i="11" s="1"/>
  <c r="J119" i="11"/>
  <c r="G152" i="11"/>
  <c r="K113" i="11"/>
  <c r="K59" i="10"/>
  <c r="AB188" i="11"/>
  <c r="J136" i="11"/>
  <c r="AD136" i="11" s="1"/>
  <c r="AE136" i="11" s="1"/>
  <c r="AF136" i="11" s="1"/>
  <c r="K121" i="11"/>
  <c r="N121" i="11" s="1"/>
  <c r="Q123" i="11"/>
  <c r="T123" i="11" s="1"/>
  <c r="AL162" i="11" s="1"/>
  <c r="AB211" i="11"/>
  <c r="Q116" i="11"/>
  <c r="T116" i="11" s="1"/>
  <c r="K116" i="11"/>
  <c r="G5" i="9"/>
  <c r="G5" i="35"/>
  <c r="AB200" i="11"/>
  <c r="F152" i="11"/>
  <c r="J125" i="11"/>
  <c r="E188" i="11"/>
  <c r="P152" i="11"/>
  <c r="D6" i="29"/>
  <c r="E6" i="29"/>
  <c r="K51" i="10"/>
  <c r="M139" i="36"/>
  <c r="C194" i="11"/>
  <c r="K118" i="36" s="1"/>
  <c r="J138" i="11"/>
  <c r="N138" i="11" s="1"/>
  <c r="V138" i="11" s="1"/>
  <c r="X138" i="11" s="1"/>
  <c r="E107" i="11"/>
  <c r="D254" i="11" s="1"/>
  <c r="J120" i="11"/>
  <c r="N120" i="11" s="1"/>
  <c r="M141" i="11"/>
  <c r="K123" i="11"/>
  <c r="N123" i="11" s="1"/>
  <c r="Q131" i="11"/>
  <c r="T131" i="11" s="1"/>
  <c r="AC123" i="11"/>
  <c r="AB198" i="11"/>
  <c r="M132" i="36"/>
  <c r="C195" i="11"/>
  <c r="K119" i="36" s="1"/>
  <c r="M152" i="11"/>
  <c r="H152" i="11"/>
  <c r="I152" i="11"/>
  <c r="M133" i="36"/>
  <c r="AC134" i="11"/>
  <c r="AB209" i="11"/>
  <c r="K112" i="11"/>
  <c r="N112" i="11" s="1"/>
  <c r="Q127" i="11"/>
  <c r="T127" i="11" s="1"/>
  <c r="H166" i="11" s="1"/>
  <c r="C202" i="11"/>
  <c r="K126" i="36" s="1"/>
  <c r="A5" i="32"/>
  <c r="D18" i="32"/>
  <c r="G24" i="32"/>
  <c r="H47" i="32"/>
  <c r="E64" i="32"/>
  <c r="H70" i="32"/>
  <c r="A8" i="32"/>
  <c r="E18" i="32"/>
  <c r="H24" i="32"/>
  <c r="F51" i="32"/>
  <c r="F74" i="32"/>
  <c r="D47" i="32"/>
  <c r="D24" i="32"/>
  <c r="F28" i="32"/>
  <c r="C44" i="32"/>
  <c r="C21" i="32"/>
  <c r="D64" i="32"/>
  <c r="A44" i="21"/>
  <c r="A39" i="21"/>
  <c r="B6" i="18"/>
  <c r="AC132" i="11"/>
  <c r="L152" i="11"/>
  <c r="K152" i="11"/>
  <c r="Q134" i="11"/>
  <c r="T134" i="11" s="1"/>
  <c r="AD209" i="11" s="1"/>
  <c r="J129" i="11"/>
  <c r="N129" i="11" s="1"/>
  <c r="V129" i="11" s="1"/>
  <c r="X129" i="11" s="1"/>
  <c r="AC122" i="11"/>
  <c r="AB197" i="11"/>
  <c r="AC124" i="11"/>
  <c r="AB199" i="11"/>
  <c r="Q129" i="11"/>
  <c r="T129" i="11" s="1"/>
  <c r="C204" i="11"/>
  <c r="K128" i="36" s="1"/>
  <c r="AC128" i="11"/>
  <c r="AB203" i="11"/>
  <c r="K66" i="10"/>
  <c r="Q141" i="11"/>
  <c r="T141" i="11" s="1"/>
  <c r="C216" i="11"/>
  <c r="K140" i="36" s="1"/>
  <c r="AC127" i="11"/>
  <c r="AB202" i="11"/>
  <c r="J132" i="11"/>
  <c r="N132" i="11" s="1"/>
  <c r="V132" i="11" s="1"/>
  <c r="X132" i="11" s="1"/>
  <c r="C17" i="23"/>
  <c r="K17" i="23" s="1"/>
  <c r="C19" i="23"/>
  <c r="C18" i="23"/>
  <c r="C20" i="23"/>
  <c r="K20" i="23" s="1"/>
  <c r="AC119" i="11"/>
  <c r="AB194" i="11"/>
  <c r="K60" i="10"/>
  <c r="N113" i="11"/>
  <c r="Q38" i="36" s="1"/>
  <c r="I126" i="11"/>
  <c r="J126" i="11" s="1"/>
  <c r="I188" i="11"/>
  <c r="K188" i="11"/>
  <c r="AC188" i="11"/>
  <c r="AG188" i="11"/>
  <c r="AH188" i="11"/>
  <c r="AK188" i="11"/>
  <c r="AM188" i="11"/>
  <c r="F188" i="11"/>
  <c r="M188" i="11"/>
  <c r="O188" i="11"/>
  <c r="AE188" i="11"/>
  <c r="AN188" i="11"/>
  <c r="L188" i="11"/>
  <c r="AF188" i="11"/>
  <c r="AI188" i="11"/>
  <c r="H188" i="11"/>
  <c r="P188" i="11"/>
  <c r="AD188" i="11"/>
  <c r="J188" i="11"/>
  <c r="AL188" i="11"/>
  <c r="AJ188" i="11"/>
  <c r="N188" i="11"/>
  <c r="D188" i="11"/>
  <c r="L112" i="36" s="1"/>
  <c r="AC138" i="11"/>
  <c r="AB213" i="11"/>
  <c r="AC137" i="11"/>
  <c r="G4" i="20"/>
  <c r="G63" i="20" s="1"/>
  <c r="AB550" i="11"/>
  <c r="AK537" i="11" s="1"/>
  <c r="G116" i="35" s="1"/>
  <c r="F16" i="20"/>
  <c r="F57" i="20"/>
  <c r="M117" i="11"/>
  <c r="M119" i="11"/>
  <c r="I57" i="10"/>
  <c r="H223" i="11"/>
  <c r="H21" i="35"/>
  <c r="H21" i="9"/>
  <c r="F194" i="11"/>
  <c r="G194" i="11"/>
  <c r="J194" i="11"/>
  <c r="I194" i="11"/>
  <c r="H194" i="11"/>
  <c r="N158" i="11"/>
  <c r="AE158" i="11"/>
  <c r="AE194" i="11"/>
  <c r="AO158" i="11"/>
  <c r="AK158" i="11"/>
  <c r="AD194" i="11"/>
  <c r="AH194" i="11"/>
  <c r="AC115" i="11"/>
  <c r="AD115" i="11" s="1"/>
  <c r="AE115" i="11" s="1"/>
  <c r="AF115" i="11" s="1"/>
  <c r="E145" i="11"/>
  <c r="K114" i="11"/>
  <c r="AD114" i="11" s="1"/>
  <c r="AE114" i="11" s="1"/>
  <c r="AF114" i="11" s="1"/>
  <c r="K222" i="11"/>
  <c r="O222" i="11"/>
  <c r="M222" i="11"/>
  <c r="F222" i="11"/>
  <c r="J117" i="11"/>
  <c r="AD117" i="11" s="1"/>
  <c r="AE117" i="11" s="1"/>
  <c r="AF117" i="11" s="1"/>
  <c r="M180" i="11"/>
  <c r="AL205" i="11"/>
  <c r="M169" i="11"/>
  <c r="E169" i="11"/>
  <c r="AC211" i="11"/>
  <c r="AF175" i="11"/>
  <c r="AE211" i="11"/>
  <c r="AG175" i="11"/>
  <c r="AI175" i="11"/>
  <c r="AH211" i="11"/>
  <c r="AN175" i="11"/>
  <c r="AM211" i="11"/>
  <c r="E175" i="11"/>
  <c r="E211" i="11"/>
  <c r="F175" i="11"/>
  <c r="F211" i="11"/>
  <c r="G175" i="11"/>
  <c r="G211" i="11"/>
  <c r="H175" i="11"/>
  <c r="H211" i="11"/>
  <c r="I175" i="11"/>
  <c r="I211" i="11"/>
  <c r="J175" i="11"/>
  <c r="J211" i="11"/>
  <c r="K175" i="11"/>
  <c r="K211" i="11"/>
  <c r="L175" i="11"/>
  <c r="L211" i="11"/>
  <c r="AE175" i="11"/>
  <c r="AF211" i="11"/>
  <c r="AJ175" i="11"/>
  <c r="AI211" i="11"/>
  <c r="AJ211" i="11"/>
  <c r="AO175" i="11"/>
  <c r="AN211" i="11"/>
  <c r="AH175" i="11"/>
  <c r="AK175" i="11"/>
  <c r="AL175" i="11"/>
  <c r="AG211" i="11"/>
  <c r="AK211" i="11"/>
  <c r="AP175" i="11"/>
  <c r="AM175" i="11"/>
  <c r="AL211" i="11"/>
  <c r="AD211" i="11"/>
  <c r="M175" i="11"/>
  <c r="M211" i="11"/>
  <c r="N175" i="11"/>
  <c r="N211" i="11"/>
  <c r="O175" i="11"/>
  <c r="O211" i="11"/>
  <c r="P175" i="11"/>
  <c r="P211" i="11"/>
  <c r="D211" i="11"/>
  <c r="L135" i="36" s="1"/>
  <c r="D146" i="35"/>
  <c r="E146" i="35"/>
  <c r="O620" i="11"/>
  <c r="D146" i="9" s="1"/>
  <c r="F146" i="9"/>
  <c r="J11" i="27"/>
  <c r="J13" i="27"/>
  <c r="J15" i="27"/>
  <c r="J18" i="27"/>
  <c r="J20" i="27"/>
  <c r="J22" i="27"/>
  <c r="J16" i="27"/>
  <c r="J12" i="27"/>
  <c r="J14" i="27"/>
  <c r="J17" i="27"/>
  <c r="K17" i="27" s="1"/>
  <c r="A17" i="27" s="1"/>
  <c r="J19" i="27"/>
  <c r="J21" i="27"/>
  <c r="J23" i="27"/>
  <c r="AD53" i="11"/>
  <c r="F68" i="36"/>
  <c r="G3" i="9" s="1"/>
  <c r="G6" i="9" s="1"/>
  <c r="G3" i="35"/>
  <c r="G6" i="35" s="1"/>
  <c r="N74" i="36"/>
  <c r="K128" i="11"/>
  <c r="D53" i="11"/>
  <c r="M118" i="11"/>
  <c r="C193" i="11"/>
  <c r="K117" i="36" s="1"/>
  <c r="K118" i="11"/>
  <c r="AD118" i="11" s="1"/>
  <c r="AE118" i="11" s="1"/>
  <c r="AF118" i="11" s="1"/>
  <c r="N222" i="11"/>
  <c r="AJ227" i="11"/>
  <c r="AJ228" i="11" s="1"/>
  <c r="P222" i="11"/>
  <c r="J222" i="11"/>
  <c r="E222" i="11"/>
  <c r="AC213" i="11"/>
  <c r="AH177" i="11"/>
  <c r="AD213" i="11"/>
  <c r="AK177" i="11"/>
  <c r="AL177" i="11"/>
  <c r="AK213" i="11"/>
  <c r="AP177" i="11"/>
  <c r="AE177" i="11"/>
  <c r="AF177" i="11"/>
  <c r="AG213" i="11"/>
  <c r="AM177" i="11"/>
  <c r="AL213" i="11"/>
  <c r="AI177" i="11"/>
  <c r="AH213" i="11"/>
  <c r="AJ177" i="11"/>
  <c r="AG177" i="11"/>
  <c r="AI213" i="11"/>
  <c r="AN177" i="11"/>
  <c r="AM213" i="11"/>
  <c r="AE213" i="11"/>
  <c r="AF213" i="11"/>
  <c r="AJ213" i="11"/>
  <c r="AO177" i="11"/>
  <c r="AN213" i="11"/>
  <c r="E177" i="11"/>
  <c r="G177" i="11"/>
  <c r="I177" i="11"/>
  <c r="K177" i="11"/>
  <c r="E213" i="11"/>
  <c r="G213" i="11"/>
  <c r="I213" i="11"/>
  <c r="K213" i="11"/>
  <c r="F177" i="11"/>
  <c r="H177" i="11"/>
  <c r="J177" i="11"/>
  <c r="L177" i="11"/>
  <c r="F213" i="11"/>
  <c r="H213" i="11"/>
  <c r="J213" i="11"/>
  <c r="L213" i="11"/>
  <c r="M177" i="11"/>
  <c r="M213" i="11"/>
  <c r="N177" i="11"/>
  <c r="N213" i="11"/>
  <c r="O177" i="11"/>
  <c r="O213" i="11"/>
  <c r="P177" i="11"/>
  <c r="P213" i="11"/>
  <c r="D213" i="11"/>
  <c r="L137" i="36" s="1"/>
  <c r="AF662" i="11"/>
  <c r="G18" i="23"/>
  <c r="G19" i="23"/>
  <c r="F11" i="27"/>
  <c r="F12" i="27"/>
  <c r="F14" i="27"/>
  <c r="F19" i="27"/>
  <c r="F21" i="27"/>
  <c r="F23" i="27"/>
  <c r="D28" i="27"/>
  <c r="E28" i="27" s="1"/>
  <c r="F13" i="27"/>
  <c r="F15" i="27"/>
  <c r="F18" i="27"/>
  <c r="F20" i="27"/>
  <c r="F22" i="27"/>
  <c r="D27" i="27"/>
  <c r="E27" i="27" s="1"/>
  <c r="Q125" i="11"/>
  <c r="T125" i="11" s="1"/>
  <c r="C200" i="11"/>
  <c r="K124" i="36" s="1"/>
  <c r="M116" i="11"/>
  <c r="C191" i="11"/>
  <c r="Q118" i="11"/>
  <c r="T118" i="11" s="1"/>
  <c r="AC129" i="11"/>
  <c r="AB204" i="11"/>
  <c r="J122" i="11"/>
  <c r="Q117" i="11"/>
  <c r="T117" i="11" s="1"/>
  <c r="C192" i="11"/>
  <c r="K116" i="36" s="1"/>
  <c r="AC131" i="11"/>
  <c r="AB206" i="11"/>
  <c r="AE152" i="11"/>
  <c r="AI152" i="11"/>
  <c r="AF152" i="11"/>
  <c r="AM152" i="11"/>
  <c r="AH152" i="11"/>
  <c r="AN152" i="11"/>
  <c r="AG152" i="11"/>
  <c r="AJ152" i="11"/>
  <c r="AL152" i="11"/>
  <c r="AO152" i="11"/>
  <c r="AP152" i="11"/>
  <c r="AK152" i="11"/>
  <c r="L222" i="11"/>
  <c r="I222" i="11"/>
  <c r="J131" i="11"/>
  <c r="N131" i="11" s="1"/>
  <c r="V131" i="11" s="1"/>
  <c r="X131" i="11" s="1"/>
  <c r="J133" i="11"/>
  <c r="N133" i="11" s="1"/>
  <c r="V133" i="11" s="1"/>
  <c r="X133" i="11" s="1"/>
  <c r="AG179" i="11"/>
  <c r="AK215" i="11"/>
  <c r="AC133" i="11"/>
  <c r="AB208" i="11"/>
  <c r="G108" i="35"/>
  <c r="G107" i="35"/>
  <c r="AF661" i="11"/>
  <c r="Q114" i="11"/>
  <c r="T114" i="11" s="1"/>
  <c r="Q115" i="11"/>
  <c r="T115" i="11" s="1"/>
  <c r="C190" i="11"/>
  <c r="K114" i="36" s="1"/>
  <c r="Q122" i="11"/>
  <c r="T122" i="11" s="1"/>
  <c r="C197" i="11"/>
  <c r="K121" i="36" s="1"/>
  <c r="Q126" i="11"/>
  <c r="T126" i="11" s="1"/>
  <c r="C201" i="11"/>
  <c r="K125" i="36" s="1"/>
  <c r="Q128" i="11"/>
  <c r="T128" i="11" s="1"/>
  <c r="Q133" i="11"/>
  <c r="T133" i="11" s="1"/>
  <c r="AE160" i="11"/>
  <c r="AI160" i="11"/>
  <c r="AF160" i="11"/>
  <c r="AM160" i="11"/>
  <c r="AN160" i="11"/>
  <c r="AG160" i="11"/>
  <c r="AJ160" i="11"/>
  <c r="AP160" i="11"/>
  <c r="AK160" i="11"/>
  <c r="AO160" i="11"/>
  <c r="AH160" i="11"/>
  <c r="AL160" i="11"/>
  <c r="G222" i="11"/>
  <c r="AF178" i="11"/>
  <c r="AG178" i="11"/>
  <c r="AF214" i="11"/>
  <c r="AD214" i="11"/>
  <c r="AH178" i="11"/>
  <c r="AJ178" i="11"/>
  <c r="AI214" i="11"/>
  <c r="AO178" i="11"/>
  <c r="AN214" i="11"/>
  <c r="AK178" i="11"/>
  <c r="AK214" i="11"/>
  <c r="AP178" i="11"/>
  <c r="AG214" i="11"/>
  <c r="AI178" i="11"/>
  <c r="AM178" i="11"/>
  <c r="AN178" i="11"/>
  <c r="AM214" i="11"/>
  <c r="AH214" i="11"/>
  <c r="F214" i="11"/>
  <c r="J214" i="11"/>
  <c r="L214" i="11"/>
  <c r="M178" i="11"/>
  <c r="N178" i="11"/>
  <c r="N214" i="11"/>
  <c r="O178" i="11"/>
  <c r="P178" i="11"/>
  <c r="P214" i="11"/>
  <c r="E178" i="11"/>
  <c r="I178" i="11"/>
  <c r="K178" i="11"/>
  <c r="E214" i="11"/>
  <c r="I214" i="11"/>
  <c r="K214" i="11"/>
  <c r="F178" i="11"/>
  <c r="J178" i="11"/>
  <c r="L178" i="11"/>
  <c r="D214" i="11"/>
  <c r="L138" i="36" s="1"/>
  <c r="AP173" i="11"/>
  <c r="I56" i="10"/>
  <c r="AM254" i="11" l="1"/>
  <c r="N19" i="35" s="1"/>
  <c r="K10" i="20"/>
  <c r="F75" i="20"/>
  <c r="F49" i="20"/>
  <c r="F41" i="20"/>
  <c r="G16" i="20"/>
  <c r="AB290" i="11"/>
  <c r="AB551" i="11" s="1"/>
  <c r="F31" i="20"/>
  <c r="A31" i="20"/>
  <c r="C31" i="20" s="1"/>
  <c r="F83" i="20"/>
  <c r="K594" i="11"/>
  <c r="B642" i="11" s="1"/>
  <c r="AK166" i="11"/>
  <c r="AJ202" i="11"/>
  <c r="E163" i="11"/>
  <c r="AE254" i="11"/>
  <c r="F19" i="35" s="1"/>
  <c r="AO254" i="11"/>
  <c r="P19" i="35" s="1"/>
  <c r="AK254" i="11"/>
  <c r="L19" i="35" s="1"/>
  <c r="G59" i="35"/>
  <c r="AJ254" i="11"/>
  <c r="K19" i="35" s="1"/>
  <c r="AG254" i="11"/>
  <c r="H19" i="35" s="1"/>
  <c r="K24" i="21"/>
  <c r="A19" i="21"/>
  <c r="G19" i="21" s="1"/>
  <c r="A144" i="30"/>
  <c r="K34" i="21"/>
  <c r="Q34" i="21" s="1"/>
  <c r="R34" i="21" s="1"/>
  <c r="A24" i="21"/>
  <c r="D24" i="21" s="1"/>
  <c r="K459" i="11"/>
  <c r="B641" i="11" s="1"/>
  <c r="A112" i="30"/>
  <c r="B112" i="30" s="1"/>
  <c r="B73" i="19"/>
  <c r="E71" i="19" s="1"/>
  <c r="A14" i="21"/>
  <c r="C61" i="28"/>
  <c r="I10" i="28"/>
  <c r="I45" i="28" s="1"/>
  <c r="A80" i="30"/>
  <c r="B80" i="30" s="1"/>
  <c r="A15" i="19"/>
  <c r="A21" i="19" s="1"/>
  <c r="A28" i="19" s="1"/>
  <c r="A34" i="19" s="1"/>
  <c r="A34" i="21"/>
  <c r="A49" i="21" s="1"/>
  <c r="A54" i="21" s="1"/>
  <c r="M225" i="11"/>
  <c r="A11" i="30"/>
  <c r="A33" i="30" s="1"/>
  <c r="B8" i="19"/>
  <c r="A29" i="21"/>
  <c r="A160" i="30"/>
  <c r="G67" i="9"/>
  <c r="F11" i="28"/>
  <c r="F28" i="28" s="1"/>
  <c r="F514" i="11"/>
  <c r="AF254" i="11"/>
  <c r="G19" i="35" s="1"/>
  <c r="G47" i="32"/>
  <c r="C67" i="32"/>
  <c r="D70" i="32"/>
  <c r="F67" i="32" s="1"/>
  <c r="A77" i="32" s="1"/>
  <c r="E23" i="29"/>
  <c r="I23" i="29"/>
  <c r="AH254" i="11"/>
  <c r="I19" i="35" s="1"/>
  <c r="A121" i="30"/>
  <c r="B121" i="30" s="1"/>
  <c r="C6" i="18"/>
  <c r="G70" i="32"/>
  <c r="E41" i="32"/>
  <c r="E169" i="35"/>
  <c r="E162" i="35"/>
  <c r="A57" i="30"/>
  <c r="B57" i="30" s="1"/>
  <c r="G191" i="30"/>
  <c r="J190" i="30" s="1"/>
  <c r="G551" i="11" s="1"/>
  <c r="A169" i="30"/>
  <c r="D169" i="30" s="1"/>
  <c r="D173" i="30" s="1"/>
  <c r="AI163" i="11"/>
  <c r="G6" i="18"/>
  <c r="H6" i="18" s="1"/>
  <c r="I11" i="28"/>
  <c r="I34" i="28" s="1"/>
  <c r="F9" i="28"/>
  <c r="F38" i="28" s="1"/>
  <c r="C9" i="28"/>
  <c r="C32" i="28" s="1"/>
  <c r="G189" i="30"/>
  <c r="A184" i="30"/>
  <c r="B184" i="30" s="1"/>
  <c r="C184" i="30" s="1"/>
  <c r="A153" i="30"/>
  <c r="D153" i="30" s="1"/>
  <c r="D157" i="30" s="1"/>
  <c r="E6" i="18"/>
  <c r="C11" i="28"/>
  <c r="C34" i="28" s="1"/>
  <c r="C10" i="28"/>
  <c r="C45" i="28" s="1"/>
  <c r="D23" i="29"/>
  <c r="C59" i="28"/>
  <c r="D59" i="28" s="1"/>
  <c r="G188" i="30"/>
  <c r="J188" i="30" s="1"/>
  <c r="G550" i="11" s="1"/>
  <c r="A105" i="30"/>
  <c r="B105" i="30" s="1"/>
  <c r="D32" i="18"/>
  <c r="L9" i="28"/>
  <c r="L44" i="28" s="1"/>
  <c r="F23" i="29"/>
  <c r="J212" i="11"/>
  <c r="A89" i="30"/>
  <c r="A73" i="30"/>
  <c r="B73" i="30" s="1"/>
  <c r="D199" i="11"/>
  <c r="L123" i="36" s="1"/>
  <c r="A13" i="18"/>
  <c r="A20" i="18" s="1"/>
  <c r="A25" i="18" s="1"/>
  <c r="L10" i="28"/>
  <c r="L27" i="28" s="1"/>
  <c r="J199" i="11"/>
  <c r="AH163" i="11"/>
  <c r="N163" i="11"/>
  <c r="C62" i="28"/>
  <c r="C60" i="28"/>
  <c r="D60" i="28" s="1"/>
  <c r="AD212" i="11"/>
  <c r="A137" i="30"/>
  <c r="D137" i="30" s="1"/>
  <c r="D141" i="30" s="1"/>
  <c r="A26" i="30"/>
  <c r="B26" i="30" s="1"/>
  <c r="AF199" i="11"/>
  <c r="F6" i="18"/>
  <c r="E13" i="18" s="1"/>
  <c r="E20" i="18" s="1"/>
  <c r="I9" i="28"/>
  <c r="I38" i="28" s="1"/>
  <c r="P163" i="11"/>
  <c r="G23" i="29"/>
  <c r="F10" i="28"/>
  <c r="F45" i="28" s="1"/>
  <c r="A128" i="30"/>
  <c r="D128" i="30" s="1"/>
  <c r="D132" i="30" s="1"/>
  <c r="K199" i="11"/>
  <c r="L11" i="28"/>
  <c r="L28" i="28" s="1"/>
  <c r="F516" i="11"/>
  <c r="F513" i="11"/>
  <c r="H23" i="29"/>
  <c r="G196" i="11"/>
  <c r="E202" i="11"/>
  <c r="P151" i="11"/>
  <c r="AN151" i="11"/>
  <c r="AI254" i="11"/>
  <c r="J19" i="35" s="1"/>
  <c r="J166" i="11"/>
  <c r="AD134" i="11"/>
  <c r="AE134" i="11" s="1"/>
  <c r="AF134" i="11" s="1"/>
  <c r="H202" i="11"/>
  <c r="AG151" i="11"/>
  <c r="J151" i="11"/>
  <c r="L151" i="11"/>
  <c r="AH151" i="11"/>
  <c r="AI151" i="11"/>
  <c r="AM202" i="11"/>
  <c r="K16" i="27"/>
  <c r="A16" i="27" s="1"/>
  <c r="H151" i="11"/>
  <c r="G13" i="31"/>
  <c r="A27" i="28"/>
  <c r="A29" i="28"/>
  <c r="A28" i="28"/>
  <c r="F19" i="30"/>
  <c r="F98" i="30"/>
  <c r="I19" i="30"/>
  <c r="F91" i="30"/>
  <c r="F139" i="30"/>
  <c r="F146" i="30"/>
  <c r="AD196" i="11"/>
  <c r="AD141" i="11"/>
  <c r="AE141" i="11" s="1"/>
  <c r="AF141" i="11" s="1"/>
  <c r="F82" i="30"/>
  <c r="F75" i="30"/>
  <c r="E19" i="30"/>
  <c r="F13" i="31"/>
  <c r="E28" i="29"/>
  <c r="A33" i="28"/>
  <c r="A35" i="28"/>
  <c r="A34" i="28"/>
  <c r="I33" i="28" s="1"/>
  <c r="M196" i="11"/>
  <c r="E11" i="29"/>
  <c r="E13" i="31"/>
  <c r="E29" i="29"/>
  <c r="A40" i="28"/>
  <c r="A39" i="28"/>
  <c r="A41" i="28"/>
  <c r="I40" i="28" s="1"/>
  <c r="G19" i="30"/>
  <c r="F107" i="30"/>
  <c r="J19" i="30"/>
  <c r="F114" i="30"/>
  <c r="F155" i="30"/>
  <c r="F162" i="30"/>
  <c r="N116" i="11"/>
  <c r="Q41" i="36" s="1"/>
  <c r="F205" i="11"/>
  <c r="E205" i="11"/>
  <c r="AE205" i="11"/>
  <c r="AL194" i="11"/>
  <c r="AI158" i="11"/>
  <c r="AC194" i="11"/>
  <c r="O194" i="11"/>
  <c r="P158" i="11"/>
  <c r="I158" i="11"/>
  <c r="F158" i="11"/>
  <c r="E194" i="11"/>
  <c r="AK151" i="11"/>
  <c r="G151" i="11"/>
  <c r="AJ151" i="11"/>
  <c r="N151" i="11"/>
  <c r="AO151" i="11"/>
  <c r="I151" i="11"/>
  <c r="D194" i="11"/>
  <c r="L118" i="36" s="1"/>
  <c r="AP158" i="11"/>
  <c r="AJ194" i="11"/>
  <c r="P194" i="11"/>
  <c r="N194" i="11"/>
  <c r="L120" i="36"/>
  <c r="O196" i="11"/>
  <c r="F169" i="11"/>
  <c r="AI205" i="11"/>
  <c r="AK169" i="11"/>
  <c r="AM194" i="11"/>
  <c r="AM158" i="11"/>
  <c r="AK194" i="11"/>
  <c r="AH158" i="11"/>
  <c r="AI194" i="11"/>
  <c r="AF194" i="11"/>
  <c r="K158" i="11"/>
  <c r="O158" i="11"/>
  <c r="M194" i="11"/>
  <c r="M158" i="11"/>
  <c r="H158" i="11"/>
  <c r="E158" i="11"/>
  <c r="AP151" i="11"/>
  <c r="F151" i="11"/>
  <c r="D187" i="11"/>
  <c r="L111" i="36" s="1"/>
  <c r="AL151" i="11"/>
  <c r="O151" i="11"/>
  <c r="E151" i="11"/>
  <c r="AE151" i="11"/>
  <c r="N196" i="11"/>
  <c r="D205" i="11"/>
  <c r="L129" i="36" s="1"/>
  <c r="O169" i="11"/>
  <c r="AG169" i="11"/>
  <c r="AC205" i="11"/>
  <c r="AN158" i="11"/>
  <c r="AG194" i="11"/>
  <c r="AL158" i="11"/>
  <c r="AN194" i="11"/>
  <c r="AJ158" i="11"/>
  <c r="AG158" i="11"/>
  <c r="AF158" i="11"/>
  <c r="L194" i="11"/>
  <c r="L158" i="11"/>
  <c r="K194" i="11"/>
  <c r="J158" i="11"/>
  <c r="AM151" i="11"/>
  <c r="K151" i="11"/>
  <c r="M151" i="11"/>
  <c r="AD140" i="11"/>
  <c r="AE140" i="11" s="1"/>
  <c r="AF140" i="11" s="1"/>
  <c r="AK212" i="11"/>
  <c r="H196" i="11"/>
  <c r="I212" i="11"/>
  <c r="P176" i="11"/>
  <c r="AN176" i="11"/>
  <c r="AM163" i="11"/>
  <c r="G199" i="11"/>
  <c r="AJ163" i="11"/>
  <c r="J163" i="11"/>
  <c r="I672" i="11"/>
  <c r="F199" i="11"/>
  <c r="K20" i="27"/>
  <c r="A20" i="27" s="1"/>
  <c r="K14" i="27"/>
  <c r="A14" i="27" s="1"/>
  <c r="P174" i="11"/>
  <c r="D18" i="35"/>
  <c r="E18" i="35" s="1"/>
  <c r="F18" i="35" s="1"/>
  <c r="G18" i="35" s="1"/>
  <c r="H18" i="35" s="1"/>
  <c r="I18" i="35" s="1"/>
  <c r="J18" i="35" s="1"/>
  <c r="K18" i="35" s="1"/>
  <c r="L18" i="35" s="1"/>
  <c r="M18" i="35" s="1"/>
  <c r="N18" i="35" s="1"/>
  <c r="O18" i="35" s="1"/>
  <c r="P18" i="35" s="1"/>
  <c r="AL254" i="11"/>
  <c r="M19" i="35" s="1"/>
  <c r="AN254" i="11"/>
  <c r="O19" i="35" s="1"/>
  <c r="AE199" i="11"/>
  <c r="AM199" i="11"/>
  <c r="AC199" i="11"/>
  <c r="O163" i="11"/>
  <c r="AN163" i="11"/>
  <c r="AE248" i="11"/>
  <c r="E196" i="11"/>
  <c r="AD199" i="11"/>
  <c r="M209" i="11"/>
  <c r="AI199" i="11"/>
  <c r="AG199" i="11"/>
  <c r="M163" i="11"/>
  <c r="L163" i="11"/>
  <c r="AD125" i="11"/>
  <c r="AE125" i="11" s="1"/>
  <c r="AF125" i="11" s="1"/>
  <c r="AG163" i="11"/>
  <c r="AL163" i="11"/>
  <c r="K22" i="27"/>
  <c r="A22" i="27" s="1"/>
  <c r="K169" i="11"/>
  <c r="L205" i="11"/>
  <c r="L169" i="11"/>
  <c r="P205" i="11"/>
  <c r="N205" i="11"/>
  <c r="K205" i="11"/>
  <c r="AN205" i="11"/>
  <c r="AJ169" i="11"/>
  <c r="AF169" i="11"/>
  <c r="AM169" i="11"/>
  <c r="AP169" i="11"/>
  <c r="AE169" i="11"/>
  <c r="H178" i="11"/>
  <c r="G214" i="11"/>
  <c r="G178" i="11"/>
  <c r="O214" i="11"/>
  <c r="M214" i="11"/>
  <c r="H214" i="11"/>
  <c r="AL214" i="11"/>
  <c r="AC214" i="11"/>
  <c r="AL178" i="11"/>
  <c r="AJ214" i="11"/>
  <c r="AE214" i="11"/>
  <c r="AM174" i="11"/>
  <c r="I169" i="11"/>
  <c r="J205" i="11"/>
  <c r="J169" i="11"/>
  <c r="P169" i="11"/>
  <c r="N169" i="11"/>
  <c r="I205" i="11"/>
  <c r="AO169" i="11"/>
  <c r="AM205" i="11"/>
  <c r="AH205" i="11"/>
  <c r="AG205" i="11"/>
  <c r="AK205" i="11"/>
  <c r="AD205" i="11"/>
  <c r="AL199" i="11"/>
  <c r="M199" i="11"/>
  <c r="L199" i="11"/>
  <c r="AK199" i="11"/>
  <c r="I199" i="11"/>
  <c r="P199" i="11"/>
  <c r="AK163" i="11"/>
  <c r="AO163" i="11"/>
  <c r="N141" i="11"/>
  <c r="V141" i="11" s="1"/>
  <c r="X141" i="11" s="1"/>
  <c r="G163" i="11"/>
  <c r="I163" i="11"/>
  <c r="AE163" i="11"/>
  <c r="H199" i="11"/>
  <c r="H163" i="11"/>
  <c r="G169" i="11"/>
  <c r="H205" i="11"/>
  <c r="H169" i="11"/>
  <c r="O205" i="11"/>
  <c r="M205" i="11"/>
  <c r="G205" i="11"/>
  <c r="AJ205" i="11"/>
  <c r="AN169" i="11"/>
  <c r="AI169" i="11"/>
  <c r="AF205" i="11"/>
  <c r="AL169" i="11"/>
  <c r="AN199" i="11"/>
  <c r="AP163" i="11"/>
  <c r="O199" i="11"/>
  <c r="AH199" i="11"/>
  <c r="AJ199" i="11"/>
  <c r="N199" i="11"/>
  <c r="K163" i="11"/>
  <c r="AF163" i="11"/>
  <c r="F163" i="11"/>
  <c r="K13" i="27"/>
  <c r="A13" i="27" s="1"/>
  <c r="I28" i="28"/>
  <c r="H209" i="11"/>
  <c r="AH202" i="11"/>
  <c r="N202" i="11"/>
  <c r="N166" i="11"/>
  <c r="AD124" i="11"/>
  <c r="AE124" i="11" s="1"/>
  <c r="AF124" i="11" s="1"/>
  <c r="AO159" i="11"/>
  <c r="P159" i="11"/>
  <c r="G173" i="11"/>
  <c r="AD138" i="11"/>
  <c r="AE138" i="11" s="1"/>
  <c r="AF138" i="11" s="1"/>
  <c r="D195" i="11"/>
  <c r="AH195" i="11" s="1"/>
  <c r="O209" i="11"/>
  <c r="AM173" i="11"/>
  <c r="AD202" i="11"/>
  <c r="AE166" i="11"/>
  <c r="J202" i="11"/>
  <c r="AD137" i="11"/>
  <c r="AE137" i="11" s="1"/>
  <c r="AF137" i="11" s="1"/>
  <c r="AE159" i="11"/>
  <c r="L159" i="11"/>
  <c r="I162" i="35"/>
  <c r="K23" i="27"/>
  <c r="A23" i="27" s="1"/>
  <c r="K18" i="23"/>
  <c r="K11" i="27"/>
  <c r="A11" i="27" s="1"/>
  <c r="M108" i="35"/>
  <c r="I169" i="35" s="1"/>
  <c r="F9" i="25"/>
  <c r="B30" i="25" s="1"/>
  <c r="AN215" i="11"/>
  <c r="D212" i="11"/>
  <c r="L136" i="36" s="1"/>
  <c r="O212" i="11"/>
  <c r="H212" i="11"/>
  <c r="G212" i="11"/>
  <c r="AL176" i="11"/>
  <c r="AH212" i="11"/>
  <c r="AE176" i="11"/>
  <c r="J179" i="11"/>
  <c r="G176" i="11"/>
  <c r="N176" i="11"/>
  <c r="J176" i="11"/>
  <c r="AJ212" i="11"/>
  <c r="AF212" i="11"/>
  <c r="AM176" i="11"/>
  <c r="K19" i="27"/>
  <c r="A19" i="27" s="1"/>
  <c r="P196" i="11"/>
  <c r="K196" i="11"/>
  <c r="I196" i="11"/>
  <c r="AI159" i="11"/>
  <c r="N136" i="11"/>
  <c r="V136" i="11" s="1"/>
  <c r="X136" i="11" s="1"/>
  <c r="G159" i="11"/>
  <c r="B34" i="26"/>
  <c r="K18" i="27"/>
  <c r="A18" i="27" s="1"/>
  <c r="P215" i="11"/>
  <c r="H179" i="11"/>
  <c r="E176" i="11"/>
  <c r="M212" i="11"/>
  <c r="H176" i="11"/>
  <c r="AK176" i="11"/>
  <c r="AE212" i="11"/>
  <c r="AG212" i="11"/>
  <c r="I39" i="28"/>
  <c r="L196" i="11"/>
  <c r="J196" i="11"/>
  <c r="F196" i="11"/>
  <c r="AN159" i="11"/>
  <c r="AH159" i="11"/>
  <c r="J227" i="11"/>
  <c r="J228" i="11" s="1"/>
  <c r="Q46" i="36"/>
  <c r="V121" i="11"/>
  <c r="R46" i="36" s="1"/>
  <c r="F26" i="28"/>
  <c r="AF210" i="11"/>
  <c r="AO174" i="11"/>
  <c r="AH174" i="11"/>
  <c r="AP174" i="11"/>
  <c r="AN174" i="11"/>
  <c r="AI174" i="11"/>
  <c r="L174" i="11"/>
  <c r="N210" i="11"/>
  <c r="P210" i="11"/>
  <c r="L210" i="11"/>
  <c r="K174" i="11"/>
  <c r="K210" i="11"/>
  <c r="AF174" i="11"/>
  <c r="AJ174" i="11"/>
  <c r="AN210" i="11"/>
  <c r="AK174" i="11"/>
  <c r="AD210" i="11"/>
  <c r="AL210" i="11"/>
  <c r="F174" i="11"/>
  <c r="M174" i="11"/>
  <c r="O174" i="11"/>
  <c r="F210" i="11"/>
  <c r="E174" i="11"/>
  <c r="E210" i="11"/>
  <c r="D210" i="11"/>
  <c r="L134" i="36" s="1"/>
  <c r="AE174" i="11"/>
  <c r="AI210" i="11"/>
  <c r="AL174" i="11"/>
  <c r="AG210" i="11"/>
  <c r="AM210" i="11"/>
  <c r="M210" i="11"/>
  <c r="O210" i="11"/>
  <c r="H210" i="11"/>
  <c r="G210" i="11"/>
  <c r="AC210" i="11"/>
  <c r="H174" i="11"/>
  <c r="G174" i="11"/>
  <c r="I210" i="11"/>
  <c r="AK210" i="11"/>
  <c r="AF171" i="11"/>
  <c r="AJ207" i="11"/>
  <c r="F171" i="11"/>
  <c r="AK171" i="11"/>
  <c r="AC207" i="11"/>
  <c r="F207" i="11"/>
  <c r="O171" i="11"/>
  <c r="E171" i="11"/>
  <c r="D207" i="11"/>
  <c r="L131" i="36" s="1"/>
  <c r="J174" i="11"/>
  <c r="AD216" i="11"/>
  <c r="AL180" i="11"/>
  <c r="AG216" i="11"/>
  <c r="E34" i="25"/>
  <c r="AC187" i="11"/>
  <c r="H187" i="11"/>
  <c r="N174" i="11"/>
  <c r="K12" i="27"/>
  <c r="A12" i="27" s="1"/>
  <c r="I174" i="11"/>
  <c r="AE210" i="11"/>
  <c r="K21" i="27"/>
  <c r="A21" i="27" s="1"/>
  <c r="E207" i="11"/>
  <c r="J210" i="11"/>
  <c r="AH210" i="11"/>
  <c r="AJ210" i="11"/>
  <c r="K15" i="27"/>
  <c r="A15" i="27" s="1"/>
  <c r="N215" i="11"/>
  <c r="AJ179" i="11"/>
  <c r="K176" i="11"/>
  <c r="AN212" i="11"/>
  <c r="O176" i="11"/>
  <c r="F212" i="11"/>
  <c r="F176" i="11"/>
  <c r="AH176" i="11"/>
  <c r="AI176" i="11"/>
  <c r="AK159" i="11"/>
  <c r="AJ159" i="11"/>
  <c r="AM159" i="11"/>
  <c r="O159" i="11"/>
  <c r="T30" i="30"/>
  <c r="H173" i="11"/>
  <c r="AJ173" i="11"/>
  <c r="AF209" i="11"/>
  <c r="F179" i="11"/>
  <c r="M176" i="11"/>
  <c r="E212" i="11"/>
  <c r="AI212" i="11"/>
  <c r="AG176" i="11"/>
  <c r="AC212" i="11"/>
  <c r="G209" i="11"/>
  <c r="AI209" i="11"/>
  <c r="AH173" i="11"/>
  <c r="K126" i="11"/>
  <c r="AD126" i="11" s="1"/>
  <c r="AE126" i="11" s="1"/>
  <c r="AF126" i="11" s="1"/>
  <c r="AF664" i="11"/>
  <c r="L215" i="11"/>
  <c r="L179" i="11"/>
  <c r="AN179" i="11"/>
  <c r="I176" i="11"/>
  <c r="P212" i="11"/>
  <c r="N212" i="11"/>
  <c r="L212" i="11"/>
  <c r="L176" i="11"/>
  <c r="K212" i="11"/>
  <c r="AO176" i="11"/>
  <c r="AP176" i="11"/>
  <c r="AJ176" i="11"/>
  <c r="AM212" i="11"/>
  <c r="AL212" i="11"/>
  <c r="AE196" i="11"/>
  <c r="J159" i="11"/>
  <c r="AP159" i="11"/>
  <c r="AL159" i="11"/>
  <c r="B11" i="29"/>
  <c r="D11" i="29" s="1"/>
  <c r="C15" i="29" s="1"/>
  <c r="F159" i="11"/>
  <c r="AC196" i="11"/>
  <c r="AI196" i="11"/>
  <c r="N117" i="11"/>
  <c r="V117" i="11" s="1"/>
  <c r="Q40" i="36"/>
  <c r="V115" i="11"/>
  <c r="R40" i="36" s="1"/>
  <c r="B114" i="36" s="1"/>
  <c r="E215" i="11"/>
  <c r="I27" i="28"/>
  <c r="P179" i="11"/>
  <c r="AP179" i="11"/>
  <c r="AO179" i="11"/>
  <c r="K215" i="11"/>
  <c r="G215" i="11"/>
  <c r="AE215" i="11"/>
  <c r="M215" i="11"/>
  <c r="AL179" i="11"/>
  <c r="AD215" i="11"/>
  <c r="I179" i="11"/>
  <c r="G179" i="11"/>
  <c r="AI179" i="11"/>
  <c r="I162" i="11"/>
  <c r="J127" i="11"/>
  <c r="N127" i="11" s="1"/>
  <c r="Q52" i="36" s="1"/>
  <c r="E254" i="11"/>
  <c r="F19" i="9" s="1"/>
  <c r="N179" i="11"/>
  <c r="AG215" i="11"/>
  <c r="AH179" i="11"/>
  <c r="I215" i="11"/>
  <c r="AH215" i="11"/>
  <c r="O215" i="11"/>
  <c r="AL215" i="11"/>
  <c r="AJ215" i="11"/>
  <c r="K179" i="11"/>
  <c r="E179" i="11"/>
  <c r="AF179" i="11"/>
  <c r="D215" i="11"/>
  <c r="L139" i="36" s="1"/>
  <c r="O179" i="11"/>
  <c r="M179" i="11"/>
  <c r="AM179" i="11"/>
  <c r="AK179" i="11"/>
  <c r="AI215" i="11"/>
  <c r="AE179" i="11"/>
  <c r="J215" i="11"/>
  <c r="H215" i="11"/>
  <c r="F215" i="11"/>
  <c r="AM215" i="11"/>
  <c r="AF215" i="11"/>
  <c r="E29" i="27"/>
  <c r="C37" i="27" s="1"/>
  <c r="E37" i="27" s="1"/>
  <c r="B44" i="27" s="1"/>
  <c r="M171" i="11"/>
  <c r="AP171" i="11"/>
  <c r="AE171" i="11"/>
  <c r="N119" i="11"/>
  <c r="Q44" i="36" s="1"/>
  <c r="AD119" i="11"/>
  <c r="AE119" i="11" s="1"/>
  <c r="AF119" i="11" s="1"/>
  <c r="AD120" i="11"/>
  <c r="AE120" i="11" s="1"/>
  <c r="AF120" i="11" s="1"/>
  <c r="Q104" i="36"/>
  <c r="AD116" i="11"/>
  <c r="AE116" i="11" s="1"/>
  <c r="AF116" i="11" s="1"/>
  <c r="K159" i="11"/>
  <c r="AG159" i="11"/>
  <c r="Q48" i="36"/>
  <c r="V123" i="11"/>
  <c r="X123" i="11" s="1"/>
  <c r="AN196" i="11"/>
  <c r="AF196" i="11"/>
  <c r="AL196" i="11"/>
  <c r="AG187" i="11"/>
  <c r="O187" i="11"/>
  <c r="I46" i="28"/>
  <c r="L207" i="11"/>
  <c r="P207" i="11"/>
  <c r="N207" i="11"/>
  <c r="L171" i="11"/>
  <c r="K207" i="11"/>
  <c r="K171" i="11"/>
  <c r="AL207" i="11"/>
  <c r="AK207" i="11"/>
  <c r="AF207" i="11"/>
  <c r="AI207" i="11"/>
  <c r="AN171" i="11"/>
  <c r="AG171" i="11"/>
  <c r="D216" i="11"/>
  <c r="L140" i="36" s="1"/>
  <c r="G180" i="11"/>
  <c r="AI216" i="11"/>
  <c r="AE180" i="11"/>
  <c r="G254" i="11"/>
  <c r="H19" i="9" s="1"/>
  <c r="I254" i="11"/>
  <c r="J19" i="9" s="1"/>
  <c r="D18" i="9"/>
  <c r="E18" i="9" s="1"/>
  <c r="F18" i="9" s="1"/>
  <c r="G18" i="9" s="1"/>
  <c r="H18" i="9" s="1"/>
  <c r="I18" i="9" s="1"/>
  <c r="J18" i="9" s="1"/>
  <c r="K18" i="9" s="1"/>
  <c r="L18" i="9" s="1"/>
  <c r="M18" i="9" s="1"/>
  <c r="N18" i="9" s="1"/>
  <c r="O18" i="9" s="1"/>
  <c r="P18" i="9" s="1"/>
  <c r="AK196" i="11"/>
  <c r="AM196" i="11"/>
  <c r="AG196" i="11"/>
  <c r="AJ187" i="11"/>
  <c r="J207" i="11"/>
  <c r="P171" i="11"/>
  <c r="N171" i="11"/>
  <c r="J171" i="11"/>
  <c r="I207" i="11"/>
  <c r="I171" i="11"/>
  <c r="AM171" i="11"/>
  <c r="AH171" i="11"/>
  <c r="AN207" i="11"/>
  <c r="AJ171" i="11"/>
  <c r="AH207" i="11"/>
  <c r="AE207" i="11"/>
  <c r="E216" i="11"/>
  <c r="F216" i="11"/>
  <c r="AM216" i="11"/>
  <c r="AJ162" i="11"/>
  <c r="M254" i="11"/>
  <c r="N19" i="9" s="1"/>
  <c r="J254" i="11"/>
  <c r="K19" i="9" s="1"/>
  <c r="G59" i="9"/>
  <c r="AD123" i="11"/>
  <c r="AE123" i="11" s="1"/>
  <c r="AF123" i="11" s="1"/>
  <c r="AF159" i="11"/>
  <c r="H159" i="11"/>
  <c r="I159" i="11"/>
  <c r="I44" i="28"/>
  <c r="AJ196" i="11"/>
  <c r="AH196" i="11"/>
  <c r="E187" i="11"/>
  <c r="H207" i="11"/>
  <c r="O207" i="11"/>
  <c r="M207" i="11"/>
  <c r="H171" i="11"/>
  <c r="G207" i="11"/>
  <c r="G171" i="11"/>
  <c r="AG207" i="11"/>
  <c r="AL171" i="11"/>
  <c r="AO171" i="11"/>
  <c r="AD207" i="11"/>
  <c r="AI171" i="11"/>
  <c r="O180" i="11"/>
  <c r="F180" i="11"/>
  <c r="AF216" i="11"/>
  <c r="K254" i="11"/>
  <c r="L19" i="9" s="1"/>
  <c r="F254" i="11"/>
  <c r="G19" i="9" s="1"/>
  <c r="O254" i="11"/>
  <c r="P19" i="9" s="1"/>
  <c r="N159" i="11"/>
  <c r="E159" i="11"/>
  <c r="Q45" i="36"/>
  <c r="V120" i="11"/>
  <c r="E19" i="9"/>
  <c r="H162" i="11"/>
  <c r="J162" i="11"/>
  <c r="E162" i="11"/>
  <c r="AF162" i="11"/>
  <c r="M162" i="11"/>
  <c r="N162" i="11"/>
  <c r="D198" i="11"/>
  <c r="AE198" i="11" s="1"/>
  <c r="F162" i="11"/>
  <c r="AG162" i="11"/>
  <c r="O162" i="11"/>
  <c r="L162" i="11"/>
  <c r="AL187" i="11"/>
  <c r="AI187" i="11"/>
  <c r="L187" i="11"/>
  <c r="N187" i="11"/>
  <c r="I187" i="11"/>
  <c r="AD187" i="11"/>
  <c r="K216" i="11"/>
  <c r="P216" i="11"/>
  <c r="N216" i="11"/>
  <c r="L216" i="11"/>
  <c r="E180" i="11"/>
  <c r="L180" i="11"/>
  <c r="AP180" i="11"/>
  <c r="AN216" i="11"/>
  <c r="AJ180" i="11"/>
  <c r="AN180" i="11"/>
  <c r="AE216" i="11"/>
  <c r="AG180" i="11"/>
  <c r="AP162" i="11"/>
  <c r="AH162" i="11"/>
  <c r="P162" i="11"/>
  <c r="N114" i="11"/>
  <c r="Q39" i="36" s="1"/>
  <c r="AK187" i="11"/>
  <c r="AM187" i="11"/>
  <c r="P187" i="11"/>
  <c r="K187" i="11"/>
  <c r="F187" i="11"/>
  <c r="I216" i="11"/>
  <c r="P180" i="11"/>
  <c r="N180" i="11"/>
  <c r="K180" i="11"/>
  <c r="J216" i="11"/>
  <c r="J180" i="11"/>
  <c r="AK216" i="11"/>
  <c r="AO180" i="11"/>
  <c r="AH180" i="11"/>
  <c r="AH216" i="11"/>
  <c r="AL216" i="11"/>
  <c r="AF180" i="11"/>
  <c r="AO162" i="11"/>
  <c r="AN162" i="11"/>
  <c r="G187" i="11"/>
  <c r="AE162" i="11"/>
  <c r="K162" i="11"/>
  <c r="N254" i="11"/>
  <c r="O19" i="9" s="1"/>
  <c r="H254" i="11"/>
  <c r="I19" i="9" s="1"/>
  <c r="L254" i="11"/>
  <c r="M19" i="9" s="1"/>
  <c r="AM170" i="11"/>
  <c r="D206" i="11"/>
  <c r="L130" i="36" s="1"/>
  <c r="AI170" i="11"/>
  <c r="AC206" i="11"/>
  <c r="O206" i="11"/>
  <c r="O170" i="11"/>
  <c r="AG170" i="11"/>
  <c r="AI206" i="11"/>
  <c r="E170" i="11"/>
  <c r="G170" i="11"/>
  <c r="I170" i="11"/>
  <c r="K170" i="11"/>
  <c r="AK170" i="11"/>
  <c r="AE206" i="11"/>
  <c r="AN170" i="11"/>
  <c r="AF170" i="11"/>
  <c r="F170" i="11"/>
  <c r="J170" i="11"/>
  <c r="L170" i="11"/>
  <c r="AK206" i="11"/>
  <c r="AG206" i="11"/>
  <c r="N170" i="11"/>
  <c r="AL206" i="11"/>
  <c r="P206" i="11"/>
  <c r="AH206" i="11"/>
  <c r="AF206" i="11"/>
  <c r="AJ206" i="11"/>
  <c r="E206" i="11"/>
  <c r="G206" i="11"/>
  <c r="I206" i="11"/>
  <c r="K206" i="11"/>
  <c r="AL170" i="11"/>
  <c r="AH170" i="11"/>
  <c r="M206" i="11"/>
  <c r="AM206" i="11"/>
  <c r="AD206" i="11"/>
  <c r="AO170" i="11"/>
  <c r="H170" i="11"/>
  <c r="M170" i="11"/>
  <c r="N206" i="11"/>
  <c r="P170" i="11"/>
  <c r="AN206" i="11"/>
  <c r="L206" i="11"/>
  <c r="F206" i="11"/>
  <c r="AP170" i="11"/>
  <c r="AE170" i="11"/>
  <c r="H206" i="11"/>
  <c r="AJ170" i="11"/>
  <c r="J206" i="11"/>
  <c r="AH155" i="11"/>
  <c r="AI155" i="11"/>
  <c r="AJ155" i="11"/>
  <c r="AL155" i="11"/>
  <c r="M155" i="11"/>
  <c r="H155" i="11"/>
  <c r="K155" i="11"/>
  <c r="AG155" i="11"/>
  <c r="AE155" i="11"/>
  <c r="D191" i="11"/>
  <c r="G191" i="11" s="1"/>
  <c r="AP155" i="11"/>
  <c r="AF155" i="11"/>
  <c r="AO155" i="11"/>
  <c r="E155" i="11"/>
  <c r="G155" i="11"/>
  <c r="I155" i="11"/>
  <c r="AM155" i="11"/>
  <c r="F155" i="11"/>
  <c r="L155" i="11"/>
  <c r="O155" i="11"/>
  <c r="AN155" i="11"/>
  <c r="AK155" i="11"/>
  <c r="N155" i="11"/>
  <c r="J155" i="11"/>
  <c r="P155" i="11"/>
  <c r="AD121" i="11"/>
  <c r="AE121" i="11" s="1"/>
  <c r="AF121" i="11" s="1"/>
  <c r="AE187" i="11"/>
  <c r="AF187" i="11"/>
  <c r="AN187" i="11"/>
  <c r="AH187" i="11"/>
  <c r="M187" i="11"/>
  <c r="J187" i="11"/>
  <c r="G216" i="11"/>
  <c r="O216" i="11"/>
  <c r="M216" i="11"/>
  <c r="I180" i="11"/>
  <c r="H216" i="11"/>
  <c r="H180" i="11"/>
  <c r="AK180" i="11"/>
  <c r="AJ216" i="11"/>
  <c r="AC216" i="11"/>
  <c r="AI180" i="11"/>
  <c r="AM180" i="11"/>
  <c r="AI162" i="11"/>
  <c r="AM162" i="11"/>
  <c r="AK162" i="11"/>
  <c r="G162" i="11"/>
  <c r="AH209" i="11"/>
  <c r="K19" i="23"/>
  <c r="AL202" i="11"/>
  <c r="AH166" i="11"/>
  <c r="AP166" i="11"/>
  <c r="AC202" i="11"/>
  <c r="AI202" i="11"/>
  <c r="F202" i="11"/>
  <c r="O166" i="11"/>
  <c r="P166" i="11"/>
  <c r="P202" i="11"/>
  <c r="M202" i="11"/>
  <c r="G166" i="11"/>
  <c r="F166" i="11"/>
  <c r="B153" i="30"/>
  <c r="C77" i="19"/>
  <c r="A85" i="19"/>
  <c r="B77" i="19"/>
  <c r="D39" i="21"/>
  <c r="E39" i="21" s="1"/>
  <c r="G39" i="21"/>
  <c r="H39" i="21" s="1"/>
  <c r="D29" i="21"/>
  <c r="E29" i="21" s="1"/>
  <c r="G29" i="21"/>
  <c r="H29" i="21" s="1"/>
  <c r="B19" i="21"/>
  <c r="D19" i="21"/>
  <c r="B18" i="32"/>
  <c r="B15" i="32"/>
  <c r="F21" i="32"/>
  <c r="A31" i="32" s="1"/>
  <c r="Q37" i="36"/>
  <c r="V112" i="11"/>
  <c r="AD112" i="11"/>
  <c r="AE112" i="11" s="1"/>
  <c r="AF112" i="11" s="1"/>
  <c r="B13" i="18"/>
  <c r="B20" i="18" s="1"/>
  <c r="C13" i="18"/>
  <c r="D34" i="21"/>
  <c r="E34" i="21" s="1"/>
  <c r="B64" i="32"/>
  <c r="B74" i="32"/>
  <c r="B61" i="32"/>
  <c r="C74" i="32"/>
  <c r="D209" i="11"/>
  <c r="L133" i="36" s="1"/>
  <c r="M173" i="11"/>
  <c r="E209" i="11"/>
  <c r="F209" i="11"/>
  <c r="AK209" i="11"/>
  <c r="AC209" i="11"/>
  <c r="P209" i="11"/>
  <c r="N209" i="11"/>
  <c r="L173" i="11"/>
  <c r="K209" i="11"/>
  <c r="K173" i="11"/>
  <c r="L209" i="11"/>
  <c r="AM209" i="11"/>
  <c r="AO173" i="11"/>
  <c r="AI173" i="11"/>
  <c r="AG173" i="11"/>
  <c r="AL173" i="11"/>
  <c r="AF173" i="11"/>
  <c r="AD133" i="11"/>
  <c r="AE133" i="11" s="1"/>
  <c r="AF133" i="11" s="1"/>
  <c r="AD129" i="11"/>
  <c r="AE129" i="11" s="1"/>
  <c r="AF129" i="11" s="1"/>
  <c r="D202" i="11"/>
  <c r="L126" i="36" s="1"/>
  <c r="AN166" i="11"/>
  <c r="AE202" i="11"/>
  <c r="AK202" i="11"/>
  <c r="AN202" i="11"/>
  <c r="AJ166" i="11"/>
  <c r="AF202" i="11"/>
  <c r="AF166" i="11"/>
  <c r="O202" i="11"/>
  <c r="M166" i="11"/>
  <c r="K166" i="11"/>
  <c r="G202" i="11"/>
  <c r="E166" i="11"/>
  <c r="V113" i="11"/>
  <c r="X113" i="11" s="1"/>
  <c r="B144" i="30"/>
  <c r="D144" i="30"/>
  <c r="D148" i="30" s="1"/>
  <c r="N44" i="21"/>
  <c r="O44" i="21" s="1"/>
  <c r="Q44" i="21"/>
  <c r="R44" i="21" s="1"/>
  <c r="B38" i="32"/>
  <c r="B51" i="32"/>
  <c r="F44" i="32"/>
  <c r="A54" i="32" s="1"/>
  <c r="B41" i="32"/>
  <c r="C51" i="32"/>
  <c r="D57" i="30"/>
  <c r="D61" i="30" s="1"/>
  <c r="B169" i="30"/>
  <c r="E8" i="19"/>
  <c r="D8" i="19"/>
  <c r="F8" i="19"/>
  <c r="G8" i="19"/>
  <c r="H8" i="19"/>
  <c r="C8" i="19"/>
  <c r="N24" i="21"/>
  <c r="Q24" i="21"/>
  <c r="R24" i="21" s="1"/>
  <c r="L24" i="21"/>
  <c r="I195" i="11"/>
  <c r="AF195" i="11"/>
  <c r="O173" i="11"/>
  <c r="F173" i="11"/>
  <c r="E173" i="11"/>
  <c r="AN209" i="11"/>
  <c r="AG209" i="11"/>
  <c r="AE209" i="11"/>
  <c r="P173" i="11"/>
  <c r="N173" i="11"/>
  <c r="J173" i="11"/>
  <c r="I209" i="11"/>
  <c r="I173" i="11"/>
  <c r="J209" i="11"/>
  <c r="AN173" i="11"/>
  <c r="AJ209" i="11"/>
  <c r="AL209" i="11"/>
  <c r="AE173" i="11"/>
  <c r="AK173" i="11"/>
  <c r="C27" i="28"/>
  <c r="N118" i="11"/>
  <c r="Q43" i="36" s="1"/>
  <c r="AI166" i="11"/>
  <c r="AM166" i="11"/>
  <c r="AG202" i="11"/>
  <c r="AL166" i="11"/>
  <c r="AO166" i="11"/>
  <c r="K202" i="11"/>
  <c r="AG166" i="11"/>
  <c r="I166" i="11"/>
  <c r="L166" i="11"/>
  <c r="L202" i="11"/>
  <c r="I202" i="11"/>
  <c r="D121" i="30"/>
  <c r="D125" i="30" s="1"/>
  <c r="B89" i="30"/>
  <c r="D89" i="30"/>
  <c r="D93" i="30" s="1"/>
  <c r="D80" i="30"/>
  <c r="D84" i="30" s="1"/>
  <c r="B160" i="30"/>
  <c r="D160" i="30"/>
  <c r="I16" i="20"/>
  <c r="K16" i="20"/>
  <c r="AP168" i="11"/>
  <c r="F204" i="11"/>
  <c r="H204" i="11"/>
  <c r="J204" i="11"/>
  <c r="L204" i="11"/>
  <c r="AK168" i="11"/>
  <c r="AJ204" i="11"/>
  <c r="AK204" i="11"/>
  <c r="F168" i="11"/>
  <c r="I168" i="11"/>
  <c r="K204" i="11"/>
  <c r="M204" i="11"/>
  <c r="O168" i="11"/>
  <c r="AO168" i="11"/>
  <c r="G168" i="11"/>
  <c r="I204" i="11"/>
  <c r="L168" i="11"/>
  <c r="N168" i="11"/>
  <c r="P204" i="11"/>
  <c r="AL168" i="11"/>
  <c r="E168" i="11"/>
  <c r="G204" i="11"/>
  <c r="J168" i="11"/>
  <c r="M168" i="11"/>
  <c r="O204" i="11"/>
  <c r="AN204" i="11"/>
  <c r="K168" i="11"/>
  <c r="D204" i="11"/>
  <c r="L128" i="36" s="1"/>
  <c r="E204" i="11"/>
  <c r="N204" i="11"/>
  <c r="P168" i="11"/>
  <c r="H168" i="11"/>
  <c r="AC204" i="11"/>
  <c r="AM168" i="11"/>
  <c r="AH204" i="11"/>
  <c r="AJ168" i="11"/>
  <c r="AE168" i="11"/>
  <c r="AE204" i="11"/>
  <c r="AL204" i="11"/>
  <c r="AN168" i="11"/>
  <c r="AI204" i="11"/>
  <c r="AD204" i="11"/>
  <c r="AF204" i="11"/>
  <c r="AH168" i="11"/>
  <c r="AM204" i="11"/>
  <c r="AF168" i="11"/>
  <c r="AG204" i="11"/>
  <c r="AI168" i="11"/>
  <c r="AG168" i="11"/>
  <c r="AD132" i="11"/>
  <c r="AE132" i="11" s="1"/>
  <c r="AF132" i="11" s="1"/>
  <c r="D14" i="21"/>
  <c r="B14" i="21"/>
  <c r="D44" i="21"/>
  <c r="E44" i="21" s="1"/>
  <c r="G44" i="21"/>
  <c r="H44" i="21" s="1"/>
  <c r="AD131" i="11"/>
  <c r="AE131" i="11" s="1"/>
  <c r="AF131" i="11" s="1"/>
  <c r="E157" i="11"/>
  <c r="D193" i="11"/>
  <c r="L117" i="36" s="1"/>
  <c r="F157" i="11"/>
  <c r="G157" i="11"/>
  <c r="H157" i="11"/>
  <c r="K157" i="11"/>
  <c r="N157" i="11"/>
  <c r="M157" i="11"/>
  <c r="J157" i="11"/>
  <c r="L193" i="11"/>
  <c r="L157" i="11"/>
  <c r="P157" i="11"/>
  <c r="AH157" i="11"/>
  <c r="I157" i="11"/>
  <c r="O157" i="11"/>
  <c r="AF157" i="11"/>
  <c r="AI157" i="11"/>
  <c r="AK157" i="11"/>
  <c r="AL157" i="11"/>
  <c r="AP157" i="11"/>
  <c r="AG157" i="11"/>
  <c r="AM157" i="11"/>
  <c r="AE157" i="11"/>
  <c r="AJ157" i="11"/>
  <c r="AN157" i="11"/>
  <c r="AM193" i="11"/>
  <c r="AO157" i="11"/>
  <c r="E200" i="11"/>
  <c r="G200" i="11"/>
  <c r="E164" i="11"/>
  <c r="F200" i="11"/>
  <c r="F164" i="11"/>
  <c r="I200" i="11"/>
  <c r="J164" i="11"/>
  <c r="I164" i="11"/>
  <c r="H200" i="11"/>
  <c r="L164" i="11"/>
  <c r="O200" i="11"/>
  <c r="P164" i="11"/>
  <c r="H164" i="11"/>
  <c r="K200" i="11"/>
  <c r="N200" i="11"/>
  <c r="O164" i="11"/>
  <c r="K164" i="11"/>
  <c r="M200" i="11"/>
  <c r="N164" i="11"/>
  <c r="P200" i="11"/>
  <c r="J200" i="11"/>
  <c r="AE164" i="11"/>
  <c r="AD200" i="11"/>
  <c r="AI164" i="11"/>
  <c r="M164" i="11"/>
  <c r="AF164" i="11"/>
  <c r="G164" i="11"/>
  <c r="L200" i="11"/>
  <c r="AG164" i="11"/>
  <c r="AG200" i="11"/>
  <c r="AM164" i="11"/>
  <c r="AL200" i="11"/>
  <c r="AE200" i="11"/>
  <c r="AF200" i="11"/>
  <c r="AH200" i="11"/>
  <c r="AN164" i="11"/>
  <c r="AM200" i="11"/>
  <c r="AC200" i="11"/>
  <c r="AH164" i="11"/>
  <c r="AJ164" i="11"/>
  <c r="AI200" i="11"/>
  <c r="AJ200" i="11"/>
  <c r="AO164" i="11"/>
  <c r="AN200" i="11"/>
  <c r="AL164" i="11"/>
  <c r="AK164" i="11"/>
  <c r="AK200" i="11"/>
  <c r="AP164" i="11"/>
  <c r="D200" i="11"/>
  <c r="L124" i="36" s="1"/>
  <c r="J223" i="11"/>
  <c r="J21" i="35"/>
  <c r="J21" i="9"/>
  <c r="R74" i="36"/>
  <c r="AD128" i="11"/>
  <c r="AE128" i="11" s="1"/>
  <c r="AF128" i="11" s="1"/>
  <c r="N128" i="11"/>
  <c r="F223" i="11"/>
  <c r="F21" i="35"/>
  <c r="F21" i="9"/>
  <c r="E190" i="11"/>
  <c r="E154" i="11"/>
  <c r="G154" i="11"/>
  <c r="H190" i="11"/>
  <c r="F190" i="11"/>
  <c r="I154" i="11"/>
  <c r="J190" i="11"/>
  <c r="H154" i="11"/>
  <c r="I190" i="11"/>
  <c r="F154" i="11"/>
  <c r="L190" i="11"/>
  <c r="O154" i="11"/>
  <c r="P190" i="11"/>
  <c r="G190" i="11"/>
  <c r="K154" i="11"/>
  <c r="N154" i="11"/>
  <c r="O190" i="11"/>
  <c r="K190" i="11"/>
  <c r="M154" i="11"/>
  <c r="N190" i="11"/>
  <c r="AC190" i="11"/>
  <c r="AF154" i="11"/>
  <c r="L154" i="11"/>
  <c r="AE154" i="11"/>
  <c r="AG154" i="11"/>
  <c r="AF190" i="11"/>
  <c r="J154" i="11"/>
  <c r="M190" i="11"/>
  <c r="P154" i="11"/>
  <c r="AD190" i="11"/>
  <c r="AE190" i="11"/>
  <c r="AJ154" i="11"/>
  <c r="AI190" i="11"/>
  <c r="AJ190" i="11"/>
  <c r="AO154" i="11"/>
  <c r="AN190" i="11"/>
  <c r="AK154" i="11"/>
  <c r="AL154" i="11"/>
  <c r="AK190" i="11"/>
  <c r="AP154" i="11"/>
  <c r="AH154" i="11"/>
  <c r="AI154" i="11"/>
  <c r="AG190" i="11"/>
  <c r="AM190" i="11"/>
  <c r="AN154" i="11"/>
  <c r="AM154" i="11"/>
  <c r="AL190" i="11"/>
  <c r="AH190" i="11"/>
  <c r="D190" i="11"/>
  <c r="L114" i="36" s="1"/>
  <c r="G223" i="11"/>
  <c r="G21" i="35"/>
  <c r="G21" i="9"/>
  <c r="E203" i="11"/>
  <c r="F203" i="11"/>
  <c r="G167" i="11"/>
  <c r="I167" i="11"/>
  <c r="E167" i="11"/>
  <c r="H203" i="11"/>
  <c r="H167" i="11"/>
  <c r="J203" i="11"/>
  <c r="K203" i="11"/>
  <c r="N203" i="11"/>
  <c r="O167" i="11"/>
  <c r="I203" i="11"/>
  <c r="K167" i="11"/>
  <c r="M203" i="11"/>
  <c r="N167" i="11"/>
  <c r="L203" i="11"/>
  <c r="M167" i="11"/>
  <c r="P203" i="11"/>
  <c r="J167" i="11"/>
  <c r="O203" i="11"/>
  <c r="L167" i="11"/>
  <c r="AC203" i="11"/>
  <c r="AF167" i="11"/>
  <c r="AE203" i="11"/>
  <c r="G203" i="11"/>
  <c r="P167" i="11"/>
  <c r="AG167" i="11"/>
  <c r="F167" i="11"/>
  <c r="AE167" i="11"/>
  <c r="AH167" i="11"/>
  <c r="AI167" i="11"/>
  <c r="AH203" i="11"/>
  <c r="AN167" i="11"/>
  <c r="AM203" i="11"/>
  <c r="AJ167" i="11"/>
  <c r="AI203" i="11"/>
  <c r="AJ203" i="11"/>
  <c r="AO167" i="11"/>
  <c r="AN203" i="11"/>
  <c r="AK167" i="11"/>
  <c r="AL167" i="11"/>
  <c r="AK203" i="11"/>
  <c r="AP167" i="11"/>
  <c r="AD203" i="11"/>
  <c r="AF203" i="11"/>
  <c r="AM167" i="11"/>
  <c r="AL203" i="11"/>
  <c r="AG203" i="11"/>
  <c r="D203" i="11"/>
  <c r="L127" i="36" s="1"/>
  <c r="H197" i="11"/>
  <c r="J197" i="11"/>
  <c r="E161" i="11"/>
  <c r="G197" i="11"/>
  <c r="G161" i="11"/>
  <c r="I197" i="11"/>
  <c r="J161" i="11"/>
  <c r="H161" i="11"/>
  <c r="I161" i="11"/>
  <c r="L197" i="11"/>
  <c r="M161" i="11"/>
  <c r="P197" i="11"/>
  <c r="E197" i="11"/>
  <c r="L161" i="11"/>
  <c r="O197" i="11"/>
  <c r="P161" i="11"/>
  <c r="F197" i="11"/>
  <c r="F161" i="11"/>
  <c r="K197" i="11"/>
  <c r="N197" i="11"/>
  <c r="O161" i="11"/>
  <c r="AH161" i="11"/>
  <c r="N161" i="11"/>
  <c r="AC197" i="11"/>
  <c r="AD197" i="11"/>
  <c r="K161" i="11"/>
  <c r="M197" i="11"/>
  <c r="AK161" i="11"/>
  <c r="AL161" i="11"/>
  <c r="AK197" i="11"/>
  <c r="AP161" i="11"/>
  <c r="AE161" i="11"/>
  <c r="AF161" i="11"/>
  <c r="AG197" i="11"/>
  <c r="AM161" i="11"/>
  <c r="AL197" i="11"/>
  <c r="AE197" i="11"/>
  <c r="AH197" i="11"/>
  <c r="AI197" i="11"/>
  <c r="AM197" i="11"/>
  <c r="AN161" i="11"/>
  <c r="AJ197" i="11"/>
  <c r="AO161" i="11"/>
  <c r="AG161" i="11"/>
  <c r="AF197" i="11"/>
  <c r="AI161" i="11"/>
  <c r="AJ161" i="11"/>
  <c r="AN197" i="11"/>
  <c r="D197" i="11"/>
  <c r="L121" i="36" s="1"/>
  <c r="I223" i="11"/>
  <c r="I21" i="35"/>
  <c r="I21" i="9"/>
  <c r="E192" i="11"/>
  <c r="E156" i="11"/>
  <c r="F156" i="11"/>
  <c r="G192" i="11"/>
  <c r="F192" i="11"/>
  <c r="J156" i="11"/>
  <c r="I156" i="11"/>
  <c r="J192" i="11"/>
  <c r="G156" i="11"/>
  <c r="I192" i="11"/>
  <c r="L156" i="11"/>
  <c r="M192" i="11"/>
  <c r="P156" i="11"/>
  <c r="H192" i="11"/>
  <c r="L192" i="11"/>
  <c r="O156" i="11"/>
  <c r="P192" i="11"/>
  <c r="K156" i="11"/>
  <c r="N156" i="11"/>
  <c r="O192" i="11"/>
  <c r="N192" i="11"/>
  <c r="H156" i="11"/>
  <c r="K192" i="11"/>
  <c r="AE156" i="11"/>
  <c r="AD192" i="11"/>
  <c r="AI156" i="11"/>
  <c r="AF156" i="11"/>
  <c r="M156" i="11"/>
  <c r="AC192" i="11"/>
  <c r="AG156" i="11"/>
  <c r="AH156" i="11"/>
  <c r="AG192" i="11"/>
  <c r="AM156" i="11"/>
  <c r="AL192" i="11"/>
  <c r="AH192" i="11"/>
  <c r="AN156" i="11"/>
  <c r="AM192" i="11"/>
  <c r="AE192" i="11"/>
  <c r="AJ156" i="11"/>
  <c r="AI192" i="11"/>
  <c r="AJ192" i="11"/>
  <c r="AL156" i="11"/>
  <c r="AF192" i="11"/>
  <c r="AO156" i="11"/>
  <c r="AP156" i="11"/>
  <c r="AK156" i="11"/>
  <c r="AK192" i="11"/>
  <c r="AN192" i="11"/>
  <c r="D192" i="11"/>
  <c r="L116" i="36" s="1"/>
  <c r="P223" i="11"/>
  <c r="P21" i="35"/>
  <c r="P21" i="9"/>
  <c r="N223" i="11"/>
  <c r="N21" i="35"/>
  <c r="N21" i="9"/>
  <c r="M223" i="11"/>
  <c r="M21" i="35"/>
  <c r="M21" i="9"/>
  <c r="G256" i="11"/>
  <c r="AG256" i="11"/>
  <c r="H22" i="35"/>
  <c r="H22" i="9"/>
  <c r="E172" i="11"/>
  <c r="E208" i="11"/>
  <c r="F172" i="11"/>
  <c r="H208" i="11"/>
  <c r="G208" i="11"/>
  <c r="F208" i="11"/>
  <c r="G172" i="11"/>
  <c r="H172" i="11"/>
  <c r="J208" i="11"/>
  <c r="I208" i="11"/>
  <c r="J172" i="11"/>
  <c r="K172" i="11"/>
  <c r="L208" i="11"/>
  <c r="N172" i="11"/>
  <c r="P208" i="11"/>
  <c r="I172" i="11"/>
  <c r="M172" i="11"/>
  <c r="O208" i="11"/>
  <c r="K208" i="11"/>
  <c r="L172" i="11"/>
  <c r="N208" i="11"/>
  <c r="P172" i="11"/>
  <c r="AE172" i="11"/>
  <c r="AD208" i="11"/>
  <c r="M208" i="11"/>
  <c r="O172" i="11"/>
  <c r="AF172" i="11"/>
  <c r="AG172" i="11"/>
  <c r="AH172" i="11"/>
  <c r="AG208" i="11"/>
  <c r="AM172" i="11"/>
  <c r="AL208" i="11"/>
  <c r="AI172" i="11"/>
  <c r="AH208" i="11"/>
  <c r="AN172" i="11"/>
  <c r="AM208" i="11"/>
  <c r="AC208" i="11"/>
  <c r="AJ172" i="11"/>
  <c r="AI208" i="11"/>
  <c r="AJ208" i="11"/>
  <c r="AO172" i="11"/>
  <c r="AN208" i="11"/>
  <c r="AE208" i="11"/>
  <c r="AK172" i="11"/>
  <c r="AF208" i="11"/>
  <c r="AL172" i="11"/>
  <c r="AK208" i="11"/>
  <c r="AP172" i="11"/>
  <c r="D208" i="11"/>
  <c r="L132" i="36" s="1"/>
  <c r="E153" i="11"/>
  <c r="J153" i="11"/>
  <c r="D189" i="11"/>
  <c r="L113" i="36" s="1"/>
  <c r="G153" i="11"/>
  <c r="I153" i="11"/>
  <c r="L153" i="11"/>
  <c r="P153" i="11"/>
  <c r="F153" i="11"/>
  <c r="H153" i="11"/>
  <c r="O153" i="11"/>
  <c r="K189" i="11"/>
  <c r="K153" i="11"/>
  <c r="N153" i="11"/>
  <c r="M153" i="11"/>
  <c r="AH153" i="11"/>
  <c r="AE153" i="11"/>
  <c r="AK153" i="11"/>
  <c r="AL153" i="11"/>
  <c r="AP153" i="11"/>
  <c r="AI153" i="11"/>
  <c r="AM153" i="11"/>
  <c r="AJ153" i="11"/>
  <c r="AN153" i="11"/>
  <c r="AO153" i="11"/>
  <c r="AG153" i="11"/>
  <c r="AF153" i="11"/>
  <c r="L223" i="11"/>
  <c r="L21" i="35"/>
  <c r="L21" i="9"/>
  <c r="AD122" i="11"/>
  <c r="AE122" i="11" s="1"/>
  <c r="AF122" i="11" s="1"/>
  <c r="N122" i="11"/>
  <c r="I191" i="11"/>
  <c r="K115" i="36"/>
  <c r="E19" i="35"/>
  <c r="O223" i="11"/>
  <c r="O21" i="35"/>
  <c r="O21" i="9"/>
  <c r="V124" i="11"/>
  <c r="Q49" i="36"/>
  <c r="E165" i="11"/>
  <c r="E201" i="11"/>
  <c r="H201" i="11"/>
  <c r="G201" i="11"/>
  <c r="G165" i="11"/>
  <c r="J201" i="11"/>
  <c r="F201" i="11"/>
  <c r="F165" i="11"/>
  <c r="I201" i="11"/>
  <c r="J165" i="11"/>
  <c r="L201" i="11"/>
  <c r="M165" i="11"/>
  <c r="P201" i="11"/>
  <c r="L165" i="11"/>
  <c r="O201" i="11"/>
  <c r="P165" i="11"/>
  <c r="H165" i="11"/>
  <c r="I165" i="11"/>
  <c r="K201" i="11"/>
  <c r="N201" i="11"/>
  <c r="O165" i="11"/>
  <c r="K165" i="11"/>
  <c r="M201" i="11"/>
  <c r="AC201" i="11"/>
  <c r="AH165" i="11"/>
  <c r="AD201" i="11"/>
  <c r="N165" i="11"/>
  <c r="AK165" i="11"/>
  <c r="AL165" i="11"/>
  <c r="AK201" i="11"/>
  <c r="AP165" i="11"/>
  <c r="AE165" i="11"/>
  <c r="AG165" i="11"/>
  <c r="AG201" i="11"/>
  <c r="AM165" i="11"/>
  <c r="AL201" i="11"/>
  <c r="AF165" i="11"/>
  <c r="AE201" i="11"/>
  <c r="AF201" i="11"/>
  <c r="AI165" i="11"/>
  <c r="AH201" i="11"/>
  <c r="AJ165" i="11"/>
  <c r="AJ201" i="11"/>
  <c r="AO165" i="11"/>
  <c r="AN201" i="11"/>
  <c r="AI201" i="11"/>
  <c r="AN165" i="11"/>
  <c r="AM201" i="11"/>
  <c r="D201" i="11"/>
  <c r="L125" i="36" s="1"/>
  <c r="D61" i="28"/>
  <c r="AF508" i="11" s="1"/>
  <c r="M125" i="35" s="1"/>
  <c r="E61" i="28"/>
  <c r="D62" i="28"/>
  <c r="E62" i="28"/>
  <c r="E223" i="11"/>
  <c r="E21" i="35"/>
  <c r="E21" i="9"/>
  <c r="K223" i="11"/>
  <c r="K21" i="35"/>
  <c r="K21" i="9"/>
  <c r="Q50" i="36"/>
  <c r="V125" i="11"/>
  <c r="L26" i="28" l="1"/>
  <c r="L66" i="28" s="1"/>
  <c r="L72" i="28" s="1"/>
  <c r="F32" i="28"/>
  <c r="F66" i="28" s="1"/>
  <c r="F72" i="28" s="1"/>
  <c r="G34" i="21"/>
  <c r="H34" i="21" s="1"/>
  <c r="I34" i="21" s="1"/>
  <c r="G5" i="21" s="1"/>
  <c r="E336" i="11" s="1"/>
  <c r="F44" i="28"/>
  <c r="B128" i="30"/>
  <c r="B24" i="21"/>
  <c r="F34" i="28"/>
  <c r="B21" i="19"/>
  <c r="E21" i="19" s="1"/>
  <c r="L32" i="28"/>
  <c r="N34" i="21"/>
  <c r="O34" i="21" s="1"/>
  <c r="F40" i="28"/>
  <c r="F27" i="28"/>
  <c r="F46" i="28"/>
  <c r="F47" i="28" s="1"/>
  <c r="F49" i="28" s="1"/>
  <c r="B31" i="20"/>
  <c r="B137" i="30"/>
  <c r="I13" i="18"/>
  <c r="G24" i="21"/>
  <c r="D105" i="30"/>
  <c r="D109" i="30" s="1"/>
  <c r="B644" i="11"/>
  <c r="M126" i="9" s="1"/>
  <c r="L653" i="11" s="1"/>
  <c r="V116" i="11"/>
  <c r="X116" i="11" s="1"/>
  <c r="G13" i="18"/>
  <c r="G20" i="18" s="1"/>
  <c r="J13" i="18"/>
  <c r="J20" i="18" s="1"/>
  <c r="H13" i="18"/>
  <c r="D26" i="30"/>
  <c r="D30" i="30" s="1"/>
  <c r="A64" i="30"/>
  <c r="D64" i="30" s="1"/>
  <c r="D68" i="30" s="1"/>
  <c r="M162" i="35"/>
  <c r="L45" i="28"/>
  <c r="L40" i="28"/>
  <c r="K13" i="18"/>
  <c r="K20" i="18" s="1"/>
  <c r="A96" i="30"/>
  <c r="D96" i="30" s="1"/>
  <c r="D100" i="30" s="1"/>
  <c r="A175" i="30"/>
  <c r="F25" i="18"/>
  <c r="F274" i="11" s="1"/>
  <c r="E72" i="19"/>
  <c r="B28" i="18"/>
  <c r="L46" i="28"/>
  <c r="L47" i="28" s="1"/>
  <c r="L49" i="28" s="1"/>
  <c r="B32" i="18"/>
  <c r="H271" i="11" s="1"/>
  <c r="AH273" i="11" s="1"/>
  <c r="AH281" i="11" s="1"/>
  <c r="M73" i="35" s="1"/>
  <c r="AD653" i="11" s="1"/>
  <c r="C28" i="28"/>
  <c r="D112" i="30"/>
  <c r="D116" i="30" s="1"/>
  <c r="B27" i="18"/>
  <c r="F275" i="11" s="1"/>
  <c r="L38" i="28"/>
  <c r="B29" i="18"/>
  <c r="L39" i="28"/>
  <c r="L41" i="28" s="1"/>
  <c r="L43" i="28" s="1"/>
  <c r="B28" i="29"/>
  <c r="D29" i="29" s="1"/>
  <c r="C34" i="29" s="1"/>
  <c r="B30" i="18"/>
  <c r="F276" i="11" s="1"/>
  <c r="I26" i="28"/>
  <c r="I29" i="28" s="1"/>
  <c r="I31" i="28" s="1"/>
  <c r="F13" i="18"/>
  <c r="F20" i="18" s="1"/>
  <c r="C40" i="28"/>
  <c r="C44" i="28"/>
  <c r="C46" i="28"/>
  <c r="C64" i="28"/>
  <c r="M169" i="35"/>
  <c r="C38" i="28"/>
  <c r="E60" i="28"/>
  <c r="E63" i="28" s="1"/>
  <c r="H498" i="11" s="1"/>
  <c r="C26" i="28"/>
  <c r="E59" i="28"/>
  <c r="Q42" i="36"/>
  <c r="D73" i="30"/>
  <c r="D77" i="30" s="1"/>
  <c r="L33" i="28"/>
  <c r="L34" i="28"/>
  <c r="L68" i="28" s="1"/>
  <c r="L74" i="28" s="1"/>
  <c r="F59" i="30"/>
  <c r="D19" i="30"/>
  <c r="F66" i="30"/>
  <c r="I32" i="28"/>
  <c r="I35" i="28" s="1"/>
  <c r="I37" i="28" s="1"/>
  <c r="F33" i="28"/>
  <c r="X121" i="11"/>
  <c r="C19" i="30"/>
  <c r="L19" i="30" s="1"/>
  <c r="F50" i="30"/>
  <c r="F43" i="30"/>
  <c r="C33" i="28"/>
  <c r="C35" i="28" s="1"/>
  <c r="C37" i="28" s="1"/>
  <c r="F39" i="28"/>
  <c r="C39" i="28"/>
  <c r="E191" i="11"/>
  <c r="AD195" i="11"/>
  <c r="M195" i="11"/>
  <c r="K195" i="11"/>
  <c r="H191" i="11"/>
  <c r="AM195" i="11"/>
  <c r="D19" i="35"/>
  <c r="N198" i="11"/>
  <c r="AP254" i="11"/>
  <c r="M59" i="35" s="1"/>
  <c r="AM198" i="11"/>
  <c r="AE195" i="11"/>
  <c r="F195" i="11"/>
  <c r="AK195" i="11"/>
  <c r="AN195" i="11"/>
  <c r="L195" i="11"/>
  <c r="O195" i="11"/>
  <c r="H195" i="11"/>
  <c r="N195" i="11"/>
  <c r="AC195" i="11"/>
  <c r="AL195" i="11"/>
  <c r="J195" i="11"/>
  <c r="AI195" i="11"/>
  <c r="L119" i="36"/>
  <c r="I41" i="28"/>
  <c r="I43" i="28" s="1"/>
  <c r="AG195" i="11"/>
  <c r="E195" i="11"/>
  <c r="P195" i="11"/>
  <c r="AJ195" i="11"/>
  <c r="G195" i="11"/>
  <c r="G198" i="11"/>
  <c r="AL198" i="11"/>
  <c r="AN198" i="11"/>
  <c r="AL189" i="11"/>
  <c r="F198" i="11"/>
  <c r="AJ198" i="11"/>
  <c r="O198" i="11"/>
  <c r="AD198" i="11"/>
  <c r="K21" i="23"/>
  <c r="H421" i="11" s="1"/>
  <c r="I68" i="28"/>
  <c r="I74" i="28" s="1"/>
  <c r="S40" i="36"/>
  <c r="S114" i="36" s="1"/>
  <c r="D12" i="29"/>
  <c r="C16" i="29" s="1"/>
  <c r="C17" i="29" s="1"/>
  <c r="E513" i="11" s="1"/>
  <c r="E517" i="11" s="1"/>
  <c r="C11" i="29"/>
  <c r="D15" i="29" s="1"/>
  <c r="A24" i="27"/>
  <c r="C33" i="27" s="1"/>
  <c r="I33" i="27" s="1"/>
  <c r="A44" i="27" s="1"/>
  <c r="D44" i="27" s="1"/>
  <c r="F436" i="11" s="1"/>
  <c r="C12" i="29"/>
  <c r="D16" i="29" s="1"/>
  <c r="I67" i="28"/>
  <c r="I73" i="28" s="1"/>
  <c r="AI189" i="11"/>
  <c r="M189" i="11"/>
  <c r="I47" i="28"/>
  <c r="I49" i="28" s="1"/>
  <c r="R48" i="36"/>
  <c r="S48" i="36" s="1"/>
  <c r="N126" i="11"/>
  <c r="V126" i="11" s="1"/>
  <c r="H281" i="11"/>
  <c r="A38" i="25"/>
  <c r="D38" i="25" s="1"/>
  <c r="E5" i="23"/>
  <c r="E14" i="21"/>
  <c r="C114" i="36"/>
  <c r="V119" i="11"/>
  <c r="R44" i="36" s="1"/>
  <c r="J198" i="11"/>
  <c r="AG198" i="11"/>
  <c r="K198" i="11"/>
  <c r="E198" i="11"/>
  <c r="AK198" i="11"/>
  <c r="P198" i="11"/>
  <c r="V127" i="11"/>
  <c r="X127" i="11" s="1"/>
  <c r="AF189" i="11"/>
  <c r="L189" i="11"/>
  <c r="AD127" i="11"/>
  <c r="AE127" i="11" s="1"/>
  <c r="AF127" i="11" s="1"/>
  <c r="AF142" i="11" s="1"/>
  <c r="AJ226" i="11" s="1"/>
  <c r="AM226" i="11" s="1"/>
  <c r="AP226" i="11" s="1"/>
  <c r="I198" i="11"/>
  <c r="L198" i="11"/>
  <c r="AI198" i="11"/>
  <c r="X115" i="11"/>
  <c r="V118" i="11"/>
  <c r="X118" i="11" s="1"/>
  <c r="V114" i="11"/>
  <c r="X114" i="11" s="1"/>
  <c r="AL193" i="11"/>
  <c r="AC193" i="11"/>
  <c r="S44" i="21"/>
  <c r="G8" i="21" s="1"/>
  <c r="E339" i="11" s="1"/>
  <c r="O193" i="11"/>
  <c r="AE193" i="11"/>
  <c r="AM189" i="11"/>
  <c r="AC189" i="11"/>
  <c r="AJ189" i="11"/>
  <c r="AN189" i="11"/>
  <c r="AG189" i="11"/>
  <c r="N189" i="11"/>
  <c r="O189" i="11"/>
  <c r="P189" i="11"/>
  <c r="I189" i="11"/>
  <c r="J189" i="11"/>
  <c r="E19" i="21"/>
  <c r="D49" i="21" s="1"/>
  <c r="I39" i="21"/>
  <c r="F6" i="21" s="1"/>
  <c r="E341" i="11" s="1"/>
  <c r="AE189" i="11"/>
  <c r="AH189" i="11"/>
  <c r="P254" i="11"/>
  <c r="M59" i="9" s="1"/>
  <c r="AF198" i="11"/>
  <c r="M198" i="11"/>
  <c r="AH198" i="11"/>
  <c r="L122" i="36"/>
  <c r="AC198" i="11"/>
  <c r="H198" i="11"/>
  <c r="D19" i="9"/>
  <c r="L115" i="36"/>
  <c r="AI191" i="11"/>
  <c r="AJ191" i="11"/>
  <c r="AH191" i="11"/>
  <c r="AG191" i="11"/>
  <c r="AC191" i="11"/>
  <c r="AK191" i="11"/>
  <c r="AM191" i="11"/>
  <c r="AF191" i="11"/>
  <c r="AD191" i="11"/>
  <c r="AN191" i="11"/>
  <c r="AE191" i="11"/>
  <c r="AL191" i="11"/>
  <c r="O191" i="11"/>
  <c r="K191" i="11"/>
  <c r="P191" i="11"/>
  <c r="J191" i="11"/>
  <c r="H193" i="11"/>
  <c r="I44" i="21"/>
  <c r="G6" i="21" s="1"/>
  <c r="E338" i="11" s="1"/>
  <c r="X120" i="11"/>
  <c r="R45" i="36"/>
  <c r="M191" i="11"/>
  <c r="AM181" i="11"/>
  <c r="M24" i="35" s="1"/>
  <c r="N191" i="11"/>
  <c r="L191" i="11"/>
  <c r="F191" i="11"/>
  <c r="F29" i="28"/>
  <c r="F31" i="28" s="1"/>
  <c r="AF181" i="11"/>
  <c r="AF182" i="11" s="1"/>
  <c r="AL181" i="11"/>
  <c r="AL182" i="11" s="1"/>
  <c r="C26" i="30"/>
  <c r="G26" i="30"/>
  <c r="G30" i="30" s="1"/>
  <c r="E26" i="30"/>
  <c r="B30" i="30"/>
  <c r="B175" i="30"/>
  <c r="D175" i="30"/>
  <c r="D179" i="30" s="1"/>
  <c r="E112" i="30"/>
  <c r="G112" i="30"/>
  <c r="G116" i="30" s="1"/>
  <c r="B116" i="30"/>
  <c r="C112" i="30"/>
  <c r="AG181" i="11"/>
  <c r="G24" i="35" s="1"/>
  <c r="AN181" i="11"/>
  <c r="N24" i="35" s="1"/>
  <c r="AK181" i="11"/>
  <c r="AK182" i="11" s="1"/>
  <c r="H189" i="11"/>
  <c r="AN193" i="11"/>
  <c r="AK193" i="11"/>
  <c r="AF193" i="11"/>
  <c r="M193" i="11"/>
  <c r="K193" i="11"/>
  <c r="C21" i="19"/>
  <c r="H21" i="19"/>
  <c r="D21" i="19"/>
  <c r="E24" i="21"/>
  <c r="S34" i="21"/>
  <c r="G7" i="21" s="1"/>
  <c r="E337" i="11" s="1"/>
  <c r="G31" i="32"/>
  <c r="A19" i="22"/>
  <c r="F19" i="21"/>
  <c r="H19" i="21" s="1"/>
  <c r="C19" i="21"/>
  <c r="H25" i="18"/>
  <c r="F273" i="11" s="1"/>
  <c r="E128" i="30"/>
  <c r="E132" i="30" s="1"/>
  <c r="G128" i="30"/>
  <c r="G132" i="30" s="1"/>
  <c r="B132" i="30"/>
  <c r="C128" i="30"/>
  <c r="AJ181" i="11"/>
  <c r="AJ182" i="11" s="1"/>
  <c r="AJ193" i="11"/>
  <c r="AG193" i="11"/>
  <c r="AD193" i="11"/>
  <c r="P193" i="11"/>
  <c r="J193" i="11"/>
  <c r="G193" i="11"/>
  <c r="E193" i="11"/>
  <c r="A41" i="19"/>
  <c r="A47" i="19" s="1"/>
  <c r="B34" i="19"/>
  <c r="G73" i="30"/>
  <c r="G77" i="30" s="1"/>
  <c r="C73" i="30"/>
  <c r="B77" i="30"/>
  <c r="E73" i="30"/>
  <c r="E89" i="30"/>
  <c r="G89" i="30"/>
  <c r="G93" i="30" s="1"/>
  <c r="B93" i="30"/>
  <c r="C89" i="30"/>
  <c r="O24" i="21"/>
  <c r="B173" i="30"/>
  <c r="C169" i="30"/>
  <c r="E169" i="30"/>
  <c r="G169" i="30"/>
  <c r="G173" i="30" s="1"/>
  <c r="G57" i="30"/>
  <c r="G61" i="30" s="1"/>
  <c r="C57" i="30"/>
  <c r="E57" i="30"/>
  <c r="B61" i="30"/>
  <c r="B49" i="21"/>
  <c r="C49" i="21" s="1"/>
  <c r="C24" i="21"/>
  <c r="F24" i="21"/>
  <c r="H24" i="21" s="1"/>
  <c r="B64" i="30"/>
  <c r="E105" i="30"/>
  <c r="B109" i="30"/>
  <c r="G105" i="30"/>
  <c r="G109" i="30" s="1"/>
  <c r="C105" i="30"/>
  <c r="R37" i="36"/>
  <c r="X112" i="11"/>
  <c r="C160" i="30"/>
  <c r="F160" i="30" s="1"/>
  <c r="E160" i="30"/>
  <c r="G160" i="30"/>
  <c r="E80" i="30"/>
  <c r="G80" i="30"/>
  <c r="G84" i="30" s="1"/>
  <c r="B84" i="30"/>
  <c r="C80" i="30"/>
  <c r="R38" i="36"/>
  <c r="S38" i="36" s="1"/>
  <c r="AP181" i="11"/>
  <c r="AP182" i="11" s="1"/>
  <c r="AK189" i="11"/>
  <c r="AD189" i="11"/>
  <c r="AI193" i="11"/>
  <c r="AH193" i="11"/>
  <c r="I193" i="11"/>
  <c r="N193" i="11"/>
  <c r="F193" i="11"/>
  <c r="F14" i="21"/>
  <c r="H14" i="21" s="1"/>
  <c r="C14" i="21"/>
  <c r="C121" i="30"/>
  <c r="G121" i="30"/>
  <c r="G125" i="30" s="1"/>
  <c r="E121" i="30"/>
  <c r="B125" i="30"/>
  <c r="B15" i="19"/>
  <c r="G54" i="32"/>
  <c r="A36" i="22"/>
  <c r="A41" i="30"/>
  <c r="D33" i="30"/>
  <c r="D36" i="30" s="1"/>
  <c r="B33" i="30"/>
  <c r="G144" i="30"/>
  <c r="G148" i="30" s="1"/>
  <c r="E144" i="30"/>
  <c r="E148" i="30" s="1"/>
  <c r="C144" i="30"/>
  <c r="B148" i="30"/>
  <c r="G77" i="32"/>
  <c r="A53" i="22"/>
  <c r="D54" i="21"/>
  <c r="E54" i="21" s="1"/>
  <c r="H5" i="21" s="1"/>
  <c r="C137" i="30"/>
  <c r="G137" i="30"/>
  <c r="G141" i="30" s="1"/>
  <c r="E137" i="30"/>
  <c r="B141" i="30"/>
  <c r="I29" i="21"/>
  <c r="F5" i="21" s="1"/>
  <c r="E340" i="11" s="1"/>
  <c r="I25" i="18"/>
  <c r="G273" i="11" s="1"/>
  <c r="G25" i="18"/>
  <c r="G274" i="11" s="1"/>
  <c r="D27" i="18"/>
  <c r="G275" i="11" s="1"/>
  <c r="D29" i="18"/>
  <c r="D30" i="18"/>
  <c r="G276" i="11" s="1"/>
  <c r="D28" i="18"/>
  <c r="D77" i="19"/>
  <c r="H76" i="19"/>
  <c r="G153" i="30"/>
  <c r="G157" i="30" s="1"/>
  <c r="C153" i="30"/>
  <c r="E153" i="30"/>
  <c r="B157" i="30"/>
  <c r="J256" i="11"/>
  <c r="AJ256" i="11"/>
  <c r="K22" i="9"/>
  <c r="K22" i="35"/>
  <c r="S46" i="36"/>
  <c r="B120" i="36"/>
  <c r="C120" i="36"/>
  <c r="AE181" i="11"/>
  <c r="F181" i="11"/>
  <c r="G189" i="11"/>
  <c r="AO181" i="11"/>
  <c r="AI181" i="11"/>
  <c r="N181" i="11"/>
  <c r="O181" i="11"/>
  <c r="P181" i="11"/>
  <c r="I181" i="11"/>
  <c r="J181" i="11"/>
  <c r="O256" i="11"/>
  <c r="AO256" i="11"/>
  <c r="P22" i="35"/>
  <c r="P22" i="9"/>
  <c r="N256" i="11"/>
  <c r="AN256" i="11"/>
  <c r="O22" i="9"/>
  <c r="O22" i="35"/>
  <c r="V122" i="11"/>
  <c r="Q47" i="36"/>
  <c r="K256" i="11"/>
  <c r="AK256" i="11"/>
  <c r="L22" i="35"/>
  <c r="L22" i="9"/>
  <c r="AH181" i="11"/>
  <c r="E181" i="11"/>
  <c r="M256" i="11"/>
  <c r="AM256" i="11"/>
  <c r="N22" i="35"/>
  <c r="N22" i="9"/>
  <c r="H256" i="11"/>
  <c r="AH256" i="11"/>
  <c r="I22" i="35"/>
  <c r="I22" i="9"/>
  <c r="F256" i="11"/>
  <c r="AF256" i="11"/>
  <c r="G22" i="9"/>
  <c r="G22" i="35"/>
  <c r="X125" i="11"/>
  <c r="R50" i="36"/>
  <c r="D63" i="28"/>
  <c r="D256" i="11"/>
  <c r="AD256" i="11"/>
  <c r="E22" i="35"/>
  <c r="E22" i="9"/>
  <c r="AL652" i="11"/>
  <c r="X124" i="11"/>
  <c r="R49" i="36"/>
  <c r="X117" i="11"/>
  <c r="R42" i="36"/>
  <c r="M181" i="11"/>
  <c r="K181" i="11"/>
  <c r="H181" i="11"/>
  <c r="L181" i="11"/>
  <c r="G181" i="11"/>
  <c r="F189" i="11"/>
  <c r="E189" i="11"/>
  <c r="L256" i="11"/>
  <c r="AL256" i="11"/>
  <c r="M22" i="35"/>
  <c r="M22" i="9"/>
  <c r="E256" i="11"/>
  <c r="AE256" i="11"/>
  <c r="F22" i="35"/>
  <c r="F22" i="9"/>
  <c r="Q53" i="36"/>
  <c r="V128" i="11"/>
  <c r="I256" i="11"/>
  <c r="AI256" i="11"/>
  <c r="J22" i="35"/>
  <c r="J22" i="9"/>
  <c r="G126" i="9" l="1"/>
  <c r="J658" i="11" s="1"/>
  <c r="G124" i="9"/>
  <c r="J656" i="11" s="1"/>
  <c r="G129" i="9"/>
  <c r="J661" i="11" s="1"/>
  <c r="M97" i="9"/>
  <c r="H653" i="11" s="1"/>
  <c r="M129" i="9"/>
  <c r="L656" i="11" s="1"/>
  <c r="G82" i="9"/>
  <c r="I624" i="11" s="1"/>
  <c r="G99" i="9"/>
  <c r="F655" i="11" s="1"/>
  <c r="M135" i="9"/>
  <c r="L662" i="11" s="1"/>
  <c r="G100" i="9"/>
  <c r="G134" i="9"/>
  <c r="G127" i="9"/>
  <c r="J659" i="11" s="1"/>
  <c r="G133" i="9"/>
  <c r="J665" i="11" s="1"/>
  <c r="M101" i="9"/>
  <c r="H657" i="11" s="1"/>
  <c r="M96" i="9"/>
  <c r="H652" i="11" s="1"/>
  <c r="G135" i="9"/>
  <c r="J667" i="11" s="1"/>
  <c r="G83" i="9"/>
  <c r="B663" i="11" s="1"/>
  <c r="M72" i="9"/>
  <c r="D652" i="11" s="1"/>
  <c r="L29" i="28"/>
  <c r="L31" i="28" s="1"/>
  <c r="F35" i="28"/>
  <c r="F37" i="28" s="1"/>
  <c r="F51" i="28" s="1"/>
  <c r="F500" i="11" s="1"/>
  <c r="F501" i="11" s="1"/>
  <c r="G125" i="9" s="1"/>
  <c r="D5" i="32" s="1"/>
  <c r="G21" i="19"/>
  <c r="G128" i="9"/>
  <c r="G101" i="9"/>
  <c r="G102" i="9" s="1"/>
  <c r="F658" i="11" s="1"/>
  <c r="M124" i="9"/>
  <c r="L651" i="11" s="1"/>
  <c r="G79" i="9"/>
  <c r="G71" i="9"/>
  <c r="B8" i="32" s="1"/>
  <c r="G131" i="9"/>
  <c r="G104" i="9"/>
  <c r="F660" i="11" s="1"/>
  <c r="F41" i="28"/>
  <c r="F43" i="28" s="1"/>
  <c r="F21" i="19"/>
  <c r="B28" i="19" s="1"/>
  <c r="G72" i="9"/>
  <c r="B652" i="11" s="1"/>
  <c r="G96" i="9"/>
  <c r="F652" i="11" s="1"/>
  <c r="G77" i="9"/>
  <c r="B657" i="11" s="1"/>
  <c r="G76" i="9"/>
  <c r="M73" i="9"/>
  <c r="D653" i="11" s="1"/>
  <c r="G97" i="9"/>
  <c r="F653" i="11" s="1"/>
  <c r="G130" i="9"/>
  <c r="J662" i="11" s="1"/>
  <c r="G98" i="9"/>
  <c r="F654" i="11" s="1"/>
  <c r="M83" i="9"/>
  <c r="D663" i="11" s="1"/>
  <c r="L67" i="28"/>
  <c r="L73" i="28" s="1"/>
  <c r="C29" i="28"/>
  <c r="C31" i="28" s="1"/>
  <c r="C25" i="18"/>
  <c r="G272" i="11" s="1"/>
  <c r="F68" i="28"/>
  <c r="F74" i="28" s="1"/>
  <c r="B96" i="30"/>
  <c r="D25" i="18"/>
  <c r="F271" i="11" s="1"/>
  <c r="M114" i="36"/>
  <c r="R41" i="36"/>
  <c r="B115" i="36" s="1"/>
  <c r="R43" i="36"/>
  <c r="S43" i="36" s="1"/>
  <c r="D28" i="29"/>
  <c r="C33" i="29" s="1"/>
  <c r="D30" i="29"/>
  <c r="C35" i="29" s="1"/>
  <c r="C29" i="29"/>
  <c r="D34" i="29" s="1"/>
  <c r="H272" i="11"/>
  <c r="C66" i="28"/>
  <c r="C72" i="28" s="1"/>
  <c r="C28" i="29"/>
  <c r="D33" i="29" s="1"/>
  <c r="C41" i="28"/>
  <c r="C43" i="28" s="1"/>
  <c r="C30" i="29"/>
  <c r="D35" i="29" s="1"/>
  <c r="E25" i="18"/>
  <c r="G271" i="11" s="1"/>
  <c r="AG273" i="11" s="1"/>
  <c r="AG281" i="11" s="1"/>
  <c r="G120" i="35" s="1"/>
  <c r="AJ652" i="11" s="1"/>
  <c r="C68" i="28"/>
  <c r="C74" i="28" s="1"/>
  <c r="B25" i="18"/>
  <c r="F272" i="11" s="1"/>
  <c r="L35" i="28"/>
  <c r="L37" i="28" s="1"/>
  <c r="C47" i="28"/>
  <c r="C49" i="28" s="1"/>
  <c r="F67" i="28"/>
  <c r="F73" i="28" s="1"/>
  <c r="R39" i="36"/>
  <c r="S39" i="36" s="1"/>
  <c r="C67" i="28"/>
  <c r="C73" i="28" s="1"/>
  <c r="A73" i="28" s="1"/>
  <c r="I66" i="28"/>
  <c r="I72" i="28" s="1"/>
  <c r="X119" i="11"/>
  <c r="R52" i="36"/>
  <c r="S52" i="36" s="1"/>
  <c r="L51" i="28"/>
  <c r="F498" i="11" s="1"/>
  <c r="AM182" i="11"/>
  <c r="AL257" i="11" s="1"/>
  <c r="Q51" i="36"/>
  <c r="AL217" i="11"/>
  <c r="AL218" i="11" s="1"/>
  <c r="N27" i="35" s="1"/>
  <c r="D17" i="29"/>
  <c r="E514" i="11" s="1"/>
  <c r="P24" i="35"/>
  <c r="AF217" i="11"/>
  <c r="H26" i="35" s="1"/>
  <c r="AM217" i="11"/>
  <c r="AM218" i="11" s="1"/>
  <c r="AN258" i="11" s="1"/>
  <c r="AG182" i="11"/>
  <c r="AF257" i="11" s="1"/>
  <c r="L217" i="11"/>
  <c r="L218" i="11" s="1"/>
  <c r="L27" i="9" s="1"/>
  <c r="I51" i="28"/>
  <c r="F497" i="11" s="1"/>
  <c r="AF495" i="11"/>
  <c r="AF501" i="11" s="1"/>
  <c r="G125" i="35" s="1"/>
  <c r="AJ657" i="11" s="1"/>
  <c r="C122" i="36"/>
  <c r="B122" i="36"/>
  <c r="L24" i="35"/>
  <c r="H500" i="11"/>
  <c r="H501" i="11" s="1"/>
  <c r="P217" i="11"/>
  <c r="P218" i="11" s="1"/>
  <c r="O258" i="11" s="1"/>
  <c r="AE142" i="11"/>
  <c r="AJ225" i="11" s="1"/>
  <c r="E217" i="11"/>
  <c r="E218" i="11" s="1"/>
  <c r="AN182" i="11"/>
  <c r="N25" i="35" s="1"/>
  <c r="AC217" i="11"/>
  <c r="AC218" i="11" s="1"/>
  <c r="K24" i="35"/>
  <c r="F4" i="26"/>
  <c r="B42" i="25"/>
  <c r="A26" i="25"/>
  <c r="O217" i="11"/>
  <c r="O218" i="11" s="1"/>
  <c r="O27" i="9" s="1"/>
  <c r="I217" i="11"/>
  <c r="I218" i="11" s="1"/>
  <c r="H258" i="11" s="1"/>
  <c r="G217" i="11"/>
  <c r="G218" i="11" s="1"/>
  <c r="AD217" i="11"/>
  <c r="AD218" i="11" s="1"/>
  <c r="F27" i="35" s="1"/>
  <c r="AI217" i="11"/>
  <c r="AI218" i="11" s="1"/>
  <c r="AJ258" i="11" s="1"/>
  <c r="AH217" i="11"/>
  <c r="AH218" i="11" s="1"/>
  <c r="AI258" i="11" s="1"/>
  <c r="J217" i="11"/>
  <c r="J218" i="11" s="1"/>
  <c r="AG217" i="11"/>
  <c r="AG218" i="11" s="1"/>
  <c r="AH258" i="11" s="1"/>
  <c r="AE217" i="11"/>
  <c r="AE218" i="11" s="1"/>
  <c r="AF258" i="11" s="1"/>
  <c r="AK217" i="11"/>
  <c r="AK218" i="11" s="1"/>
  <c r="AL258" i="11" s="1"/>
  <c r="M103" i="9"/>
  <c r="H217" i="11"/>
  <c r="H26" i="9" s="1"/>
  <c r="N217" i="11"/>
  <c r="N218" i="11" s="1"/>
  <c r="H499" i="11"/>
  <c r="F24" i="35"/>
  <c r="I19" i="21"/>
  <c r="C5" i="21" s="1"/>
  <c r="E333" i="11" s="1"/>
  <c r="H497" i="11"/>
  <c r="M217" i="11"/>
  <c r="M218" i="11" s="1"/>
  <c r="M27" i="9" s="1"/>
  <c r="K217" i="11"/>
  <c r="K218" i="11" s="1"/>
  <c r="K27" i="9" s="1"/>
  <c r="AN217" i="11"/>
  <c r="P26" i="35" s="1"/>
  <c r="AJ217" i="11"/>
  <c r="L26" i="35" s="1"/>
  <c r="I14" i="21"/>
  <c r="B5" i="21" s="1"/>
  <c r="E332" i="11" s="1"/>
  <c r="C119" i="36"/>
  <c r="B119" i="36"/>
  <c r="S45" i="36"/>
  <c r="C112" i="36"/>
  <c r="B112" i="36"/>
  <c r="J24" i="35"/>
  <c r="F217" i="11"/>
  <c r="F218" i="11" s="1"/>
  <c r="C157" i="30"/>
  <c r="F153" i="30"/>
  <c r="J153" i="30" s="1"/>
  <c r="J157" i="30" s="1"/>
  <c r="F137" i="30"/>
  <c r="C141" i="30"/>
  <c r="E125" i="30"/>
  <c r="F80" i="30"/>
  <c r="C84" i="30"/>
  <c r="C111" i="36"/>
  <c r="S37" i="36"/>
  <c r="B111" i="36"/>
  <c r="E109" i="30"/>
  <c r="F57" i="30"/>
  <c r="J57" i="30" s="1"/>
  <c r="J61" i="30" s="1"/>
  <c r="C61" i="30"/>
  <c r="F169" i="30"/>
  <c r="J169" i="30" s="1"/>
  <c r="J173" i="30" s="1"/>
  <c r="C173" i="30"/>
  <c r="A60" i="19"/>
  <c r="A54" i="19"/>
  <c r="D47" i="19"/>
  <c r="B54" i="19" s="1"/>
  <c r="F112" i="30"/>
  <c r="C116" i="30"/>
  <c r="F336" i="11"/>
  <c r="F339" i="11"/>
  <c r="F338" i="11"/>
  <c r="F340" i="11"/>
  <c r="F337" i="11"/>
  <c r="F341" i="11"/>
  <c r="C33" i="30"/>
  <c r="G33" i="30"/>
  <c r="G36" i="30" s="1"/>
  <c r="E33" i="30"/>
  <c r="B36" i="30"/>
  <c r="F105" i="30"/>
  <c r="C109" i="30"/>
  <c r="F73" i="30"/>
  <c r="J73" i="30" s="1"/>
  <c r="J77" i="30" s="1"/>
  <c r="C77" i="30"/>
  <c r="E49" i="21"/>
  <c r="G175" i="30"/>
  <c r="E175" i="30"/>
  <c r="C175" i="30"/>
  <c r="B179" i="30"/>
  <c r="F26" i="30"/>
  <c r="J26" i="30" s="1"/>
  <c r="J30" i="30" s="1"/>
  <c r="C30" i="30"/>
  <c r="E141" i="30"/>
  <c r="J137" i="30"/>
  <c r="J141" i="30" s="1"/>
  <c r="F144" i="30"/>
  <c r="C148" i="30"/>
  <c r="C15" i="19"/>
  <c r="H77" i="19"/>
  <c r="D15" i="19"/>
  <c r="B89" i="19"/>
  <c r="C125" i="30"/>
  <c r="F121" i="30"/>
  <c r="J121" i="30" s="1"/>
  <c r="J125" i="30" s="1"/>
  <c r="H160" i="30"/>
  <c r="I160" i="30"/>
  <c r="C64" i="30"/>
  <c r="E64" i="30"/>
  <c r="G64" i="30"/>
  <c r="G68" i="30" s="1"/>
  <c r="B68" i="30"/>
  <c r="S24" i="21"/>
  <c r="D8" i="21" s="1"/>
  <c r="E335" i="11" s="1"/>
  <c r="E359" i="11" s="1"/>
  <c r="G80" i="9" s="1"/>
  <c r="B660" i="11" s="1"/>
  <c r="S25" i="21"/>
  <c r="AE333" i="11" s="1"/>
  <c r="AE359" i="11" s="1"/>
  <c r="G80" i="35" s="1"/>
  <c r="AB660" i="11" s="1"/>
  <c r="E93" i="30"/>
  <c r="C132" i="30"/>
  <c r="F128" i="30"/>
  <c r="E157" i="30"/>
  <c r="G77" i="19"/>
  <c r="G76" i="19"/>
  <c r="D41" i="30"/>
  <c r="D45" i="30" s="1"/>
  <c r="O30" i="30" s="1"/>
  <c r="B41" i="30"/>
  <c r="A48" i="30"/>
  <c r="E84" i="30"/>
  <c r="I24" i="21"/>
  <c r="D5" i="21" s="1"/>
  <c r="E334" i="11" s="1"/>
  <c r="E61" i="30"/>
  <c r="E173" i="30"/>
  <c r="C93" i="30"/>
  <c r="F89" i="30"/>
  <c r="E77" i="30"/>
  <c r="C34" i="19"/>
  <c r="F34" i="19"/>
  <c r="G34" i="19"/>
  <c r="H34" i="19"/>
  <c r="E34" i="19"/>
  <c r="D34" i="19"/>
  <c r="E96" i="30"/>
  <c r="G96" i="30"/>
  <c r="G100" i="30" s="1"/>
  <c r="B100" i="30"/>
  <c r="C96" i="30"/>
  <c r="F281" i="11"/>
  <c r="AF273" i="11"/>
  <c r="AF281" i="11" s="1"/>
  <c r="E116" i="30"/>
  <c r="E30" i="30"/>
  <c r="X128" i="11"/>
  <c r="R53" i="36"/>
  <c r="H182" i="11"/>
  <c r="H24" i="9"/>
  <c r="S49" i="36"/>
  <c r="B123" i="36"/>
  <c r="C123" i="36"/>
  <c r="AP256" i="11"/>
  <c r="G60" i="35" s="1"/>
  <c r="E182" i="11"/>
  <c r="E24" i="9"/>
  <c r="P182" i="11"/>
  <c r="P24" i="9"/>
  <c r="AO182" i="11"/>
  <c r="O24" i="35"/>
  <c r="AE182" i="11"/>
  <c r="E24" i="35"/>
  <c r="K182" i="11"/>
  <c r="K24" i="9"/>
  <c r="P256" i="11"/>
  <c r="G60" i="9" s="1"/>
  <c r="S50" i="36"/>
  <c r="B124" i="36"/>
  <c r="C124" i="36"/>
  <c r="AH182" i="11"/>
  <c r="H24" i="35"/>
  <c r="C126" i="36"/>
  <c r="O182" i="11"/>
  <c r="O24" i="9"/>
  <c r="C117" i="36"/>
  <c r="M112" i="36"/>
  <c r="S112" i="36"/>
  <c r="AK257" i="11"/>
  <c r="L25" i="35"/>
  <c r="M182" i="11"/>
  <c r="M24" i="9"/>
  <c r="S42" i="36"/>
  <c r="B116" i="36"/>
  <c r="C116" i="36"/>
  <c r="D22" i="9"/>
  <c r="G500" i="11"/>
  <c r="G501" i="11" s="1"/>
  <c r="F508" i="11" s="1"/>
  <c r="M125" i="9" s="1"/>
  <c r="G497" i="11"/>
  <c r="G498" i="11"/>
  <c r="G499" i="11"/>
  <c r="X126" i="11"/>
  <c r="R51" i="36"/>
  <c r="J182" i="11"/>
  <c r="J24" i="9"/>
  <c r="N182" i="11"/>
  <c r="N24" i="9"/>
  <c r="AO257" i="11"/>
  <c r="P25" i="35"/>
  <c r="AI257" i="11"/>
  <c r="J25" i="35"/>
  <c r="G182" i="11"/>
  <c r="G24" i="9"/>
  <c r="M122" i="36"/>
  <c r="S122" i="36"/>
  <c r="L182" i="11"/>
  <c r="L24" i="9"/>
  <c r="D22" i="35"/>
  <c r="V142" i="11"/>
  <c r="X122" i="11"/>
  <c r="R47" i="36"/>
  <c r="I182" i="11"/>
  <c r="I24" i="9"/>
  <c r="AI182" i="11"/>
  <c r="I24" i="35"/>
  <c r="S44" i="36"/>
  <c r="B118" i="36"/>
  <c r="C118" i="36"/>
  <c r="F182" i="11"/>
  <c r="F24" i="9"/>
  <c r="M120" i="36"/>
  <c r="S120" i="36"/>
  <c r="AJ257" i="11"/>
  <c r="K25" i="35"/>
  <c r="AE257" i="11"/>
  <c r="F25" i="35"/>
  <c r="M133" i="9" l="1"/>
  <c r="L660" i="11" s="1"/>
  <c r="H664" i="11"/>
  <c r="C51" i="28"/>
  <c r="F499" i="11" s="1"/>
  <c r="A74" i="28"/>
  <c r="C5" i="32"/>
  <c r="E5" i="32"/>
  <c r="M127" i="9"/>
  <c r="M128" i="9" s="1"/>
  <c r="E157" i="9"/>
  <c r="M157" i="9" s="1"/>
  <c r="E214" i="9" s="1"/>
  <c r="B651" i="11"/>
  <c r="C8" i="32"/>
  <c r="C6" i="22"/>
  <c r="M107" i="9"/>
  <c r="F678" i="11" s="1"/>
  <c r="G106" i="9"/>
  <c r="F624" i="11" s="1"/>
  <c r="G105" i="9"/>
  <c r="F661" i="11" s="1"/>
  <c r="G672" i="11" s="1"/>
  <c r="M130" i="9"/>
  <c r="L657" i="11" s="1"/>
  <c r="G103" i="9"/>
  <c r="F623" i="11" s="1"/>
  <c r="G95" i="9"/>
  <c r="F651" i="11" s="1"/>
  <c r="M108" i="9"/>
  <c r="I169" i="9" s="1"/>
  <c r="F657" i="11"/>
  <c r="F675" i="11" s="1"/>
  <c r="B6" i="22"/>
  <c r="D36" i="29"/>
  <c r="E516" i="11" s="1"/>
  <c r="C36" i="29"/>
  <c r="E515" i="11" s="1"/>
  <c r="A72" i="28"/>
  <c r="B117" i="36"/>
  <c r="E26" i="9"/>
  <c r="C115" i="36"/>
  <c r="B126" i="36"/>
  <c r="S41" i="36"/>
  <c r="M115" i="36" s="1"/>
  <c r="B113" i="36"/>
  <c r="G281" i="11"/>
  <c r="G120" i="9" s="1"/>
  <c r="J652" i="11" s="1"/>
  <c r="C113" i="36"/>
  <c r="M25" i="35"/>
  <c r="K258" i="11"/>
  <c r="AE252" i="11"/>
  <c r="F15" i="35" s="1"/>
  <c r="D14" i="35"/>
  <c r="E14" i="35" s="1"/>
  <c r="F14" i="35" s="1"/>
  <c r="G14" i="35" s="1"/>
  <c r="H14" i="35" s="1"/>
  <c r="I14" i="35" s="1"/>
  <c r="J14" i="35" s="1"/>
  <c r="K14" i="35" s="1"/>
  <c r="L14" i="35" s="1"/>
  <c r="M14" i="35" s="1"/>
  <c r="N14" i="35" s="1"/>
  <c r="O14" i="35" s="1"/>
  <c r="P14" i="35" s="1"/>
  <c r="H218" i="11"/>
  <c r="G258" i="11" s="1"/>
  <c r="AN252" i="11"/>
  <c r="O15" i="35" s="1"/>
  <c r="L26" i="9"/>
  <c r="I26" i="9"/>
  <c r="G675" i="11"/>
  <c r="AM257" i="11"/>
  <c r="O26" i="35"/>
  <c r="AH252" i="11"/>
  <c r="I15" i="35" s="1"/>
  <c r="AF218" i="11"/>
  <c r="AG258" i="11" s="1"/>
  <c r="N26" i="35"/>
  <c r="J657" i="11"/>
  <c r="G25" i="35"/>
  <c r="N258" i="11"/>
  <c r="O26" i="9"/>
  <c r="K27" i="35"/>
  <c r="K28" i="35" s="1"/>
  <c r="O27" i="35"/>
  <c r="K26" i="35"/>
  <c r="J27" i="35"/>
  <c r="J28" i="35" s="1"/>
  <c r="I27" i="9"/>
  <c r="AM252" i="11"/>
  <c r="N15" i="35" s="1"/>
  <c r="AO252" i="11"/>
  <c r="P15" i="35" s="1"/>
  <c r="AI252" i="11"/>
  <c r="J15" i="35" s="1"/>
  <c r="AD252" i="11"/>
  <c r="E15" i="35" s="1"/>
  <c r="P27" i="9"/>
  <c r="E26" i="35"/>
  <c r="AG252" i="11"/>
  <c r="H15" i="35" s="1"/>
  <c r="AK252" i="11"/>
  <c r="L15" i="35" s="1"/>
  <c r="AF252" i="11"/>
  <c r="G15" i="35" s="1"/>
  <c r="P26" i="9"/>
  <c r="G58" i="35"/>
  <c r="AL252" i="11"/>
  <c r="M15" i="35" s="1"/>
  <c r="AJ252" i="11"/>
  <c r="K15" i="35" s="1"/>
  <c r="M134" i="9"/>
  <c r="M27" i="35"/>
  <c r="G26" i="9"/>
  <c r="AE258" i="11"/>
  <c r="AE259" i="11" s="1"/>
  <c r="AE260" i="11" s="1"/>
  <c r="F31" i="35" s="1"/>
  <c r="F26" i="35"/>
  <c r="G27" i="35"/>
  <c r="J26" i="35"/>
  <c r="G26" i="35"/>
  <c r="I27" i="35"/>
  <c r="J27" i="9"/>
  <c r="I258" i="11"/>
  <c r="F26" i="9"/>
  <c r="AM258" i="11"/>
  <c r="J26" i="9"/>
  <c r="J258" i="11"/>
  <c r="AN218" i="11"/>
  <c r="P27" i="35" s="1"/>
  <c r="P28" i="35" s="1"/>
  <c r="I26" i="35"/>
  <c r="L258" i="11"/>
  <c r="M26" i="35"/>
  <c r="M258" i="11"/>
  <c r="N27" i="9"/>
  <c r="M26" i="9"/>
  <c r="N26" i="9"/>
  <c r="AJ218" i="11"/>
  <c r="K26" i="9"/>
  <c r="C54" i="19"/>
  <c r="E54" i="19" s="1"/>
  <c r="G297" i="11" s="1"/>
  <c r="M119" i="36"/>
  <c r="S119" i="36"/>
  <c r="I78" i="19"/>
  <c r="B85" i="19" s="1"/>
  <c r="X142" i="11"/>
  <c r="J226" i="11" s="1"/>
  <c r="M226" i="11" s="1"/>
  <c r="P226" i="11" s="1"/>
  <c r="C10" i="20"/>
  <c r="G73" i="9"/>
  <c r="E100" i="30"/>
  <c r="C68" i="30"/>
  <c r="F64" i="30"/>
  <c r="F287" i="11"/>
  <c r="AF290" i="11" s="1"/>
  <c r="E15" i="19"/>
  <c r="G287" i="11" s="1"/>
  <c r="E5" i="21"/>
  <c r="AF333" i="11"/>
  <c r="AF359" i="11" s="1"/>
  <c r="M80" i="35" s="1"/>
  <c r="AD660" i="11" s="1"/>
  <c r="F109" i="30"/>
  <c r="H105" i="30"/>
  <c r="F33" i="30"/>
  <c r="C36" i="30"/>
  <c r="A67" i="19"/>
  <c r="B70" i="19" s="1"/>
  <c r="B60" i="19"/>
  <c r="F61" i="30"/>
  <c r="H57" i="30"/>
  <c r="S111" i="36"/>
  <c r="M111" i="36"/>
  <c r="H153" i="30"/>
  <c r="F157" i="30"/>
  <c r="F96" i="30"/>
  <c r="C100" i="30"/>
  <c r="F93" i="30"/>
  <c r="H89" i="30"/>
  <c r="J89" i="30"/>
  <c r="J93" i="30" s="1"/>
  <c r="J160" i="30"/>
  <c r="K160" i="30" s="1"/>
  <c r="J11" i="30" s="1"/>
  <c r="AF550" i="11" s="1"/>
  <c r="C179" i="30"/>
  <c r="F175" i="30"/>
  <c r="I112" i="30"/>
  <c r="H112" i="30"/>
  <c r="F116" i="30"/>
  <c r="B41" i="19"/>
  <c r="B48" i="30"/>
  <c r="D48" i="30"/>
  <c r="D52" i="30" s="1"/>
  <c r="B90" i="19"/>
  <c r="C28" i="19"/>
  <c r="D28" i="19"/>
  <c r="F286" i="11"/>
  <c r="F15" i="19"/>
  <c r="G286" i="11" s="1"/>
  <c r="I144" i="30"/>
  <c r="I148" i="30" s="1"/>
  <c r="H144" i="30"/>
  <c r="F148" i="30"/>
  <c r="E179" i="30"/>
  <c r="F77" i="30"/>
  <c r="H73" i="30"/>
  <c r="E36" i="30"/>
  <c r="B92" i="19"/>
  <c r="D54" i="19"/>
  <c r="F173" i="30"/>
  <c r="H169" i="30"/>
  <c r="J105" i="30"/>
  <c r="J109" i="30" s="1"/>
  <c r="G73" i="35"/>
  <c r="AB653" i="11" s="1"/>
  <c r="C11" i="20"/>
  <c r="B45" i="30"/>
  <c r="M30" i="30" s="1"/>
  <c r="G41" i="30"/>
  <c r="G45" i="30" s="1"/>
  <c r="R30" i="30" s="1"/>
  <c r="E41" i="30"/>
  <c r="C41" i="30"/>
  <c r="H128" i="30"/>
  <c r="F132" i="30"/>
  <c r="I128" i="30"/>
  <c r="I132" i="30" s="1"/>
  <c r="E68" i="30"/>
  <c r="H121" i="30"/>
  <c r="F125" i="30"/>
  <c r="H26" i="30"/>
  <c r="F30" i="30"/>
  <c r="D184" i="30"/>
  <c r="E184" i="30" s="1"/>
  <c r="L6" i="30" s="1"/>
  <c r="G179" i="30"/>
  <c r="H80" i="30"/>
  <c r="F84" i="30"/>
  <c r="I80" i="30"/>
  <c r="F141" i="30"/>
  <c r="H137" i="30"/>
  <c r="AF259" i="11"/>
  <c r="AF260" i="11" s="1"/>
  <c r="G31" i="35" s="1"/>
  <c r="AL259" i="11"/>
  <c r="AL260" i="11" s="1"/>
  <c r="M31" i="35" s="1"/>
  <c r="AJ259" i="11"/>
  <c r="AJ260" i="11" s="1"/>
  <c r="K31" i="35" s="1"/>
  <c r="S113" i="36"/>
  <c r="M113" i="36"/>
  <c r="S51" i="36"/>
  <c r="B125" i="36"/>
  <c r="C125" i="36"/>
  <c r="N28" i="35"/>
  <c r="N257" i="11"/>
  <c r="O25" i="9"/>
  <c r="O28" i="9" s="1"/>
  <c r="AG257" i="11"/>
  <c r="H25" i="35"/>
  <c r="S124" i="36"/>
  <c r="M124" i="36"/>
  <c r="J257" i="11"/>
  <c r="K25" i="9"/>
  <c r="K28" i="9" s="1"/>
  <c r="AD257" i="11"/>
  <c r="E25" i="35"/>
  <c r="AH257" i="11"/>
  <c r="AH259" i="11" s="1"/>
  <c r="AH260" i="11" s="1"/>
  <c r="I31" i="35" s="1"/>
  <c r="I25" i="35"/>
  <c r="K257" i="11"/>
  <c r="L25" i="9"/>
  <c r="L28" i="9" s="1"/>
  <c r="F257" i="11"/>
  <c r="G25" i="9"/>
  <c r="I257" i="11"/>
  <c r="J25" i="9"/>
  <c r="L652" i="11"/>
  <c r="L257" i="11"/>
  <c r="M25" i="9"/>
  <c r="M28" i="9" s="1"/>
  <c r="O257" i="11"/>
  <c r="O259" i="11" s="1"/>
  <c r="O260" i="11" s="1"/>
  <c r="P31" i="9" s="1"/>
  <c r="P25" i="9"/>
  <c r="M123" i="36"/>
  <c r="S123" i="36"/>
  <c r="D258" i="11"/>
  <c r="E27" i="9"/>
  <c r="F28" i="35"/>
  <c r="M118" i="36"/>
  <c r="S118" i="36"/>
  <c r="H257" i="11"/>
  <c r="H259" i="11" s="1"/>
  <c r="H260" i="11" s="1"/>
  <c r="I31" i="9" s="1"/>
  <c r="I25" i="9"/>
  <c r="F258" i="11"/>
  <c r="G27" i="9"/>
  <c r="S117" i="36"/>
  <c r="M117" i="36"/>
  <c r="E258" i="11"/>
  <c r="F27" i="9"/>
  <c r="AM227" i="11"/>
  <c r="AD229" i="11"/>
  <c r="F7" i="11"/>
  <c r="H7" i="11" s="1"/>
  <c r="E690" i="11" s="1"/>
  <c r="AH244" i="11"/>
  <c r="AH245" i="11" s="1"/>
  <c r="S53" i="36"/>
  <c r="B127" i="36"/>
  <c r="C127" i="36"/>
  <c r="E257" i="11"/>
  <c r="F25" i="9"/>
  <c r="S47" i="36"/>
  <c r="B121" i="36"/>
  <c r="C121" i="36"/>
  <c r="D252" i="11"/>
  <c r="J225" i="11"/>
  <c r="E252" i="11"/>
  <c r="G252" i="11"/>
  <c r="F252" i="11"/>
  <c r="H252" i="11"/>
  <c r="I252" i="11"/>
  <c r="J252" i="11"/>
  <c r="M252" i="11"/>
  <c r="L252" i="11"/>
  <c r="K252" i="11"/>
  <c r="O252" i="11"/>
  <c r="N252" i="11"/>
  <c r="R68" i="36"/>
  <c r="Q76" i="36"/>
  <c r="G58" i="9"/>
  <c r="D14" i="9"/>
  <c r="E14" i="9" s="1"/>
  <c r="F14" i="9" s="1"/>
  <c r="G14" i="9" s="1"/>
  <c r="H14" i="9" s="1"/>
  <c r="I14" i="9" s="1"/>
  <c r="J14" i="9" s="1"/>
  <c r="K14" i="9" s="1"/>
  <c r="L14" i="9" s="1"/>
  <c r="M14" i="9" s="1"/>
  <c r="N14" i="9" s="1"/>
  <c r="O14" i="9" s="1"/>
  <c r="P14" i="9" s="1"/>
  <c r="AD258" i="11"/>
  <c r="E27" i="35"/>
  <c r="AI259" i="11"/>
  <c r="AI260" i="11" s="1"/>
  <c r="J31" i="35" s="1"/>
  <c r="M257" i="11"/>
  <c r="N25" i="9"/>
  <c r="M116" i="36"/>
  <c r="S116" i="36"/>
  <c r="M126" i="36"/>
  <c r="S126" i="36"/>
  <c r="AN257" i="11"/>
  <c r="AN259" i="11" s="1"/>
  <c r="AN260" i="11" s="1"/>
  <c r="O31" i="35" s="1"/>
  <c r="O25" i="35"/>
  <c r="D257" i="11"/>
  <c r="E25" i="9"/>
  <c r="G257" i="11"/>
  <c r="H25" i="9"/>
  <c r="L654" i="11" l="1"/>
  <c r="F625" i="11"/>
  <c r="C627" i="11" s="1"/>
  <c r="I162" i="9"/>
  <c r="K259" i="11"/>
  <c r="K260" i="11" s="1"/>
  <c r="L31" i="9" s="1"/>
  <c r="M131" i="9"/>
  <c r="G122" i="9"/>
  <c r="G5" i="32" s="1"/>
  <c r="G107" i="9"/>
  <c r="E162" i="9" s="1"/>
  <c r="F664" i="11"/>
  <c r="G108" i="9"/>
  <c r="E169" i="9" s="1"/>
  <c r="M169" i="9" s="1"/>
  <c r="S115" i="36"/>
  <c r="M28" i="35"/>
  <c r="H27" i="9"/>
  <c r="H28" i="9" s="1"/>
  <c r="N259" i="11"/>
  <c r="N260" i="11" s="1"/>
  <c r="O31" i="9" s="1"/>
  <c r="G259" i="11"/>
  <c r="G260" i="11" s="1"/>
  <c r="H31" i="9" s="1"/>
  <c r="AM259" i="11"/>
  <c r="AM260" i="11" s="1"/>
  <c r="N31" i="35" s="1"/>
  <c r="C3" i="36"/>
  <c r="C3" i="8"/>
  <c r="AG259" i="11"/>
  <c r="AG260" i="11" s="1"/>
  <c r="H31" i="35" s="1"/>
  <c r="H27" i="35"/>
  <c r="H28" i="35" s="1"/>
  <c r="O28" i="35"/>
  <c r="G28" i="35"/>
  <c r="AP252" i="11"/>
  <c r="I28" i="9"/>
  <c r="P28" i="9"/>
  <c r="I28" i="35"/>
  <c r="J259" i="11"/>
  <c r="J260" i="11" s="1"/>
  <c r="K31" i="9" s="1"/>
  <c r="I259" i="11"/>
  <c r="I260" i="11" s="1"/>
  <c r="J31" i="9" s="1"/>
  <c r="J28" i="9"/>
  <c r="AO258" i="11"/>
  <c r="AO259" i="11" s="1"/>
  <c r="AO260" i="11" s="1"/>
  <c r="P31" i="35" s="1"/>
  <c r="M259" i="11"/>
  <c r="M260" i="11" s="1"/>
  <c r="N31" i="9" s="1"/>
  <c r="L259" i="11"/>
  <c r="L260" i="11" s="1"/>
  <c r="M31" i="9" s="1"/>
  <c r="N28" i="9"/>
  <c r="AK258" i="11"/>
  <c r="AK259" i="11" s="1"/>
  <c r="AK260" i="11" s="1"/>
  <c r="L31" i="35" s="1"/>
  <c r="L27" i="35"/>
  <c r="L28" i="35" s="1"/>
  <c r="F297" i="11"/>
  <c r="J128" i="30"/>
  <c r="J132" i="30" s="1"/>
  <c r="C85" i="19"/>
  <c r="D85" i="19"/>
  <c r="B94" i="19"/>
  <c r="C4" i="20" s="1"/>
  <c r="I84" i="30"/>
  <c r="J80" i="30"/>
  <c r="J84" i="30" s="1"/>
  <c r="E28" i="19"/>
  <c r="G291" i="11" s="1"/>
  <c r="F291" i="11"/>
  <c r="D41" i="19"/>
  <c r="B91" i="19"/>
  <c r="C41" i="19"/>
  <c r="I116" i="30"/>
  <c r="J112" i="30"/>
  <c r="J116" i="30" s="1"/>
  <c r="H93" i="30"/>
  <c r="K89" i="30"/>
  <c r="F6" i="30" s="1"/>
  <c r="H287" i="11"/>
  <c r="H289" i="11" s="1"/>
  <c r="AH290" i="11" s="1"/>
  <c r="H286" i="11"/>
  <c r="H288" i="11" s="1"/>
  <c r="H30" i="30"/>
  <c r="K26" i="30"/>
  <c r="B6" i="30" s="1"/>
  <c r="B17" i="30" s="1"/>
  <c r="H132" i="30"/>
  <c r="K169" i="30"/>
  <c r="K6" i="30" s="1"/>
  <c r="H173" i="30"/>
  <c r="H148" i="30"/>
  <c r="F179" i="30"/>
  <c r="I175" i="30"/>
  <c r="H175" i="30"/>
  <c r="K57" i="30"/>
  <c r="D6" i="30" s="1"/>
  <c r="H61" i="30"/>
  <c r="I64" i="30"/>
  <c r="F68" i="30"/>
  <c r="H64" i="30"/>
  <c r="B653" i="11"/>
  <c r="D8" i="32"/>
  <c r="D6" i="22"/>
  <c r="H141" i="30"/>
  <c r="K137" i="30"/>
  <c r="I6" i="30" s="1"/>
  <c r="H84" i="30"/>
  <c r="F41" i="30"/>
  <c r="J41" i="30" s="1"/>
  <c r="J45" i="30" s="1"/>
  <c r="U30" i="30" s="1"/>
  <c r="C45" i="30"/>
  <c r="N30" i="30" s="1"/>
  <c r="K153" i="30"/>
  <c r="J6" i="30" s="1"/>
  <c r="AF551" i="11" s="1"/>
  <c r="AF560" i="11" s="1"/>
  <c r="G132" i="35" s="1"/>
  <c r="AJ664" i="11" s="1"/>
  <c r="H157" i="30"/>
  <c r="F36" i="30"/>
  <c r="H33" i="30"/>
  <c r="I33" i="30"/>
  <c r="F334" i="11"/>
  <c r="F335" i="11"/>
  <c r="F359" i="11" s="1"/>
  <c r="M80" i="9" s="1"/>
  <c r="D660" i="11" s="1"/>
  <c r="F333" i="11"/>
  <c r="F332" i="11"/>
  <c r="AG551" i="11"/>
  <c r="G547" i="11"/>
  <c r="G560" i="11" s="1"/>
  <c r="M132" i="9" s="1"/>
  <c r="G543" i="11"/>
  <c r="G545" i="11"/>
  <c r="G548" i="11"/>
  <c r="G584" i="11"/>
  <c r="G586" i="11"/>
  <c r="G588" i="11"/>
  <c r="G542" i="11"/>
  <c r="G544" i="11"/>
  <c r="G546" i="11"/>
  <c r="G589" i="11"/>
  <c r="G587" i="11"/>
  <c r="G585" i="11"/>
  <c r="L11" i="30"/>
  <c r="H125" i="30"/>
  <c r="K121" i="30"/>
  <c r="H6" i="30" s="1"/>
  <c r="E45" i="30"/>
  <c r="P30" i="30" s="1"/>
  <c r="F54" i="19"/>
  <c r="G296" i="11" s="1"/>
  <c r="F296" i="11"/>
  <c r="K73" i="30"/>
  <c r="E6" i="30" s="1"/>
  <c r="H77" i="30"/>
  <c r="J144" i="30"/>
  <c r="J148" i="30" s="1"/>
  <c r="F28" i="19"/>
  <c r="G290" i="11" s="1"/>
  <c r="F290" i="11"/>
  <c r="G48" i="30"/>
  <c r="G52" i="30" s="1"/>
  <c r="B52" i="30"/>
  <c r="C48" i="30"/>
  <c r="E48" i="30"/>
  <c r="H116" i="30"/>
  <c r="F100" i="30"/>
  <c r="H96" i="30"/>
  <c r="I96" i="30"/>
  <c r="I100" i="30" s="1"/>
  <c r="D60" i="19"/>
  <c r="H60" i="19"/>
  <c r="E60" i="19"/>
  <c r="F60" i="19"/>
  <c r="C60" i="19"/>
  <c r="G60" i="19"/>
  <c r="K105" i="30"/>
  <c r="G6" i="30" s="1"/>
  <c r="H109" i="30"/>
  <c r="F28" i="9"/>
  <c r="E259" i="11"/>
  <c r="E260" i="11" s="1"/>
  <c r="F31" i="9" s="1"/>
  <c r="M15" i="9"/>
  <c r="I15" i="9"/>
  <c r="D229" i="11"/>
  <c r="M227" i="11"/>
  <c r="F6" i="11"/>
  <c r="H6" i="11" s="1"/>
  <c r="E689" i="11" s="1"/>
  <c r="H244" i="11"/>
  <c r="M121" i="36"/>
  <c r="S121" i="36"/>
  <c r="AG238" i="11"/>
  <c r="AD238" i="11"/>
  <c r="AJ238" i="11"/>
  <c r="AK238" i="11"/>
  <c r="AO238" i="11"/>
  <c r="AL238" i="11"/>
  <c r="AE238" i="11"/>
  <c r="AH238" i="11"/>
  <c r="AI238" i="11"/>
  <c r="AM238" i="11"/>
  <c r="AN238" i="11"/>
  <c r="AF238" i="11"/>
  <c r="G28" i="9"/>
  <c r="AD259" i="11"/>
  <c r="AP257" i="11"/>
  <c r="S125" i="36"/>
  <c r="M125" i="36"/>
  <c r="O15" i="9"/>
  <c r="N15" i="9"/>
  <c r="G15" i="9"/>
  <c r="E15" i="9"/>
  <c r="P252" i="11"/>
  <c r="M127" i="36"/>
  <c r="S127" i="36"/>
  <c r="AM228" i="11"/>
  <c r="AP225" i="11" s="1"/>
  <c r="F259" i="11"/>
  <c r="F260" i="11" s="1"/>
  <c r="G31" i="9" s="1"/>
  <c r="D25" i="9"/>
  <c r="E28" i="9"/>
  <c r="P15" i="9"/>
  <c r="K15" i="9"/>
  <c r="H15" i="9"/>
  <c r="P258" i="11"/>
  <c r="D259" i="11"/>
  <c r="P257" i="11"/>
  <c r="L15" i="9"/>
  <c r="J15" i="9"/>
  <c r="F15" i="9"/>
  <c r="D15" i="35"/>
  <c r="E28" i="35"/>
  <c r="D25" i="35"/>
  <c r="M162" i="9" l="1"/>
  <c r="J654" i="11"/>
  <c r="D27" i="9"/>
  <c r="D28" i="9" s="1"/>
  <c r="K80" i="30"/>
  <c r="E11" i="30" s="1"/>
  <c r="B3" i="36"/>
  <c r="B3" i="8"/>
  <c r="K112" i="30"/>
  <c r="G11" i="30" s="1"/>
  <c r="D27" i="35"/>
  <c r="D28" i="35" s="1"/>
  <c r="AP258" i="11"/>
  <c r="K128" i="30"/>
  <c r="H11" i="30" s="1"/>
  <c r="F288" i="11"/>
  <c r="F85" i="19"/>
  <c r="G288" i="11" s="1"/>
  <c r="E85" i="19"/>
  <c r="G289" i="11" s="1"/>
  <c r="AG290" i="11" s="1"/>
  <c r="F289" i="11"/>
  <c r="H100" i="30"/>
  <c r="E52" i="30"/>
  <c r="L659" i="11"/>
  <c r="L664" i="11" s="1"/>
  <c r="M136" i="9"/>
  <c r="M137" i="9"/>
  <c r="I170" i="9" s="1"/>
  <c r="G17" i="30"/>
  <c r="F549" i="11" s="1"/>
  <c r="F17" i="30"/>
  <c r="F48" i="30"/>
  <c r="C52" i="30"/>
  <c r="H41" i="30"/>
  <c r="F45" i="30"/>
  <c r="Q30" i="30" s="1"/>
  <c r="H68" i="30"/>
  <c r="K144" i="30"/>
  <c r="I11" i="30" s="1"/>
  <c r="F293" i="11"/>
  <c r="E41" i="19"/>
  <c r="G293" i="11" s="1"/>
  <c r="J96" i="30"/>
  <c r="J100" i="30" s="1"/>
  <c r="B67" i="19"/>
  <c r="I36" i="30"/>
  <c r="K164" i="30" s="1"/>
  <c r="J33" i="30"/>
  <c r="J36" i="30" s="1"/>
  <c r="H179" i="30"/>
  <c r="AH289" i="11"/>
  <c r="AH298" i="11" s="1"/>
  <c r="M74" i="35" s="1"/>
  <c r="AD654" i="11" s="1"/>
  <c r="H298" i="11"/>
  <c r="M74" i="9" s="1"/>
  <c r="D654" i="11" s="1"/>
  <c r="AG550" i="11"/>
  <c r="AG560" i="11" s="1"/>
  <c r="M132" i="35" s="1"/>
  <c r="G549" i="11"/>
  <c r="H36" i="30"/>
  <c r="I68" i="30"/>
  <c r="J64" i="30"/>
  <c r="J68" i="30" s="1"/>
  <c r="I179" i="30"/>
  <c r="J175" i="30"/>
  <c r="J179" i="30" s="1"/>
  <c r="F585" i="11"/>
  <c r="F543" i="11"/>
  <c r="F292" i="11"/>
  <c r="F41" i="19"/>
  <c r="G292" i="11" s="1"/>
  <c r="P259" i="11"/>
  <c r="G61" i="9" s="1"/>
  <c r="D260" i="11"/>
  <c r="M228" i="11"/>
  <c r="P225" i="11" s="1"/>
  <c r="D238" i="11"/>
  <c r="E238" i="11"/>
  <c r="F238" i="11"/>
  <c r="G238" i="11"/>
  <c r="J238" i="11"/>
  <c r="M238" i="11"/>
  <c r="H238" i="11"/>
  <c r="I238" i="11"/>
  <c r="L238" i="11"/>
  <c r="K238" i="11"/>
  <c r="O238" i="11"/>
  <c r="N238" i="11"/>
  <c r="AG228" i="11"/>
  <c r="AE232" i="11"/>
  <c r="AF235" i="11"/>
  <c r="AD235" i="11"/>
  <c r="AF232" i="11"/>
  <c r="AG232" i="11"/>
  <c r="AH232" i="11"/>
  <c r="AI235" i="11"/>
  <c r="AM232" i="11"/>
  <c r="AN235" i="11"/>
  <c r="AI232" i="11"/>
  <c r="AJ235" i="11"/>
  <c r="AK235" i="11"/>
  <c r="AN232" i="11"/>
  <c r="AO235" i="11"/>
  <c r="AD232" i="11"/>
  <c r="AJ232" i="11"/>
  <c r="AG235" i="11"/>
  <c r="AL235" i="11"/>
  <c r="AL232" i="11"/>
  <c r="AM235" i="11"/>
  <c r="AH235" i="11"/>
  <c r="AK232" i="11"/>
  <c r="AE235" i="11"/>
  <c r="AO232" i="11"/>
  <c r="AG229" i="11"/>
  <c r="D15" i="9"/>
  <c r="AP259" i="11"/>
  <c r="G61" i="35" s="1"/>
  <c r="AD260" i="11"/>
  <c r="H245" i="11"/>
  <c r="Q94" i="36"/>
  <c r="AO237" i="11" l="1"/>
  <c r="AO233" i="11" s="1"/>
  <c r="AO236" i="11" s="1"/>
  <c r="AJ237" i="11"/>
  <c r="AJ233" i="11" s="1"/>
  <c r="AJ236" i="11" s="1"/>
  <c r="AM237" i="11"/>
  <c r="AM233" i="11" s="1"/>
  <c r="AM236" i="11" s="1"/>
  <c r="AF237" i="11"/>
  <c r="AF233" i="11" s="1"/>
  <c r="AF236" i="11" s="1"/>
  <c r="K33" i="30"/>
  <c r="B11" i="30" s="1"/>
  <c r="B16" i="30" s="1"/>
  <c r="F542" i="11" s="1"/>
  <c r="AI237" i="11"/>
  <c r="AI233" i="11" s="1"/>
  <c r="AI236" i="11" s="1"/>
  <c r="AK237" i="11"/>
  <c r="AK233" i="11" s="1"/>
  <c r="AK236" i="11" s="1"/>
  <c r="AH237" i="11"/>
  <c r="AH233" i="11" s="1"/>
  <c r="AH236" i="11" s="1"/>
  <c r="AL237" i="11"/>
  <c r="AL233" i="11" s="1"/>
  <c r="AL236" i="11" s="1"/>
  <c r="G298" i="11"/>
  <c r="G121" i="9" s="1"/>
  <c r="AG289" i="11"/>
  <c r="AG298" i="11" s="1"/>
  <c r="G121" i="35" s="1"/>
  <c r="AJ653" i="11" s="1"/>
  <c r="F298" i="11"/>
  <c r="AF289" i="11"/>
  <c r="AF298" i="11" s="1"/>
  <c r="B93" i="19"/>
  <c r="D95" i="19" s="1"/>
  <c r="C3" i="20" s="1"/>
  <c r="C67" i="19"/>
  <c r="D67" i="19"/>
  <c r="H45" i="30"/>
  <c r="S30" i="30" s="1"/>
  <c r="K41" i="30"/>
  <c r="C6" i="30" s="1"/>
  <c r="C17" i="30" s="1"/>
  <c r="K175" i="30"/>
  <c r="K11" i="30" s="1"/>
  <c r="G16" i="30" s="1"/>
  <c r="F547" i="11" s="1"/>
  <c r="F560" i="11" s="1"/>
  <c r="K64" i="30"/>
  <c r="D11" i="30" s="1"/>
  <c r="H48" i="30"/>
  <c r="I48" i="30"/>
  <c r="I52" i="30" s="1"/>
  <c r="F52" i="30"/>
  <c r="I163" i="9"/>
  <c r="C625" i="11"/>
  <c r="H678" i="11"/>
  <c r="AL659" i="11"/>
  <c r="AL664" i="11" s="1"/>
  <c r="AH678" i="11" s="1"/>
  <c r="M137" i="35"/>
  <c r="I170" i="35" s="1"/>
  <c r="M136" i="35"/>
  <c r="B164" i="30"/>
  <c r="M31" i="30" s="1"/>
  <c r="M32" i="30" s="1"/>
  <c r="F164" i="30"/>
  <c r="C164" i="30"/>
  <c r="N31" i="30" s="1"/>
  <c r="N32" i="30" s="1"/>
  <c r="E164" i="30"/>
  <c r="P31" i="30" s="1"/>
  <c r="P32" i="30" s="1"/>
  <c r="D164" i="30"/>
  <c r="O31" i="30" s="1"/>
  <c r="O32" i="30" s="1"/>
  <c r="G164" i="30"/>
  <c r="R31" i="30" s="1"/>
  <c r="R32" i="30" s="1"/>
  <c r="I164" i="30"/>
  <c r="H164" i="30"/>
  <c r="J164" i="30"/>
  <c r="F548" i="11"/>
  <c r="F589" i="11"/>
  <c r="K96" i="30"/>
  <c r="F11" i="30" s="1"/>
  <c r="F16" i="30" s="1"/>
  <c r="AN237" i="11"/>
  <c r="AN233" i="11" s="1"/>
  <c r="AN236" i="11" s="1"/>
  <c r="AD237" i="11"/>
  <c r="AD233" i="11" s="1"/>
  <c r="AD236" i="11" s="1"/>
  <c r="AG237" i="11"/>
  <c r="AG233" i="11" s="1"/>
  <c r="AG236" i="11" s="1"/>
  <c r="AE237" i="11"/>
  <c r="AE233" i="11" s="1"/>
  <c r="AE236" i="11" s="1"/>
  <c r="E31" i="35"/>
  <c r="AP260" i="11"/>
  <c r="D235" i="11"/>
  <c r="D232" i="11"/>
  <c r="F235" i="11"/>
  <c r="H235" i="11"/>
  <c r="G228" i="11"/>
  <c r="E235" i="11"/>
  <c r="F232" i="11"/>
  <c r="G235" i="11"/>
  <c r="H232" i="11"/>
  <c r="E232" i="11"/>
  <c r="K232" i="11"/>
  <c r="N235" i="11"/>
  <c r="O232" i="11"/>
  <c r="O237" i="11" s="1"/>
  <c r="O233" i="11" s="1"/>
  <c r="G232" i="11"/>
  <c r="J235" i="11"/>
  <c r="M235" i="11"/>
  <c r="N232" i="11"/>
  <c r="I235" i="11"/>
  <c r="J232" i="11"/>
  <c r="L235" i="11"/>
  <c r="M232" i="11"/>
  <c r="M237" i="11" s="1"/>
  <c r="M233" i="11" s="1"/>
  <c r="L232" i="11"/>
  <c r="I232" i="11"/>
  <c r="K235" i="11"/>
  <c r="O235" i="11"/>
  <c r="G229" i="11"/>
  <c r="P260" i="11"/>
  <c r="E31" i="9"/>
  <c r="F584" i="11" l="1"/>
  <c r="H237" i="11"/>
  <c r="H233" i="11" s="1"/>
  <c r="H236" i="11" s="1"/>
  <c r="N237" i="11"/>
  <c r="N233" i="11" s="1"/>
  <c r="N236" i="11" s="1"/>
  <c r="G10" i="20"/>
  <c r="G74" i="9"/>
  <c r="T31" i="30"/>
  <c r="T32" i="30" s="1"/>
  <c r="J653" i="11"/>
  <c r="F5" i="32"/>
  <c r="G74" i="35"/>
  <c r="AB654" i="11" s="1"/>
  <c r="G11" i="20"/>
  <c r="L11" i="20" s="1"/>
  <c r="Q31" i="30"/>
  <c r="Q32" i="30" s="1"/>
  <c r="F454" i="11"/>
  <c r="G132" i="9"/>
  <c r="J664" i="11" s="1"/>
  <c r="F546" i="11"/>
  <c r="F588" i="11"/>
  <c r="I163" i="35"/>
  <c r="H52" i="30"/>
  <c r="S31" i="30" s="1"/>
  <c r="S32" i="30" s="1"/>
  <c r="F67" i="19"/>
  <c r="G294" i="11" s="1"/>
  <c r="F294" i="11"/>
  <c r="F587" i="11"/>
  <c r="F545" i="11"/>
  <c r="E67" i="19"/>
  <c r="G295" i="11" s="1"/>
  <c r="F295" i="11"/>
  <c r="J48" i="30"/>
  <c r="J52" i="30" s="1"/>
  <c r="U31" i="30" s="1"/>
  <c r="U32" i="30" s="1"/>
  <c r="I237" i="11"/>
  <c r="I233" i="11" s="1"/>
  <c r="I236" i="11" s="1"/>
  <c r="J237" i="11"/>
  <c r="J233" i="11" s="1"/>
  <c r="J236" i="11" s="1"/>
  <c r="M236" i="11"/>
  <c r="O236" i="11"/>
  <c r="AG234" i="11"/>
  <c r="AG240" i="11" s="1"/>
  <c r="AG241" i="11" s="1"/>
  <c r="AG253" i="11" s="1"/>
  <c r="AM234" i="11"/>
  <c r="AM240" i="11" s="1"/>
  <c r="AM241" i="11" s="1"/>
  <c r="AM253" i="11" s="1"/>
  <c r="AO234" i="11"/>
  <c r="AO240" i="11" s="1"/>
  <c r="AO241" i="11" s="1"/>
  <c r="AO253" i="11" s="1"/>
  <c r="AN234" i="11"/>
  <c r="AN240" i="11" s="1"/>
  <c r="AN241" i="11" s="1"/>
  <c r="AN253" i="11" s="1"/>
  <c r="K237" i="11"/>
  <c r="K233" i="11" s="1"/>
  <c r="K236" i="11" s="1"/>
  <c r="F237" i="11"/>
  <c r="F233" i="11" s="1"/>
  <c r="F236" i="11" s="1"/>
  <c r="AH234" i="11"/>
  <c r="AH240" i="11" s="1"/>
  <c r="AH241" i="11" s="1"/>
  <c r="AH253" i="11" s="1"/>
  <c r="AK234" i="11"/>
  <c r="AK240" i="11" s="1"/>
  <c r="AK241" i="11" s="1"/>
  <c r="AK253" i="11" s="1"/>
  <c r="AI234" i="11"/>
  <c r="AI240" i="11" s="1"/>
  <c r="AI241" i="11" s="1"/>
  <c r="AI253" i="11" s="1"/>
  <c r="D31" i="35"/>
  <c r="D31" i="9"/>
  <c r="L237" i="11"/>
  <c r="L233" i="11" s="1"/>
  <c r="L236" i="11" s="1"/>
  <c r="G237" i="11"/>
  <c r="G233" i="11" s="1"/>
  <c r="G236" i="11" s="1"/>
  <c r="E237" i="11"/>
  <c r="E233" i="11" s="1"/>
  <c r="E236" i="11" s="1"/>
  <c r="D237" i="11"/>
  <c r="D233" i="11" s="1"/>
  <c r="D236" i="11" s="1"/>
  <c r="AL234" i="11"/>
  <c r="AL240" i="11" s="1"/>
  <c r="AL241" i="11" s="1"/>
  <c r="AL253" i="11" s="1"/>
  <c r="AJ234" i="11"/>
  <c r="AJ240" i="11" s="1"/>
  <c r="AJ241" i="11" s="1"/>
  <c r="AJ253" i="11" s="1"/>
  <c r="AD234" i="11"/>
  <c r="AD240" i="11" s="1"/>
  <c r="AD241" i="11" s="1"/>
  <c r="AD253" i="11" s="1"/>
  <c r="AE234" i="11"/>
  <c r="AE240" i="11" s="1"/>
  <c r="AE241" i="11" s="1"/>
  <c r="AE253" i="11" s="1"/>
  <c r="AF234" i="11"/>
  <c r="AF240" i="11" s="1"/>
  <c r="AF241" i="11" s="1"/>
  <c r="AF253" i="11" s="1"/>
  <c r="G42" i="20" l="1"/>
  <c r="G32" i="20"/>
  <c r="G58" i="20"/>
  <c r="G50" i="20"/>
  <c r="E6" i="22"/>
  <c r="F6" i="22" s="1"/>
  <c r="B654" i="11"/>
  <c r="E8" i="32"/>
  <c r="P10" i="20"/>
  <c r="L10" i="20"/>
  <c r="K48" i="30"/>
  <c r="C11" i="30" s="1"/>
  <c r="C16" i="30" s="1"/>
  <c r="L234" i="11"/>
  <c r="L240" i="11" s="1"/>
  <c r="L241" i="11" s="1"/>
  <c r="L253" i="11" s="1"/>
  <c r="D234" i="11"/>
  <c r="D240" i="11" s="1"/>
  <c r="D241" i="11" s="1"/>
  <c r="D253" i="11" s="1"/>
  <c r="E234" i="11"/>
  <c r="E240" i="11" s="1"/>
  <c r="E241" i="11" s="1"/>
  <c r="E253" i="11" s="1"/>
  <c r="F234" i="11"/>
  <c r="F240" i="11" s="1"/>
  <c r="F241" i="11" s="1"/>
  <c r="F253" i="11" s="1"/>
  <c r="G234" i="11"/>
  <c r="G240" i="11" s="1"/>
  <c r="G241" i="11" s="1"/>
  <c r="G253" i="11" s="1"/>
  <c r="K234" i="11"/>
  <c r="K240" i="11" s="1"/>
  <c r="K241" i="11" s="1"/>
  <c r="K253" i="11" s="1"/>
  <c r="AK255" i="11"/>
  <c r="L16" i="35"/>
  <c r="AN255" i="11"/>
  <c r="O16" i="35"/>
  <c r="AM255" i="11"/>
  <c r="N16" i="35"/>
  <c r="M234" i="11"/>
  <c r="M240" i="11" s="1"/>
  <c r="M241" i="11" s="1"/>
  <c r="M253" i="11" s="1"/>
  <c r="H234" i="11"/>
  <c r="H240" i="11" s="1"/>
  <c r="H241" i="11" s="1"/>
  <c r="H253" i="11" s="1"/>
  <c r="AJ255" i="11"/>
  <c r="K16" i="35"/>
  <c r="O234" i="11"/>
  <c r="O240" i="11" s="1"/>
  <c r="O241" i="11" s="1"/>
  <c r="O253" i="11" s="1"/>
  <c r="J234" i="11"/>
  <c r="J240" i="11" s="1"/>
  <c r="J241" i="11" s="1"/>
  <c r="J253" i="11" s="1"/>
  <c r="AE255" i="11"/>
  <c r="F16" i="35"/>
  <c r="AL255" i="11"/>
  <c r="M16" i="35"/>
  <c r="AH255" i="11"/>
  <c r="I16" i="35"/>
  <c r="AO255" i="11"/>
  <c r="P16" i="35"/>
  <c r="AG255" i="11"/>
  <c r="H16" i="35"/>
  <c r="N234" i="11"/>
  <c r="N240" i="11" s="1"/>
  <c r="N241" i="11" s="1"/>
  <c r="N253" i="11" s="1"/>
  <c r="AF255" i="11"/>
  <c r="G16" i="35"/>
  <c r="AD255" i="11"/>
  <c r="AP253" i="11"/>
  <c r="E16" i="35"/>
  <c r="AI255" i="11"/>
  <c r="J16" i="35"/>
  <c r="I234" i="11"/>
  <c r="I240" i="11" s="1"/>
  <c r="I241" i="11" s="1"/>
  <c r="I253" i="11" s="1"/>
  <c r="K31" i="20" l="1"/>
  <c r="K41" i="20"/>
  <c r="K49" i="20"/>
  <c r="K57" i="20"/>
  <c r="G76" i="20"/>
  <c r="G84" i="20" s="1"/>
  <c r="AE302" i="11" s="1"/>
  <c r="AF305" i="11" s="1"/>
  <c r="G41" i="20"/>
  <c r="G49" i="20"/>
  <c r="G57" i="20"/>
  <c r="G31" i="20"/>
  <c r="B23" i="22"/>
  <c r="B40" i="22"/>
  <c r="C36" i="22"/>
  <c r="D36" i="22" s="1"/>
  <c r="E36" i="22" s="1"/>
  <c r="B33" i="22" s="1"/>
  <c r="E33" i="22" s="1"/>
  <c r="B27" i="22" s="1"/>
  <c r="C53" i="22"/>
  <c r="D53" i="22" s="1"/>
  <c r="E53" i="22" s="1"/>
  <c r="B50" i="22" s="1"/>
  <c r="E50" i="22" s="1"/>
  <c r="B44" i="22" s="1"/>
  <c r="B57" i="22"/>
  <c r="C19" i="22"/>
  <c r="D19" i="22" s="1"/>
  <c r="E19" i="22" s="1"/>
  <c r="B16" i="22" s="1"/>
  <c r="E16" i="22" s="1"/>
  <c r="B10" i="22" s="1"/>
  <c r="F544" i="11"/>
  <c r="F586" i="11"/>
  <c r="O255" i="11"/>
  <c r="P16" i="9"/>
  <c r="N255" i="11"/>
  <c r="O16" i="9"/>
  <c r="D255" i="11"/>
  <c r="E16" i="9"/>
  <c r="P253" i="11"/>
  <c r="H255" i="11"/>
  <c r="I16" i="9"/>
  <c r="F255" i="11"/>
  <c r="G16" i="9"/>
  <c r="I255" i="11"/>
  <c r="J16" i="9"/>
  <c r="K255" i="11"/>
  <c r="L16" i="9"/>
  <c r="AM261" i="11"/>
  <c r="AM262" i="11" s="1"/>
  <c r="N33" i="35" s="1"/>
  <c r="N30" i="35"/>
  <c r="N32" i="35" s="1"/>
  <c r="D16" i="35"/>
  <c r="AF261" i="11"/>
  <c r="AF262" i="11" s="1"/>
  <c r="G33" i="35" s="1"/>
  <c r="G30" i="35"/>
  <c r="G32" i="35" s="1"/>
  <c r="AG261" i="11"/>
  <c r="AG262" i="11" s="1"/>
  <c r="H33" i="35" s="1"/>
  <c r="H30" i="35"/>
  <c r="H32" i="35" s="1"/>
  <c r="M58" i="35"/>
  <c r="AR253" i="11"/>
  <c r="AH261" i="11"/>
  <c r="AH262" i="11" s="1"/>
  <c r="I30" i="35"/>
  <c r="I32" i="35" s="1"/>
  <c r="AL261" i="11"/>
  <c r="AL262" i="11" s="1"/>
  <c r="M30" i="35"/>
  <c r="M32" i="35" s="1"/>
  <c r="AJ262" i="11"/>
  <c r="K33" i="35" s="1"/>
  <c r="K30" i="35"/>
  <c r="K32" i="35" s="1"/>
  <c r="AJ261" i="11"/>
  <c r="AN261" i="11"/>
  <c r="AN262" i="11" s="1"/>
  <c r="O33" i="35" s="1"/>
  <c r="O30" i="35"/>
  <c r="O32" i="35" s="1"/>
  <c r="AE261" i="11"/>
  <c r="AE262" i="11" s="1"/>
  <c r="F30" i="35"/>
  <c r="F32" i="35" s="1"/>
  <c r="AD261" i="11"/>
  <c r="AD262" i="11" s="1"/>
  <c r="E30" i="35"/>
  <c r="AP255" i="11"/>
  <c r="AO261" i="11"/>
  <c r="AO262" i="11" s="1"/>
  <c r="P30" i="35"/>
  <c r="P32" i="35" s="1"/>
  <c r="G255" i="11"/>
  <c r="H16" i="9"/>
  <c r="E255" i="11"/>
  <c r="F16" i="9"/>
  <c r="L255" i="11"/>
  <c r="M16" i="9"/>
  <c r="AI261" i="11"/>
  <c r="AI262" i="11" s="1"/>
  <c r="J30" i="35"/>
  <c r="J32" i="35" s="1"/>
  <c r="J255" i="11"/>
  <c r="K16" i="9"/>
  <c r="M255" i="11"/>
  <c r="N16" i="9"/>
  <c r="AK261" i="11"/>
  <c r="AK262" i="11" s="1"/>
  <c r="L33" i="35" s="1"/>
  <c r="L30" i="35"/>
  <c r="L32" i="35" s="1"/>
  <c r="G75" i="20" l="1"/>
  <c r="G83" i="20" s="1"/>
  <c r="F303" i="11" s="1"/>
  <c r="F305" i="11" s="1"/>
  <c r="AF302" i="11"/>
  <c r="AF308" i="11" s="1"/>
  <c r="K75" i="20"/>
  <c r="K83" i="20" s="1"/>
  <c r="AK263" i="11"/>
  <c r="L35" i="35" s="1"/>
  <c r="M33" i="35"/>
  <c r="AL263" i="11"/>
  <c r="F33" i="35"/>
  <c r="AE263" i="11"/>
  <c r="M60" i="35"/>
  <c r="M61" i="35"/>
  <c r="E33" i="35"/>
  <c r="AD263" i="11"/>
  <c r="I33" i="35"/>
  <c r="AH263" i="11"/>
  <c r="J33" i="35"/>
  <c r="AI263" i="11"/>
  <c r="P33" i="35"/>
  <c r="AO263" i="11"/>
  <c r="J262" i="11"/>
  <c r="K33" i="9" s="1"/>
  <c r="K30" i="9"/>
  <c r="K32" i="9" s="1"/>
  <c r="J261" i="11"/>
  <c r="E261" i="11"/>
  <c r="E262" i="11" s="1"/>
  <c r="F30" i="9"/>
  <c r="F32" i="9" s="1"/>
  <c r="D30" i="35"/>
  <c r="E32" i="35"/>
  <c r="AM263" i="11"/>
  <c r="I261" i="11"/>
  <c r="I262" i="11" s="1"/>
  <c r="J30" i="9"/>
  <c r="J32" i="9" s="1"/>
  <c r="H261" i="11"/>
  <c r="H262" i="11" s="1"/>
  <c r="I33" i="9" s="1"/>
  <c r="I30" i="9"/>
  <c r="I32" i="9" s="1"/>
  <c r="AF263" i="11"/>
  <c r="M58" i="9"/>
  <c r="R253" i="11"/>
  <c r="N261" i="11"/>
  <c r="N262" i="11" s="1"/>
  <c r="O30" i="9"/>
  <c r="O32" i="9" s="1"/>
  <c r="M261" i="11"/>
  <c r="M262" i="11" s="1"/>
  <c r="N30" i="9"/>
  <c r="N32" i="9" s="1"/>
  <c r="L261" i="11"/>
  <c r="L262" i="11" s="1"/>
  <c r="M30" i="9"/>
  <c r="M32" i="9" s="1"/>
  <c r="G261" i="11"/>
  <c r="G262" i="11" s="1"/>
  <c r="H30" i="9"/>
  <c r="H32" i="9" s="1"/>
  <c r="AJ263" i="11"/>
  <c r="K261" i="11"/>
  <c r="K262" i="11" s="1"/>
  <c r="L33" i="9" s="1"/>
  <c r="L30" i="9"/>
  <c r="L32" i="9" s="1"/>
  <c r="F261" i="11"/>
  <c r="F262" i="11" s="1"/>
  <c r="G30" i="9"/>
  <c r="G32" i="9" s="1"/>
  <c r="D16" i="9"/>
  <c r="AN263" i="11"/>
  <c r="AG263" i="11"/>
  <c r="D261" i="11"/>
  <c r="D262" i="11" s="1"/>
  <c r="P255" i="11"/>
  <c r="E30" i="9"/>
  <c r="O261" i="11"/>
  <c r="O262" i="11" s="1"/>
  <c r="P33" i="9" s="1"/>
  <c r="P30" i="9"/>
  <c r="P32" i="9" s="1"/>
  <c r="F308" i="11" l="1"/>
  <c r="D2" i="22"/>
  <c r="G75" i="9"/>
  <c r="G377" i="11"/>
  <c r="G75" i="35"/>
  <c r="AG377" i="11"/>
  <c r="G78" i="35" s="1"/>
  <c r="M33" i="9"/>
  <c r="L263" i="11"/>
  <c r="H33" i="9"/>
  <c r="G263" i="11"/>
  <c r="N33" i="9"/>
  <c r="M263" i="11"/>
  <c r="O33" i="9"/>
  <c r="N263" i="11"/>
  <c r="F33" i="9"/>
  <c r="E263" i="11"/>
  <c r="G33" i="9"/>
  <c r="F263" i="11"/>
  <c r="J33" i="9"/>
  <c r="I263" i="11"/>
  <c r="N35" i="35"/>
  <c r="G35" i="35"/>
  <c r="J263" i="11"/>
  <c r="J35" i="35"/>
  <c r="AP263" i="11"/>
  <c r="E35" i="35"/>
  <c r="F35" i="35"/>
  <c r="M60" i="9"/>
  <c r="M61" i="9"/>
  <c r="E33" i="9"/>
  <c r="O35" i="35"/>
  <c r="K35" i="35"/>
  <c r="O263" i="11"/>
  <c r="D263" i="11"/>
  <c r="H35" i="35"/>
  <c r="K263" i="11"/>
  <c r="H263" i="11"/>
  <c r="D30" i="9"/>
  <c r="E32" i="9"/>
  <c r="P35" i="35"/>
  <c r="I35" i="35"/>
  <c r="M35" i="35"/>
  <c r="G85" i="35" l="1"/>
  <c r="E168" i="35" s="1"/>
  <c r="B655" i="11"/>
  <c r="M75" i="9"/>
  <c r="C47" i="22"/>
  <c r="D47" i="22" s="1"/>
  <c r="E47" i="22" s="1"/>
  <c r="C30" i="22"/>
  <c r="D30" i="22" s="1"/>
  <c r="E30" i="22" s="1"/>
  <c r="C13" i="22"/>
  <c r="D13" i="22" s="1"/>
  <c r="E13" i="22" s="1"/>
  <c r="G378" i="11"/>
  <c r="G81" i="9" s="1"/>
  <c r="G78" i="9"/>
  <c r="I623" i="11" s="1"/>
  <c r="AB658" i="11"/>
  <c r="M78" i="35"/>
  <c r="M75" i="35"/>
  <c r="AB655" i="11"/>
  <c r="G84" i="35"/>
  <c r="E161" i="35" s="1"/>
  <c r="P263" i="11"/>
  <c r="C632" i="11"/>
  <c r="E35" i="9"/>
  <c r="K35" i="9"/>
  <c r="I632" i="11"/>
  <c r="E632" i="11"/>
  <c r="G35" i="9"/>
  <c r="O35" i="9"/>
  <c r="M632" i="11"/>
  <c r="F632" i="11"/>
  <c r="H35" i="9"/>
  <c r="I149" i="35"/>
  <c r="I148" i="35"/>
  <c r="J632" i="11"/>
  <c r="L35" i="9"/>
  <c r="N632" i="11"/>
  <c r="P35" i="9"/>
  <c r="O149" i="35"/>
  <c r="O148" i="35"/>
  <c r="AP264" i="11"/>
  <c r="F4" i="11" s="1"/>
  <c r="H4" i="11" s="1"/>
  <c r="AP262" i="11"/>
  <c r="G149" i="35"/>
  <c r="G148" i="35"/>
  <c r="N149" i="35"/>
  <c r="N148" i="35"/>
  <c r="L149" i="35"/>
  <c r="L148" i="35"/>
  <c r="M149" i="35"/>
  <c r="M148" i="35"/>
  <c r="P149" i="35"/>
  <c r="P148" i="35"/>
  <c r="G632" i="11"/>
  <c r="I35" i="9"/>
  <c r="F149" i="35"/>
  <c r="F148" i="35"/>
  <c r="H632" i="11"/>
  <c r="J35" i="9"/>
  <c r="D632" i="11"/>
  <c r="F35" i="9"/>
  <c r="N35" i="9"/>
  <c r="L632" i="11"/>
  <c r="K632" i="11"/>
  <c r="M35" i="9"/>
  <c r="H149" i="35"/>
  <c r="H148" i="35"/>
  <c r="K149" i="35"/>
  <c r="K148" i="35"/>
  <c r="D35" i="35"/>
  <c r="J149" i="35"/>
  <c r="J148" i="35"/>
  <c r="A27" i="22" l="1"/>
  <c r="A40" i="22"/>
  <c r="AB665" i="11"/>
  <c r="AD672" i="11" s="1"/>
  <c r="B658" i="11"/>
  <c r="D675" i="11" s="1"/>
  <c r="G85" i="9"/>
  <c r="E168" i="9" s="1"/>
  <c r="G84" i="9"/>
  <c r="E161" i="9" s="1"/>
  <c r="M78" i="9"/>
  <c r="A57" i="22"/>
  <c r="A44" i="22"/>
  <c r="M81" i="9"/>
  <c r="B661" i="11"/>
  <c r="D655" i="11"/>
  <c r="M77" i="9"/>
  <c r="D657" i="11" s="1"/>
  <c r="M76" i="9"/>
  <c r="A23" i="22"/>
  <c r="A10" i="22"/>
  <c r="M76" i="35"/>
  <c r="AD656" i="11" s="1"/>
  <c r="AD655" i="11"/>
  <c r="M77" i="35"/>
  <c r="M79" i="35"/>
  <c r="AD659" i="11" s="1"/>
  <c r="AD658" i="11"/>
  <c r="K635" i="11"/>
  <c r="M149" i="9" s="1"/>
  <c r="D635" i="11"/>
  <c r="F149" i="9" s="1"/>
  <c r="L635" i="11"/>
  <c r="N149" i="9" s="1"/>
  <c r="F635" i="11"/>
  <c r="H149" i="9" s="1"/>
  <c r="E635" i="11"/>
  <c r="G149" i="9" s="1"/>
  <c r="D149" i="35"/>
  <c r="E149" i="35"/>
  <c r="H635" i="11"/>
  <c r="J149" i="9" s="1"/>
  <c r="J635" i="11"/>
  <c r="L149" i="9" s="1"/>
  <c r="I635" i="11"/>
  <c r="K149" i="9" s="1"/>
  <c r="D35" i="9"/>
  <c r="M635" i="11"/>
  <c r="O149" i="9" s="1"/>
  <c r="G635" i="11"/>
  <c r="I149" i="9" s="1"/>
  <c r="C635" i="11"/>
  <c r="G119" i="35"/>
  <c r="G62" i="35"/>
  <c r="M62" i="35" s="1"/>
  <c r="N635" i="11"/>
  <c r="P149" i="9" s="1"/>
  <c r="E148" i="35"/>
  <c r="D148" i="35"/>
  <c r="P264" i="11"/>
  <c r="F3" i="11" s="1"/>
  <c r="H3" i="11" s="1"/>
  <c r="P262" i="11"/>
  <c r="D672" i="11" l="1"/>
  <c r="D673" i="11"/>
  <c r="J673" i="11" s="1"/>
  <c r="B665" i="11"/>
  <c r="M79" i="9"/>
  <c r="M85" i="9" s="1"/>
  <c r="I168" i="9" s="1"/>
  <c r="I171" i="9" s="1"/>
  <c r="I179" i="9" s="1"/>
  <c r="D658" i="11"/>
  <c r="D661" i="11"/>
  <c r="M82" i="9"/>
  <c r="M84" i="9"/>
  <c r="AD657" i="11"/>
  <c r="AD665" i="11" s="1"/>
  <c r="AD678" i="11" s="1"/>
  <c r="AJ678" i="11" s="1"/>
  <c r="M85" i="35"/>
  <c r="I168" i="35" s="1"/>
  <c r="M84" i="35"/>
  <c r="E149" i="9"/>
  <c r="O635" i="11"/>
  <c r="D149" i="9" s="1"/>
  <c r="D33" i="9"/>
  <c r="D33" i="35"/>
  <c r="G123" i="35"/>
  <c r="E158" i="35"/>
  <c r="AJ651" i="11"/>
  <c r="H3" i="10"/>
  <c r="F7" i="26"/>
  <c r="J13" i="26" s="1"/>
  <c r="F7" i="25"/>
  <c r="B5" i="32"/>
  <c r="B200" i="30"/>
  <c r="B205" i="30" s="1"/>
  <c r="B208" i="30" s="1"/>
  <c r="G62" i="9"/>
  <c r="M62" i="9" s="1"/>
  <c r="G119" i="9"/>
  <c r="H2" i="36" l="1"/>
  <c r="M43" i="10"/>
  <c r="F10" i="10"/>
  <c r="G7" i="35" s="1"/>
  <c r="F9" i="10"/>
  <c r="G7" i="9" s="1"/>
  <c r="D665" i="11"/>
  <c r="I625" i="11"/>
  <c r="C628" i="11" s="1"/>
  <c r="D678" i="11"/>
  <c r="J678" i="11" s="1"/>
  <c r="I161" i="9"/>
  <c r="I164" i="9" s="1"/>
  <c r="I177" i="9" s="1"/>
  <c r="M168" i="9"/>
  <c r="I161" i="35"/>
  <c r="I164" i="35" s="1"/>
  <c r="I177" i="35" s="1"/>
  <c r="M168" i="35"/>
  <c r="G214" i="35" s="1"/>
  <c r="I171" i="35"/>
  <c r="I179" i="35" s="1"/>
  <c r="L13" i="26"/>
  <c r="K20" i="26"/>
  <c r="K22" i="26"/>
  <c r="K18" i="26"/>
  <c r="K19" i="26"/>
  <c r="L20" i="26"/>
  <c r="L18" i="26"/>
  <c r="K13" i="26"/>
  <c r="L21" i="26"/>
  <c r="L19" i="26"/>
  <c r="K21" i="26"/>
  <c r="L22" i="26"/>
  <c r="L16" i="26"/>
  <c r="K17" i="26"/>
  <c r="L15" i="26"/>
  <c r="K16" i="26"/>
  <c r="L14" i="26"/>
  <c r="K15" i="26"/>
  <c r="K14" i="26"/>
  <c r="L17" i="26"/>
  <c r="E205" i="30"/>
  <c r="I205" i="30"/>
  <c r="I207" i="30" s="1"/>
  <c r="M205" i="30"/>
  <c r="M207" i="30" s="1"/>
  <c r="Q205" i="30"/>
  <c r="Q207" i="30" s="1"/>
  <c r="H206" i="30"/>
  <c r="H208" i="30" s="1"/>
  <c r="L206" i="30"/>
  <c r="L208" i="30" s="1"/>
  <c r="P206" i="30"/>
  <c r="P208" i="30" s="1"/>
  <c r="T206" i="30"/>
  <c r="T208" i="30" s="1"/>
  <c r="F205" i="30"/>
  <c r="F207" i="30" s="1"/>
  <c r="J205" i="30"/>
  <c r="J207" i="30" s="1"/>
  <c r="N205" i="30"/>
  <c r="N207" i="30" s="1"/>
  <c r="R205" i="30"/>
  <c r="R207" i="30" s="1"/>
  <c r="V205" i="30"/>
  <c r="E206" i="30"/>
  <c r="I206" i="30"/>
  <c r="I208" i="30" s="1"/>
  <c r="M206" i="30"/>
  <c r="M208" i="30" s="1"/>
  <c r="Q206" i="30"/>
  <c r="Q208" i="30" s="1"/>
  <c r="G205" i="30"/>
  <c r="G207" i="30" s="1"/>
  <c r="K205" i="30"/>
  <c r="K207" i="30" s="1"/>
  <c r="O205" i="30"/>
  <c r="O207" i="30" s="1"/>
  <c r="S205" i="30"/>
  <c r="S207" i="30" s="1"/>
  <c r="W205" i="30"/>
  <c r="F206" i="30"/>
  <c r="F208" i="30" s="1"/>
  <c r="J206" i="30"/>
  <c r="J208" i="30" s="1"/>
  <c r="N206" i="30"/>
  <c r="N208" i="30" s="1"/>
  <c r="R206" i="30"/>
  <c r="R208" i="30" s="1"/>
  <c r="V206" i="30"/>
  <c r="V207" i="30"/>
  <c r="V208" i="30"/>
  <c r="H205" i="30"/>
  <c r="H207" i="30" s="1"/>
  <c r="L205" i="30"/>
  <c r="L207" i="30" s="1"/>
  <c r="P205" i="30"/>
  <c r="P207" i="30" s="1"/>
  <c r="T205" i="30"/>
  <c r="T207" i="30" s="1"/>
  <c r="G206" i="30"/>
  <c r="G208" i="30" s="1"/>
  <c r="K206" i="30"/>
  <c r="K208" i="30" s="1"/>
  <c r="O206" i="30"/>
  <c r="O208" i="30" s="1"/>
  <c r="S206" i="30"/>
  <c r="S208" i="30" s="1"/>
  <c r="W206" i="30"/>
  <c r="W207" i="30"/>
  <c r="W208" i="30"/>
  <c r="E40" i="10"/>
  <c r="G26" i="10"/>
  <c r="E27" i="10"/>
  <c r="G30" i="10"/>
  <c r="G32" i="10"/>
  <c r="G27" i="10"/>
  <c r="E28" i="10"/>
  <c r="I30" i="10"/>
  <c r="I32" i="10"/>
  <c r="E2" i="8"/>
  <c r="I27" i="10"/>
  <c r="G28" i="10"/>
  <c r="E29" i="10"/>
  <c r="E26" i="10"/>
  <c r="I28" i="10"/>
  <c r="G29" i="10"/>
  <c r="E30" i="10"/>
  <c r="E159" i="35"/>
  <c r="M158" i="35"/>
  <c r="E215" i="35" s="1"/>
  <c r="H5" i="32"/>
  <c r="A47" i="32"/>
  <c r="A24" i="32"/>
  <c r="A70" i="32"/>
  <c r="G137" i="35"/>
  <c r="E170" i="35" s="1"/>
  <c r="G136" i="35"/>
  <c r="E163" i="35" s="1"/>
  <c r="E164" i="35" s="1"/>
  <c r="E177" i="35" s="1"/>
  <c r="AJ655" i="11"/>
  <c r="AJ669" i="11" s="1"/>
  <c r="J651" i="11"/>
  <c r="G123" i="9"/>
  <c r="E158" i="9"/>
  <c r="J13" i="25"/>
  <c r="A30" i="25"/>
  <c r="D30" i="25" s="1"/>
  <c r="G214" i="9" l="1"/>
  <c r="C623" i="11"/>
  <c r="C624" i="11"/>
  <c r="E32" i="10"/>
  <c r="M32" i="10" s="1"/>
  <c r="E43" i="10"/>
  <c r="E42" i="10"/>
  <c r="E44" i="10"/>
  <c r="E45" i="10"/>
  <c r="C633" i="11"/>
  <c r="F633" i="11"/>
  <c r="M633" i="11"/>
  <c r="E633" i="11"/>
  <c r="N633" i="11"/>
  <c r="G633" i="11"/>
  <c r="K633" i="11"/>
  <c r="D633" i="11"/>
  <c r="L633" i="11"/>
  <c r="J633" i="11"/>
  <c r="H633" i="11"/>
  <c r="I633" i="11"/>
  <c r="M161" i="9"/>
  <c r="M161" i="35"/>
  <c r="M27" i="10"/>
  <c r="J20" i="26"/>
  <c r="M30" i="10"/>
  <c r="J10" i="10"/>
  <c r="K10" i="10" s="1"/>
  <c r="M28" i="10"/>
  <c r="M170" i="35"/>
  <c r="G215" i="35" s="1"/>
  <c r="E171" i="35"/>
  <c r="E179" i="35" s="1"/>
  <c r="M158" i="9"/>
  <c r="E215" i="9" s="1"/>
  <c r="E159" i="9"/>
  <c r="M163" i="35"/>
  <c r="F215" i="35" s="1"/>
  <c r="J17" i="26"/>
  <c r="J14" i="26"/>
  <c r="J19" i="26"/>
  <c r="B77" i="32"/>
  <c r="C40" i="22"/>
  <c r="C38" i="32"/>
  <c r="C15" i="32"/>
  <c r="B31" i="32"/>
  <c r="B47" i="32"/>
  <c r="C61" i="32"/>
  <c r="C23" i="22"/>
  <c r="C57" i="22"/>
  <c r="B24" i="32"/>
  <c r="B54" i="32"/>
  <c r="B70" i="32"/>
  <c r="J15" i="26"/>
  <c r="J22" i="26"/>
  <c r="J655" i="11"/>
  <c r="I675" i="11" s="1"/>
  <c r="G137" i="9"/>
  <c r="E170" i="9" s="1"/>
  <c r="E171" i="9" s="1"/>
  <c r="E179" i="9" s="1"/>
  <c r="G136" i="9"/>
  <c r="E163" i="9" s="1"/>
  <c r="E164" i="9" s="1"/>
  <c r="E177" i="9" s="1"/>
  <c r="J16" i="26"/>
  <c r="J18" i="26"/>
  <c r="J21" i="26"/>
  <c r="B26" i="25"/>
  <c r="C26" i="25" s="1"/>
  <c r="M13" i="25" s="1"/>
  <c r="F3" i="26"/>
  <c r="B26" i="26" s="1"/>
  <c r="C26" i="26" s="1"/>
  <c r="M13" i="26" s="1"/>
  <c r="B21" i="32"/>
  <c r="L20" i="25"/>
  <c r="K13" i="25"/>
  <c r="K22" i="25"/>
  <c r="L21" i="25"/>
  <c r="L13" i="25"/>
  <c r="K20" i="25"/>
  <c r="K21" i="25"/>
  <c r="L22" i="25"/>
  <c r="K14" i="25"/>
  <c r="L17" i="25"/>
  <c r="K18" i="25"/>
  <c r="L16" i="25"/>
  <c r="K17" i="25"/>
  <c r="L15" i="25"/>
  <c r="K16" i="25"/>
  <c r="L19" i="25"/>
  <c r="L14" i="25"/>
  <c r="K15" i="25"/>
  <c r="L18" i="25"/>
  <c r="K19" i="25"/>
  <c r="AH672" i="11"/>
  <c r="AJ672" i="11" s="1"/>
  <c r="AL668" i="11"/>
  <c r="M159" i="35"/>
  <c r="E216" i="35" s="1"/>
  <c r="E176" i="35"/>
  <c r="U206" i="30"/>
  <c r="X206" i="30" s="1"/>
  <c r="E208" i="30"/>
  <c r="U208" i="30" s="1"/>
  <c r="X208" i="30" s="1"/>
  <c r="U205" i="30"/>
  <c r="X205" i="30" s="1"/>
  <c r="E207" i="30"/>
  <c r="U207" i="30" s="1"/>
  <c r="X207" i="30" s="1"/>
  <c r="F214" i="9" l="1"/>
  <c r="F214" i="35"/>
  <c r="M164" i="35"/>
  <c r="C626" i="11"/>
  <c r="J669" i="11"/>
  <c r="L668" i="11" s="1"/>
  <c r="H675" i="11"/>
  <c r="K150" i="9"/>
  <c r="G150" i="9"/>
  <c r="J150" i="9"/>
  <c r="M150" i="9"/>
  <c r="O150" i="9"/>
  <c r="F150" i="9"/>
  <c r="L150" i="9"/>
  <c r="I150" i="9"/>
  <c r="H150" i="9"/>
  <c r="N150" i="9"/>
  <c r="P150" i="9"/>
  <c r="E150" i="9"/>
  <c r="O633" i="11"/>
  <c r="D150" i="9" s="1"/>
  <c r="M153" i="35"/>
  <c r="M150" i="35"/>
  <c r="M151" i="35" s="1"/>
  <c r="J150" i="35"/>
  <c r="J151" i="35" s="1"/>
  <c r="J153" i="35"/>
  <c r="I153" i="35"/>
  <c r="I150" i="35"/>
  <c r="I151" i="35" s="1"/>
  <c r="H153" i="35"/>
  <c r="H150" i="35"/>
  <c r="H151" i="35" s="1"/>
  <c r="K153" i="35"/>
  <c r="K150" i="35"/>
  <c r="K151" i="35" s="1"/>
  <c r="L153" i="35"/>
  <c r="L150" i="35"/>
  <c r="L151" i="35" s="1"/>
  <c r="D150" i="35"/>
  <c r="D151" i="35" s="1"/>
  <c r="E150" i="35"/>
  <c r="E151" i="35" s="1"/>
  <c r="P153" i="35"/>
  <c r="P150" i="35"/>
  <c r="P151" i="35" s="1"/>
  <c r="F153" i="35"/>
  <c r="F150" i="35"/>
  <c r="F151" i="35" s="1"/>
  <c r="O153" i="35"/>
  <c r="O150" i="35"/>
  <c r="O151" i="35" s="1"/>
  <c r="N150" i="35"/>
  <c r="N151" i="35" s="1"/>
  <c r="N153" i="35"/>
  <c r="G153" i="35"/>
  <c r="G150" i="35"/>
  <c r="G151" i="35" s="1"/>
  <c r="J20" i="25"/>
  <c r="J17" i="25"/>
  <c r="J22" i="25"/>
  <c r="X209" i="30"/>
  <c r="B209" i="30" s="1"/>
  <c r="J16" i="25"/>
  <c r="J21" i="25"/>
  <c r="J14" i="25"/>
  <c r="N13" i="25"/>
  <c r="O13" i="25"/>
  <c r="M163" i="9"/>
  <c r="F215" i="9" s="1"/>
  <c r="M171" i="35"/>
  <c r="M179" i="35" s="1"/>
  <c r="M176" i="35"/>
  <c r="J18" i="25"/>
  <c r="J15" i="25"/>
  <c r="M170" i="9"/>
  <c r="B44" i="32"/>
  <c r="G21" i="32"/>
  <c r="H21" i="32" s="1"/>
  <c r="C18" i="32" s="1"/>
  <c r="G18" i="32" s="1"/>
  <c r="H18" i="32" s="1"/>
  <c r="A15" i="32" s="1"/>
  <c r="F24" i="32"/>
  <c r="I24" i="32" s="1"/>
  <c r="J24" i="32" s="1"/>
  <c r="C12" i="32" s="1"/>
  <c r="H672" i="11"/>
  <c r="J672" i="11" s="1"/>
  <c r="M159" i="9"/>
  <c r="E216" i="9" s="1"/>
  <c r="E176" i="9"/>
  <c r="J19" i="25"/>
  <c r="O13" i="26"/>
  <c r="O14" i="26"/>
  <c r="N14" i="26"/>
  <c r="N13" i="26"/>
  <c r="O14" i="25" l="1"/>
  <c r="M166" i="35"/>
  <c r="M177" i="35"/>
  <c r="G215" i="9"/>
  <c r="M171" i="9"/>
  <c r="M179" i="9" s="1"/>
  <c r="M164" i="9"/>
  <c r="M634" i="11"/>
  <c r="K634" i="11"/>
  <c r="I634" i="11"/>
  <c r="N634" i="11"/>
  <c r="E634" i="11"/>
  <c r="F634" i="11"/>
  <c r="C634" i="11"/>
  <c r="L634" i="11"/>
  <c r="G634" i="11"/>
  <c r="D634" i="11"/>
  <c r="J634" i="11"/>
  <c r="H634" i="11"/>
  <c r="J675" i="11"/>
  <c r="I29" i="10"/>
  <c r="M29" i="10" s="1"/>
  <c r="E153" i="35"/>
  <c r="D153" i="35"/>
  <c r="N14" i="25"/>
  <c r="M17" i="26"/>
  <c r="M14" i="26" s="1"/>
  <c r="C34" i="26" s="1"/>
  <c r="F34" i="26" s="1"/>
  <c r="G15" i="32"/>
  <c r="A12" i="32" s="1"/>
  <c r="E12" i="32" s="1"/>
  <c r="A28" i="32"/>
  <c r="F31" i="32"/>
  <c r="H31" i="32" s="1"/>
  <c r="I31" i="32" s="1"/>
  <c r="D28" i="32" s="1"/>
  <c r="I26" i="10"/>
  <c r="M26" i="10" s="1"/>
  <c r="G44" i="32"/>
  <c r="H44" i="32" s="1"/>
  <c r="C41" i="32" s="1"/>
  <c r="G41" i="32" s="1"/>
  <c r="H41" i="32" s="1"/>
  <c r="A38" i="32" s="1"/>
  <c r="B67" i="32"/>
  <c r="F47" i="32"/>
  <c r="I47" i="32" s="1"/>
  <c r="J47" i="32" s="1"/>
  <c r="C35" i="32" s="1"/>
  <c r="M176" i="9"/>
  <c r="M17" i="25" l="1"/>
  <c r="M14" i="25" s="1"/>
  <c r="C42" i="25" s="1"/>
  <c r="F5" i="26" s="1"/>
  <c r="M177" i="9"/>
  <c r="M178" i="35"/>
  <c r="F216" i="35"/>
  <c r="M173" i="35"/>
  <c r="M165" i="35"/>
  <c r="M172" i="35" s="1"/>
  <c r="F148" i="9"/>
  <c r="F151" i="9" s="1"/>
  <c r="D636" i="11"/>
  <c r="F153" i="9" s="1"/>
  <c r="K148" i="9"/>
  <c r="K151" i="9" s="1"/>
  <c r="I636" i="11"/>
  <c r="K153" i="9" s="1"/>
  <c r="I148" i="9"/>
  <c r="I151" i="9" s="1"/>
  <c r="G636" i="11"/>
  <c r="I153" i="9" s="1"/>
  <c r="G148" i="9"/>
  <c r="G151" i="9" s="1"/>
  <c r="E636" i="11"/>
  <c r="G153" i="9" s="1"/>
  <c r="M148" i="9"/>
  <c r="M151" i="9" s="1"/>
  <c r="K636" i="11"/>
  <c r="M153" i="9" s="1"/>
  <c r="L148" i="9"/>
  <c r="L151" i="9" s="1"/>
  <c r="J636" i="11"/>
  <c r="L153" i="9" s="1"/>
  <c r="O634" i="11"/>
  <c r="D148" i="9" s="1"/>
  <c r="D151" i="9" s="1"/>
  <c r="E148" i="9"/>
  <c r="E151" i="9" s="1"/>
  <c r="C636" i="11"/>
  <c r="H148" i="9"/>
  <c r="H151" i="9" s="1"/>
  <c r="F636" i="11"/>
  <c r="H153" i="9" s="1"/>
  <c r="J148" i="9"/>
  <c r="J151" i="9" s="1"/>
  <c r="H636" i="11"/>
  <c r="J153" i="9" s="1"/>
  <c r="N148" i="9"/>
  <c r="N151" i="9" s="1"/>
  <c r="L636" i="11"/>
  <c r="N153" i="9" s="1"/>
  <c r="P148" i="9"/>
  <c r="P151" i="9" s="1"/>
  <c r="N636" i="11"/>
  <c r="P153" i="9" s="1"/>
  <c r="O148" i="9"/>
  <c r="O151" i="9" s="1"/>
  <c r="M636" i="11"/>
  <c r="O153" i="9" s="1"/>
  <c r="G67" i="32"/>
  <c r="H67" i="32" s="1"/>
  <c r="C64" i="32" s="1"/>
  <c r="G64" i="32" s="1"/>
  <c r="H64" i="32" s="1"/>
  <c r="A61" i="32" s="1"/>
  <c r="F70" i="32"/>
  <c r="I70" i="32" s="1"/>
  <c r="J70" i="32" s="1"/>
  <c r="C58" i="32" s="1"/>
  <c r="F54" i="32"/>
  <c r="H54" i="32" s="1"/>
  <c r="I54" i="32" s="1"/>
  <c r="D51" i="32" s="1"/>
  <c r="G38" i="32"/>
  <c r="A35" i="32" s="1"/>
  <c r="E35" i="32" s="1"/>
  <c r="A51" i="32"/>
  <c r="G28" i="32"/>
  <c r="C10" i="22"/>
  <c r="F557" i="11"/>
  <c r="D42" i="25" l="1"/>
  <c r="G216" i="35"/>
  <c r="M180" i="35"/>
  <c r="E687" i="11" s="1"/>
  <c r="C2" i="36" s="1"/>
  <c r="P181" i="35"/>
  <c r="M181" i="35" s="1"/>
  <c r="E153" i="9"/>
  <c r="O636" i="11"/>
  <c r="G51" i="32"/>
  <c r="D40" i="22" s="1"/>
  <c r="C27" i="22"/>
  <c r="F558" i="11"/>
  <c r="G61" i="32"/>
  <c r="A58" i="32" s="1"/>
  <c r="E58" i="32" s="1"/>
  <c r="A74" i="32"/>
  <c r="F77" i="32"/>
  <c r="H77" i="32" s="1"/>
  <c r="I77" i="32" s="1"/>
  <c r="D74" i="32" s="1"/>
  <c r="G10" i="22"/>
  <c r="B65" i="22" s="1"/>
  <c r="D10" i="22"/>
  <c r="B60" i="22" s="1"/>
  <c r="D23" i="22"/>
  <c r="G557" i="11"/>
  <c r="F15" i="10" l="1"/>
  <c r="F16" i="10" s="1"/>
  <c r="C2" i="8"/>
  <c r="D153" i="9"/>
  <c r="M165" i="9" s="1"/>
  <c r="G558" i="11"/>
  <c r="F559" i="11"/>
  <c r="C44" i="22"/>
  <c r="E40" i="22"/>
  <c r="C61" i="22" s="1"/>
  <c r="G40" i="22"/>
  <c r="C66" i="22" s="1"/>
  <c r="E23" i="22"/>
  <c r="C60" i="22" s="1"/>
  <c r="G23" i="22"/>
  <c r="C65" i="22" s="1"/>
  <c r="G27" i="22"/>
  <c r="B66" i="22" s="1"/>
  <c r="D27" i="22"/>
  <c r="B61" i="22" s="1"/>
  <c r="G74" i="32"/>
  <c r="I42" i="10" l="1"/>
  <c r="I45" i="10"/>
  <c r="I44" i="10"/>
  <c r="I43" i="10"/>
  <c r="M172" i="9"/>
  <c r="M173" i="9" s="1"/>
  <c r="M166" i="9"/>
  <c r="G559" i="11"/>
  <c r="D57" i="22"/>
  <c r="G44" i="22"/>
  <c r="B67" i="22" s="1"/>
  <c r="E67" i="22" s="1"/>
  <c r="E357" i="11" s="1"/>
  <c r="D44" i="22"/>
  <c r="B62" i="22" s="1"/>
  <c r="E62" i="22" s="1"/>
  <c r="E356" i="11" s="1"/>
  <c r="G216" i="9" l="1"/>
  <c r="M180" i="9"/>
  <c r="E686" i="11" s="1"/>
  <c r="B2" i="36" s="1"/>
  <c r="H3" i="36" s="1"/>
  <c r="M178" i="9"/>
  <c r="F216" i="9"/>
  <c r="P181" i="9"/>
  <c r="E57" i="22"/>
  <c r="C62" i="22" s="1"/>
  <c r="F62" i="22" s="1"/>
  <c r="F356" i="11" s="1"/>
  <c r="G57" i="22"/>
  <c r="C67" i="22" s="1"/>
  <c r="F67" i="22" s="1"/>
  <c r="F357" i="11" s="1"/>
  <c r="B2" i="8" l="1"/>
  <c r="I40" i="10"/>
  <c r="M45" i="10" s="1"/>
  <c r="F14" i="10"/>
  <c r="J16" i="10" s="1"/>
  <c r="M181" i="9"/>
  <c r="B20" i="10" l="1"/>
  <c r="K16" i="10"/>
  <c r="M42" i="10"/>
  <c r="E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Kati C. Jagnow</author>
  </authors>
  <commentList>
    <comment ref="I7" authorId="0" shapeId="0" xr:uid="{00000000-0006-0000-0100-000001000000}">
      <text>
        <r>
          <rPr>
            <b/>
            <sz val="8"/>
            <color indexed="81"/>
            <rFont val="Tahoma"/>
            <family val="2"/>
          </rPr>
          <t>Hinweise stehen an Kästchen mit rot markierter Ecke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Jagnow</author>
  </authors>
  <commentList>
    <comment ref="F13" authorId="0" shapeId="0" xr:uid="{00000000-0006-0000-0200-000001000000}">
      <text>
        <r>
          <rPr>
            <sz val="10"/>
            <color indexed="81"/>
            <rFont val="Tahoma"/>
            <family val="2"/>
          </rPr>
          <t xml:space="preserve">Hier können Sie den Projektnamen eingeben. Der Name wird auf jedem Blatt angezeigt.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Jagnow</author>
    <author>Kati C. Jagnow</author>
  </authors>
  <commentList>
    <comment ref="B2" authorId="0" shapeId="0" xr:uid="{491370E9-A9C4-41D2-872A-74099E495511}">
      <text>
        <r>
          <rPr>
            <sz val="10"/>
            <color indexed="81"/>
            <rFont val="Tahoma"/>
            <family val="2"/>
          </rPr>
          <t>Diese Angabe erscheint nur, wenn die Eingabe von Gebäude und Anlage abgeschlossen ist. 
Wenn für die Anlage noch "- - -" in einem der Eingabefelder steht, dann wird der Wert nicht berechnet.</t>
        </r>
      </text>
    </comment>
    <comment ref="G9" authorId="1" shapeId="0" xr:uid="{00000000-0006-0000-0300-000002000000}">
      <text>
        <r>
          <rPr>
            <b/>
            <sz val="8"/>
            <color indexed="81"/>
            <rFont val="Tahoma"/>
            <family val="2"/>
          </rPr>
          <t>exakte Eingabe erforderlich, wenn über 3 m oder unter 2,5 m.</t>
        </r>
      </text>
    </comment>
    <comment ref="O37" authorId="1" shapeId="0" xr:uid="{00000000-0006-0000-0300-000003000000}">
      <text>
        <r>
          <rPr>
            <b/>
            <sz val="8"/>
            <color indexed="81"/>
            <rFont val="Tahoma"/>
            <family val="2"/>
          </rPr>
          <t>Wert wird nur für den unteren Gebäudeabschluss benötigt.</t>
        </r>
      </text>
    </comment>
    <comment ref="P37" authorId="1" shapeId="0" xr:uid="{00000000-0006-0000-0300-000004000000}">
      <text>
        <r>
          <rPr>
            <b/>
            <sz val="8"/>
            <color indexed="81"/>
            <rFont val="Tahoma"/>
            <family val="2"/>
          </rPr>
          <t>Gesamter (exponierter) Umfang der Bodenplatte. Wert wird nur für Bauteile des unteren Gebäudeabschlusses benötigt.</t>
        </r>
      </text>
    </comment>
    <comment ref="O38" authorId="1" shapeId="0" xr:uid="{7D5DA706-67E9-4A2A-84F8-F9B374DB967E}">
      <text>
        <r>
          <rPr>
            <b/>
            <sz val="8"/>
            <color indexed="81"/>
            <rFont val="Tahoma"/>
            <family val="2"/>
          </rPr>
          <t>Wert wird nur für den unteren Gebäudeabschluss benötigt.</t>
        </r>
      </text>
    </comment>
    <comment ref="P38" authorId="1" shapeId="0" xr:uid="{4216A746-20E1-4022-9795-A9C8E513D215}">
      <text>
        <r>
          <rPr>
            <b/>
            <sz val="8"/>
            <color indexed="81"/>
            <rFont val="Tahoma"/>
            <family val="2"/>
          </rPr>
          <t>Gesamter (exponierter) Umfang der Bodenplatte. Wert wird nur für Bauteile des unteren Gebäudeabschlusses benötigt.</t>
        </r>
      </text>
    </comment>
    <comment ref="O39" authorId="1" shapeId="0" xr:uid="{ADE19B67-FBAC-44C9-B990-D1A89BE5622D}">
      <text>
        <r>
          <rPr>
            <b/>
            <sz val="8"/>
            <color indexed="81"/>
            <rFont val="Tahoma"/>
            <family val="2"/>
          </rPr>
          <t>Wert wird nur für den unteren Gebäudeabschluss benötigt.</t>
        </r>
      </text>
    </comment>
    <comment ref="P39" authorId="1" shapeId="0" xr:uid="{6137E1BD-CECA-4BB7-8A06-45F58182D41B}">
      <text>
        <r>
          <rPr>
            <b/>
            <sz val="8"/>
            <color indexed="81"/>
            <rFont val="Tahoma"/>
            <family val="2"/>
          </rPr>
          <t>Gesamter (exponierter) Umfang der Bodenplatte. Wert wird nur für Bauteile des unteren Gebäudeabschlusses benötigt.</t>
        </r>
      </text>
    </comment>
    <comment ref="O40" authorId="1" shapeId="0" xr:uid="{F55D9E9A-48CE-400F-BEB6-E4FE62CE8540}">
      <text>
        <r>
          <rPr>
            <b/>
            <sz val="8"/>
            <color indexed="81"/>
            <rFont val="Tahoma"/>
            <family val="2"/>
          </rPr>
          <t>Wert wird nur für den unteren Gebäudeabschluss benötigt.</t>
        </r>
      </text>
    </comment>
    <comment ref="P40" authorId="1" shapeId="0" xr:uid="{7B0FAECB-06B4-4D87-92C7-EE786365D6FA}">
      <text>
        <r>
          <rPr>
            <b/>
            <sz val="8"/>
            <color indexed="81"/>
            <rFont val="Tahoma"/>
            <family val="2"/>
          </rPr>
          <t>Gesamter (exponierter) Umfang der Bodenplatte. Wert wird nur für Bauteile des unteren Gebäudeabschlusses benötigt.</t>
        </r>
      </text>
    </comment>
    <comment ref="O41" authorId="1" shapeId="0" xr:uid="{E1B251F4-F959-46B6-B5C2-087B8501C854}">
      <text>
        <r>
          <rPr>
            <b/>
            <sz val="8"/>
            <color indexed="81"/>
            <rFont val="Tahoma"/>
            <family val="2"/>
          </rPr>
          <t>Wert wird nur für den unteren Gebäudeabschluss benötigt.</t>
        </r>
      </text>
    </comment>
    <comment ref="P41" authorId="1" shapeId="0" xr:uid="{4FD6DCF8-E96C-45C3-928A-5D437A7C1526}">
      <text>
        <r>
          <rPr>
            <b/>
            <sz val="8"/>
            <color indexed="81"/>
            <rFont val="Tahoma"/>
            <family val="2"/>
          </rPr>
          <t>Gesamter (exponierter) Umfang der Bodenplatte. Wert wird nur für Bauteile des unteren Gebäudeabschlusses benötigt.</t>
        </r>
      </text>
    </comment>
    <comment ref="O42" authorId="1" shapeId="0" xr:uid="{BE5C03EE-9CAD-4C27-928D-00D6AFFA2C99}">
      <text>
        <r>
          <rPr>
            <b/>
            <sz val="8"/>
            <color indexed="81"/>
            <rFont val="Tahoma"/>
            <family val="2"/>
          </rPr>
          <t>Wert wird nur für den unteren Gebäudeabschluss benötigt.</t>
        </r>
      </text>
    </comment>
    <comment ref="P42" authorId="1" shapeId="0" xr:uid="{0F0AF702-895F-4805-B52C-F53A0BBD55C6}">
      <text>
        <r>
          <rPr>
            <b/>
            <sz val="8"/>
            <color indexed="81"/>
            <rFont val="Tahoma"/>
            <family val="2"/>
          </rPr>
          <t>Gesamter (exponierter) Umfang der Bodenplatte. Wert wird nur für Bauteile des unteren Gebäudeabschlusses benötigt.</t>
        </r>
      </text>
    </comment>
    <comment ref="O43" authorId="1" shapeId="0" xr:uid="{369200FB-7C75-4094-B6C7-016B73357BC9}">
      <text>
        <r>
          <rPr>
            <b/>
            <sz val="8"/>
            <color indexed="81"/>
            <rFont val="Tahoma"/>
            <family val="2"/>
          </rPr>
          <t>Wert wird nur für den unteren Gebäudeabschluss benötigt.</t>
        </r>
      </text>
    </comment>
    <comment ref="P43" authorId="1" shapeId="0" xr:uid="{474C851C-943F-4542-89E6-4C7000294219}">
      <text>
        <r>
          <rPr>
            <b/>
            <sz val="8"/>
            <color indexed="81"/>
            <rFont val="Tahoma"/>
            <family val="2"/>
          </rPr>
          <t>Gesamter (exponierter) Umfang der Bodenplatte. Wert wird nur für Bauteile des unteren Gebäudeabschlusses benötigt.</t>
        </r>
      </text>
    </comment>
    <comment ref="O44" authorId="1" shapeId="0" xr:uid="{5ADAF394-B471-4EE8-9900-4D619F5FEE44}">
      <text>
        <r>
          <rPr>
            <b/>
            <sz val="8"/>
            <color indexed="81"/>
            <rFont val="Tahoma"/>
            <family val="2"/>
          </rPr>
          <t>Wert wird nur für den unteren Gebäudeabschluss benötigt.</t>
        </r>
      </text>
    </comment>
    <comment ref="P44" authorId="1" shapeId="0" xr:uid="{B4ABEF2E-8476-44CC-8FD4-F875A8CC5816}">
      <text>
        <r>
          <rPr>
            <b/>
            <sz val="8"/>
            <color indexed="81"/>
            <rFont val="Tahoma"/>
            <family val="2"/>
          </rPr>
          <t>Gesamter (exponierter) Umfang der Bodenplatte. Wert wird nur für Bauteile des unteren Gebäudeabschlusses benötigt.</t>
        </r>
      </text>
    </comment>
    <comment ref="O45" authorId="1" shapeId="0" xr:uid="{04B78FE7-9021-404D-9B12-0D934A43532C}">
      <text>
        <r>
          <rPr>
            <b/>
            <sz val="8"/>
            <color indexed="81"/>
            <rFont val="Tahoma"/>
            <family val="2"/>
          </rPr>
          <t>Wert wird nur für den unteren Gebäudeabschluss benötigt.</t>
        </r>
      </text>
    </comment>
    <comment ref="P45" authorId="1" shapeId="0" xr:uid="{97450222-4685-427F-9A33-CAC93C4F4E25}">
      <text>
        <r>
          <rPr>
            <b/>
            <sz val="8"/>
            <color indexed="81"/>
            <rFont val="Tahoma"/>
            <family val="2"/>
          </rPr>
          <t>Gesamter (exponierter) Umfang der Bodenplatte. Wert wird nur für Bauteile des unteren Gebäudeabschlusses benötigt.</t>
        </r>
      </text>
    </comment>
    <comment ref="O46" authorId="1" shapeId="0" xr:uid="{3F49632C-5A3D-4B63-9C7D-2C711E402F99}">
      <text>
        <r>
          <rPr>
            <b/>
            <sz val="8"/>
            <color indexed="81"/>
            <rFont val="Tahoma"/>
            <family val="2"/>
          </rPr>
          <t>Wert wird nur für den unteren Gebäudeabschluss benötigt.</t>
        </r>
      </text>
    </comment>
    <comment ref="P46" authorId="1" shapeId="0" xr:uid="{35797BDD-4010-49B1-93F7-F1D5955A3E69}">
      <text>
        <r>
          <rPr>
            <b/>
            <sz val="8"/>
            <color indexed="81"/>
            <rFont val="Tahoma"/>
            <family val="2"/>
          </rPr>
          <t>Gesamter (exponierter) Umfang der Bodenplatte. Wert wird nur für Bauteile des unteren Gebäudeabschlusses benötigt.</t>
        </r>
      </text>
    </comment>
    <comment ref="O47" authorId="1" shapeId="0" xr:uid="{FD124797-D0EF-4114-AC49-567104DEA8B6}">
      <text>
        <r>
          <rPr>
            <b/>
            <sz val="8"/>
            <color indexed="81"/>
            <rFont val="Tahoma"/>
            <family val="2"/>
          </rPr>
          <t>Wert wird nur für den unteren Gebäudeabschluss benötigt.</t>
        </r>
      </text>
    </comment>
    <comment ref="P47" authorId="1" shapeId="0" xr:uid="{D4DD005F-F35F-4C79-A6FF-59DD628AB1AD}">
      <text>
        <r>
          <rPr>
            <b/>
            <sz val="8"/>
            <color indexed="81"/>
            <rFont val="Tahoma"/>
            <family val="2"/>
          </rPr>
          <t>Gesamter (exponierter) Umfang der Bodenplatte. Wert wird nur für Bauteile des unteren Gebäudeabschlusses benötigt.</t>
        </r>
      </text>
    </comment>
    <comment ref="O48" authorId="1" shapeId="0" xr:uid="{E0523338-1E3B-4A8E-9B8B-B4B388D3961C}">
      <text>
        <r>
          <rPr>
            <b/>
            <sz val="8"/>
            <color indexed="81"/>
            <rFont val="Tahoma"/>
            <family val="2"/>
          </rPr>
          <t>Wert wird nur für den unteren Gebäudeabschluss benötigt.</t>
        </r>
      </text>
    </comment>
    <comment ref="P48" authorId="1" shapeId="0" xr:uid="{39281F26-0F4F-4B85-B056-92B89278DA3B}">
      <text>
        <r>
          <rPr>
            <b/>
            <sz val="8"/>
            <color indexed="81"/>
            <rFont val="Tahoma"/>
            <family val="2"/>
          </rPr>
          <t>Gesamter (exponierter) Umfang der Bodenplatte. Wert wird nur für Bauteile des unteren Gebäudeabschlusses benötigt.</t>
        </r>
      </text>
    </comment>
    <comment ref="O49" authorId="1" shapeId="0" xr:uid="{AF88C39F-A427-4227-A47A-C55393B5026D}">
      <text>
        <r>
          <rPr>
            <b/>
            <sz val="8"/>
            <color indexed="81"/>
            <rFont val="Tahoma"/>
            <family val="2"/>
          </rPr>
          <t>Wert wird nur für den unteren Gebäudeabschluss benötigt.</t>
        </r>
      </text>
    </comment>
    <comment ref="P49" authorId="1" shapeId="0" xr:uid="{689302EA-1395-4C3A-807F-EAA2821C5A9D}">
      <text>
        <r>
          <rPr>
            <b/>
            <sz val="8"/>
            <color indexed="81"/>
            <rFont val="Tahoma"/>
            <family val="2"/>
          </rPr>
          <t>Gesamter (exponierter) Umfang der Bodenplatte. Wert wird nur für Bauteile des unteren Gebäudeabschlusses benötigt.</t>
        </r>
      </text>
    </comment>
    <comment ref="O50" authorId="1" shapeId="0" xr:uid="{B804BF2C-B6FF-4879-9E3C-ED5F382FFD7D}">
      <text>
        <r>
          <rPr>
            <b/>
            <sz val="8"/>
            <color indexed="81"/>
            <rFont val="Tahoma"/>
            <family val="2"/>
          </rPr>
          <t>Wert wird nur für den unteren Gebäudeabschluss benötigt.</t>
        </r>
      </text>
    </comment>
    <comment ref="P50" authorId="1" shapeId="0" xr:uid="{5B0D2403-69A6-4DBD-BB1C-1C36596A0B2B}">
      <text>
        <r>
          <rPr>
            <b/>
            <sz val="8"/>
            <color indexed="81"/>
            <rFont val="Tahoma"/>
            <family val="2"/>
          </rPr>
          <t>Gesamter (exponierter) Umfang der Bodenplatte. Wert wird nur für Bauteile des unteren Gebäudeabschlusses benötigt.</t>
        </r>
      </text>
    </comment>
    <comment ref="O51" authorId="1" shapeId="0" xr:uid="{4CAA0232-8E51-4826-9F04-7469A39682F2}">
      <text>
        <r>
          <rPr>
            <b/>
            <sz val="8"/>
            <color indexed="81"/>
            <rFont val="Tahoma"/>
            <family val="2"/>
          </rPr>
          <t>Wert wird nur für den unteren Gebäudeabschluss benötigt.</t>
        </r>
      </text>
    </comment>
    <comment ref="P51" authorId="1" shapeId="0" xr:uid="{26077F60-6E60-494A-A657-C93824188AE3}">
      <text>
        <r>
          <rPr>
            <b/>
            <sz val="8"/>
            <color indexed="81"/>
            <rFont val="Tahoma"/>
            <family val="2"/>
          </rPr>
          <t>Gesamter (exponierter) Umfang der Bodenplatte. Wert wird nur für Bauteile des unteren Gebäudeabschlusses benötigt.</t>
        </r>
      </text>
    </comment>
    <comment ref="O52" authorId="1" shapeId="0" xr:uid="{430E381F-B2A8-44F7-805C-8B7CC2AEDAA9}">
      <text>
        <r>
          <rPr>
            <b/>
            <sz val="8"/>
            <color indexed="81"/>
            <rFont val="Tahoma"/>
            <family val="2"/>
          </rPr>
          <t>Wert wird nur für den unteren Gebäudeabschluss benötigt.</t>
        </r>
      </text>
    </comment>
    <comment ref="P52" authorId="1" shapeId="0" xr:uid="{D336C34A-2ABF-44C8-8451-ADF3499086A7}">
      <text>
        <r>
          <rPr>
            <b/>
            <sz val="8"/>
            <color indexed="81"/>
            <rFont val="Tahoma"/>
            <family val="2"/>
          </rPr>
          <t>Gesamter (exponierter) Umfang der Bodenplatte. Wert wird nur für Bauteile des unteren Gebäudeabschlusses benötigt.</t>
        </r>
      </text>
    </comment>
    <comment ref="O53" authorId="1" shapeId="0" xr:uid="{3384AC75-F4DF-4D91-AD96-2F0BFF2C5C09}">
      <text>
        <r>
          <rPr>
            <b/>
            <sz val="8"/>
            <color indexed="81"/>
            <rFont val="Tahoma"/>
            <family val="2"/>
          </rPr>
          <t>Wert wird nur für den unteren Gebäudeabschluss benötigt.</t>
        </r>
      </text>
    </comment>
    <comment ref="P53" authorId="1" shapeId="0" xr:uid="{878ED2E4-D5ED-478D-BEB7-1A9FBBE0F441}">
      <text>
        <r>
          <rPr>
            <b/>
            <sz val="8"/>
            <color indexed="81"/>
            <rFont val="Tahoma"/>
            <family val="2"/>
          </rPr>
          <t>Gesamter (exponierter) Umfang der Bodenplatte. Wert wird nur für Bauteile des unteren Gebäudeabschlusses benötigt.</t>
        </r>
      </text>
    </comment>
    <comment ref="O54" authorId="1" shapeId="0" xr:uid="{44FEBEA4-F1C9-4EC0-BD89-973A8771AB39}">
      <text>
        <r>
          <rPr>
            <b/>
            <sz val="8"/>
            <color indexed="81"/>
            <rFont val="Tahoma"/>
            <family val="2"/>
          </rPr>
          <t>Wert wird nur für den unteren Gebäudeabschluss benötigt.</t>
        </r>
      </text>
    </comment>
    <comment ref="P54" authorId="1" shapeId="0" xr:uid="{0C5FE1AE-B97F-4353-8725-D6C29218E216}">
      <text>
        <r>
          <rPr>
            <b/>
            <sz val="8"/>
            <color indexed="81"/>
            <rFont val="Tahoma"/>
            <family val="2"/>
          </rPr>
          <t>Gesamter (exponierter) Umfang der Bodenplatte. Wert wird nur für Bauteile des unteren Gebäudeabschlusses benötigt.</t>
        </r>
      </text>
    </comment>
    <comment ref="O55" authorId="1" shapeId="0" xr:uid="{8AB3C3A8-070F-422B-BA91-8CE029342C2D}">
      <text>
        <r>
          <rPr>
            <b/>
            <sz val="8"/>
            <color indexed="81"/>
            <rFont val="Tahoma"/>
            <family val="2"/>
          </rPr>
          <t>Wert wird nur für den unteren Gebäudeabschluss benötigt.</t>
        </r>
      </text>
    </comment>
    <comment ref="P55" authorId="1" shapeId="0" xr:uid="{4673DE19-3535-420D-9187-26EF10896CF6}">
      <text>
        <r>
          <rPr>
            <b/>
            <sz val="8"/>
            <color indexed="81"/>
            <rFont val="Tahoma"/>
            <family val="2"/>
          </rPr>
          <t>Gesamter (exponierter) Umfang der Bodenplatte. Wert wird nur für Bauteile des unteren Gebäudeabschlusses benötigt.</t>
        </r>
      </text>
    </comment>
    <comment ref="O56" authorId="1" shapeId="0" xr:uid="{49572FAF-15BC-4C8C-A02B-3D50AC367915}">
      <text>
        <r>
          <rPr>
            <b/>
            <sz val="8"/>
            <color indexed="81"/>
            <rFont val="Tahoma"/>
            <family val="2"/>
          </rPr>
          <t>Wert wird nur für den unteren Gebäudeabschluss benötigt.</t>
        </r>
      </text>
    </comment>
    <comment ref="P56" authorId="1" shapeId="0" xr:uid="{6E5307E2-BDC7-4C6C-AA90-097AA7A3B020}">
      <text>
        <r>
          <rPr>
            <b/>
            <sz val="8"/>
            <color indexed="81"/>
            <rFont val="Tahoma"/>
            <family val="2"/>
          </rPr>
          <t>Gesamter (exponierter) Umfang der Bodenplatte. Wert wird nur für Bauteile des unteren Gebäudeabschlusses benötigt.</t>
        </r>
      </text>
    </comment>
    <comment ref="O57" authorId="1" shapeId="0" xr:uid="{39E66092-495C-4742-A998-CBAE5EC040A4}">
      <text>
        <r>
          <rPr>
            <b/>
            <sz val="8"/>
            <color indexed="81"/>
            <rFont val="Tahoma"/>
            <family val="2"/>
          </rPr>
          <t>Wert wird nur für den unteren Gebäudeabschluss benötigt.</t>
        </r>
      </text>
    </comment>
    <comment ref="P57" authorId="1" shapeId="0" xr:uid="{C354F7DF-D60C-4AA5-8DAF-3F240EC21535}">
      <text>
        <r>
          <rPr>
            <b/>
            <sz val="8"/>
            <color indexed="81"/>
            <rFont val="Tahoma"/>
            <family val="2"/>
          </rPr>
          <t>Gesamter (exponierter) Umfang der Bodenplatte. Wert wird nur für Bauteile des unteren Gebäudeabschlusses benötigt.</t>
        </r>
      </text>
    </comment>
    <comment ref="O58" authorId="1" shapeId="0" xr:uid="{3D49004D-4FA0-4C85-BD72-94025F2F8C6A}">
      <text>
        <r>
          <rPr>
            <b/>
            <sz val="8"/>
            <color indexed="81"/>
            <rFont val="Tahoma"/>
            <family val="2"/>
          </rPr>
          <t>Wert wird nur für den unteren Gebäudeabschluss benötigt.</t>
        </r>
      </text>
    </comment>
    <comment ref="P58" authorId="1" shapeId="0" xr:uid="{81BFC3AA-6DCE-4226-A27B-4BE930A9AD14}">
      <text>
        <r>
          <rPr>
            <b/>
            <sz val="8"/>
            <color indexed="81"/>
            <rFont val="Tahoma"/>
            <family val="2"/>
          </rPr>
          <t>Gesamter (exponierter) Umfang der Bodenplatte. Wert wird nur für Bauteile des unteren Gebäudeabschlusses benötigt.</t>
        </r>
      </text>
    </comment>
    <comment ref="O59" authorId="1" shapeId="0" xr:uid="{56EF9705-B5F8-4251-AF2E-81E3FD4D7883}">
      <text>
        <r>
          <rPr>
            <b/>
            <sz val="8"/>
            <color indexed="81"/>
            <rFont val="Tahoma"/>
            <family val="2"/>
          </rPr>
          <t>Wert wird nur für den unteren Gebäudeabschluss benötigt.</t>
        </r>
      </text>
    </comment>
    <comment ref="P59" authorId="1" shapeId="0" xr:uid="{D0F8A165-E24F-47E6-A474-D81522DB0E90}">
      <text>
        <r>
          <rPr>
            <b/>
            <sz val="8"/>
            <color indexed="81"/>
            <rFont val="Tahoma"/>
            <family val="2"/>
          </rPr>
          <t>Gesamter (exponierter) Umfang der Bodenplatte. Wert wird nur für Bauteile des unteren Gebäudeabschlusses benötigt.</t>
        </r>
      </text>
    </comment>
    <comment ref="O60" authorId="1" shapeId="0" xr:uid="{686D1AF8-B3DA-4656-A4B7-DF21F30301B3}">
      <text>
        <r>
          <rPr>
            <b/>
            <sz val="8"/>
            <color indexed="81"/>
            <rFont val="Tahoma"/>
            <family val="2"/>
          </rPr>
          <t>Wert wird nur für den unteren Gebäudeabschluss benötigt.</t>
        </r>
      </text>
    </comment>
    <comment ref="P60" authorId="1" shapeId="0" xr:uid="{EE8DADCD-9FA2-4062-96C0-7DA5415A55A8}">
      <text>
        <r>
          <rPr>
            <b/>
            <sz val="8"/>
            <color indexed="81"/>
            <rFont val="Tahoma"/>
            <family val="2"/>
          </rPr>
          <t>Gesamter (exponierter) Umfang der Bodenplatte. Wert wird nur für Bauteile des unteren Gebäudeabschlusses benötigt.</t>
        </r>
      </text>
    </comment>
    <comment ref="O61" authorId="1" shapeId="0" xr:uid="{0CA10999-0416-47BE-9AF5-6329E6D1CE2D}">
      <text>
        <r>
          <rPr>
            <b/>
            <sz val="8"/>
            <color indexed="81"/>
            <rFont val="Tahoma"/>
            <family val="2"/>
          </rPr>
          <t>Wert wird nur für den unteren Gebäudeabschluss benötigt.</t>
        </r>
      </text>
    </comment>
    <comment ref="P61" authorId="1" shapeId="0" xr:uid="{FB3AF5AB-A281-436D-B415-1B82FF5328E9}">
      <text>
        <r>
          <rPr>
            <b/>
            <sz val="8"/>
            <color indexed="81"/>
            <rFont val="Tahoma"/>
            <family val="2"/>
          </rPr>
          <t>Gesamter (exponierter) Umfang der Bodenplatte. Wert wird nur für Bauteile des unteren Gebäudeabschlusses benötigt.</t>
        </r>
      </text>
    </comment>
    <comment ref="O62" authorId="1" shapeId="0" xr:uid="{2A1602A1-989A-4719-B353-F0B519E257B4}">
      <text>
        <r>
          <rPr>
            <b/>
            <sz val="8"/>
            <color indexed="81"/>
            <rFont val="Tahoma"/>
            <family val="2"/>
          </rPr>
          <t>Wert wird nur für den unteren Gebäudeabschluss benötigt.</t>
        </r>
      </text>
    </comment>
    <comment ref="P62" authorId="1" shapeId="0" xr:uid="{EE188065-B5B6-47F9-B1A3-8D0A3914BD71}">
      <text>
        <r>
          <rPr>
            <b/>
            <sz val="8"/>
            <color indexed="81"/>
            <rFont val="Tahoma"/>
            <family val="2"/>
          </rPr>
          <t>Gesamter (exponierter) Umfang der Bodenplatte. Wert wird nur für Bauteile des unteren Gebäudeabschlusses benötigt.</t>
        </r>
      </text>
    </comment>
    <comment ref="O63" authorId="1" shapeId="0" xr:uid="{62C4C098-E8EB-4658-A700-F42B43546827}">
      <text>
        <r>
          <rPr>
            <b/>
            <sz val="8"/>
            <color indexed="81"/>
            <rFont val="Tahoma"/>
            <family val="2"/>
          </rPr>
          <t>Wert wird nur für den unteren Gebäudeabschluss benötigt.</t>
        </r>
      </text>
    </comment>
    <comment ref="P63" authorId="1" shapeId="0" xr:uid="{756AA4DB-9038-4C22-87A2-F12DCF18809D}">
      <text>
        <r>
          <rPr>
            <b/>
            <sz val="8"/>
            <color indexed="81"/>
            <rFont val="Tahoma"/>
            <family val="2"/>
          </rPr>
          <t>Gesamter (exponierter) Umfang der Bodenplatte. Wert wird nur für Bauteile des unteren Gebäudeabschlusses benötigt.</t>
        </r>
      </text>
    </comment>
    <comment ref="O64" authorId="1" shapeId="0" xr:uid="{74EC69C1-5C95-44FB-BE8F-197D1E23649E}">
      <text>
        <r>
          <rPr>
            <b/>
            <sz val="8"/>
            <color indexed="81"/>
            <rFont val="Tahoma"/>
            <family val="2"/>
          </rPr>
          <t>Wert wird nur für den unteren Gebäudeabschluss benötigt.</t>
        </r>
      </text>
    </comment>
    <comment ref="P64" authorId="1" shapeId="0" xr:uid="{B67DBB24-260B-4DCC-B023-66480F1491F0}">
      <text>
        <r>
          <rPr>
            <b/>
            <sz val="8"/>
            <color indexed="81"/>
            <rFont val="Tahoma"/>
            <family val="2"/>
          </rPr>
          <t>Gesamter (exponierter) Umfang der Bodenplatte. Wert wird nur für Bauteile des unteren Gebäudeabschlusses benötigt.</t>
        </r>
      </text>
    </comment>
    <comment ref="O65" authorId="1" shapeId="0" xr:uid="{8C506100-A4A2-4A44-8D08-CECB0097D698}">
      <text>
        <r>
          <rPr>
            <b/>
            <sz val="8"/>
            <color indexed="81"/>
            <rFont val="Tahoma"/>
            <family val="2"/>
          </rPr>
          <t>Wert wird nur für den unteren Gebäudeabschluss benötigt.</t>
        </r>
      </text>
    </comment>
    <comment ref="P65" authorId="1" shapeId="0" xr:uid="{E8A468FD-2052-4B99-AA48-E2030AD18839}">
      <text>
        <r>
          <rPr>
            <b/>
            <sz val="8"/>
            <color indexed="81"/>
            <rFont val="Tahoma"/>
            <family val="2"/>
          </rPr>
          <t>Gesamter (exponierter) Umfang der Bodenplatte. Wert wird nur für Bauteile des unteren Gebäudeabschlusses benötigt.</t>
        </r>
      </text>
    </comment>
    <comment ref="O66" authorId="1" shapeId="0" xr:uid="{8B872BB2-458C-4E52-AA01-60F545135F30}">
      <text>
        <r>
          <rPr>
            <b/>
            <sz val="8"/>
            <color indexed="81"/>
            <rFont val="Tahoma"/>
            <family val="2"/>
          </rPr>
          <t>Wert wird nur für den unteren Gebäudeabschluss benötigt.</t>
        </r>
      </text>
    </comment>
    <comment ref="P66" authorId="1" shapeId="0" xr:uid="{A443E99A-45EA-4F24-BD1F-C49239BEFA43}">
      <text>
        <r>
          <rPr>
            <b/>
            <sz val="8"/>
            <color indexed="81"/>
            <rFont val="Tahoma"/>
            <family val="2"/>
          </rPr>
          <t>Gesamter (exponierter) Umfang der Bodenplatte. Wert wird nur für Bauteile des unteren Gebäudeabschlusses benötigt.</t>
        </r>
      </text>
    </comment>
    <comment ref="J111" authorId="1" shapeId="0" xr:uid="{00000000-0006-0000-0300-00003F000000}">
      <text>
        <r>
          <rPr>
            <b/>
            <sz val="8"/>
            <color indexed="81"/>
            <rFont val="Tahoma"/>
            <family val="2"/>
          </rPr>
          <t>Wert nicht berücksichtigen: keine Eingabe (0)
Standard: 0,6
nur bei dunklen Dächern: 0,8</t>
        </r>
      </text>
    </comment>
    <comment ref="O111" authorId="1" shapeId="0" xr:uid="{00000000-0006-0000-0300-000040000000}">
      <text>
        <r>
          <rPr>
            <b/>
            <sz val="8"/>
            <color indexed="81"/>
            <rFont val="Tahoma"/>
            <family val="2"/>
          </rPr>
          <t>0,9: für übliche Anwendungsfälle
Liegt Verschattung vor, ist der Wert detailliert zu berechnen oder Nordorientierung einzusetzen.</t>
        </r>
      </text>
    </comment>
    <comment ref="P111" authorId="1" shapeId="0" xr:uid="{00000000-0006-0000-0300-000041000000}">
      <text>
        <r>
          <rPr>
            <b/>
            <sz val="8"/>
            <color indexed="81"/>
            <rFont val="Tahoma"/>
            <family val="2"/>
          </rPr>
          <t>sofern keine Rahmenanteile bekannt sind, ist 0,7 anzusetzen.</t>
        </r>
      </text>
    </comment>
    <comment ref="J112" authorId="1" shapeId="0" xr:uid="{A5532286-88AE-4452-A2F2-6C641E4250EB}">
      <text>
        <r>
          <rPr>
            <b/>
            <sz val="8"/>
            <color indexed="81"/>
            <rFont val="Tahoma"/>
            <family val="2"/>
          </rPr>
          <t>Wert nicht berücksichtigen: keine Eingabe (0)
Standard: 0,6
nur bei dunklen Dächern: 0,8</t>
        </r>
      </text>
    </comment>
    <comment ref="O112" authorId="1" shapeId="0" xr:uid="{00000000-0006-0000-0300-000043000000}">
      <text>
        <r>
          <rPr>
            <b/>
            <sz val="8"/>
            <color indexed="81"/>
            <rFont val="Tahoma"/>
            <family val="2"/>
          </rPr>
          <t>0,9: für übliche Anwendungsfälle
Liegt Verschattung vor, ist der Wert detailliert zu berechnen oder Nordorientierung einzusetzen.</t>
        </r>
      </text>
    </comment>
    <comment ref="P112" authorId="1" shapeId="0" xr:uid="{00000000-0006-0000-0300-000044000000}">
      <text>
        <r>
          <rPr>
            <b/>
            <sz val="8"/>
            <color indexed="81"/>
            <rFont val="Tahoma"/>
            <family val="2"/>
          </rPr>
          <t>sofern keine Rahmenanteile bekannt sind, ist 0,7 anzusetzen.</t>
        </r>
      </text>
    </comment>
    <comment ref="J113" authorId="1" shapeId="0" xr:uid="{9767A768-E779-4A34-8137-DDBEAF486922}">
      <text>
        <r>
          <rPr>
            <b/>
            <sz val="8"/>
            <color indexed="81"/>
            <rFont val="Tahoma"/>
            <family val="2"/>
          </rPr>
          <t>Wert nicht berücksichtigen: keine Eingabe (0)
Standard: 0,6
nur bei dunklen Dächern: 0,8</t>
        </r>
      </text>
    </comment>
    <comment ref="O113" authorId="1" shapeId="0" xr:uid="{00000000-0006-0000-0300-000046000000}">
      <text>
        <r>
          <rPr>
            <b/>
            <sz val="8"/>
            <color indexed="81"/>
            <rFont val="Tahoma"/>
            <family val="2"/>
          </rPr>
          <t>0,9: für übliche Anwendungsfälle
Liegt Verschattung vor, ist der Wert detailliert zu berechnen oder Nordorientierung einzusetzen.</t>
        </r>
      </text>
    </comment>
    <comment ref="P113" authorId="1" shapeId="0" xr:uid="{00000000-0006-0000-0300-000047000000}">
      <text>
        <r>
          <rPr>
            <b/>
            <sz val="8"/>
            <color indexed="81"/>
            <rFont val="Tahoma"/>
            <family val="2"/>
          </rPr>
          <t>sofern keine Rahmenanteile bekannt sind, ist 0,7 anzusetzen.</t>
        </r>
      </text>
    </comment>
    <comment ref="J114" authorId="1" shapeId="0" xr:uid="{4E1C3686-D4F1-453F-8B54-34EB4246E4D2}">
      <text>
        <r>
          <rPr>
            <b/>
            <sz val="8"/>
            <color indexed="81"/>
            <rFont val="Tahoma"/>
            <family val="2"/>
          </rPr>
          <t>Wert nicht berücksichtigen: keine Eingabe (0)
Standard: 0,6
nur bei dunklen Dächern: 0,8</t>
        </r>
      </text>
    </comment>
    <comment ref="O114" authorId="1" shapeId="0" xr:uid="{00000000-0006-0000-0300-000049000000}">
      <text>
        <r>
          <rPr>
            <b/>
            <sz val="8"/>
            <color indexed="81"/>
            <rFont val="Tahoma"/>
            <family val="2"/>
          </rPr>
          <t>0,9: für übliche Anwendungsfälle
Liegt Verschattung vor, ist der Wert detailliert zu berechnen oder Nordorientierung einzusetzen.</t>
        </r>
      </text>
    </comment>
    <comment ref="P114" authorId="1" shapeId="0" xr:uid="{00000000-0006-0000-0300-00004A000000}">
      <text>
        <r>
          <rPr>
            <b/>
            <sz val="8"/>
            <color indexed="81"/>
            <rFont val="Tahoma"/>
            <family val="2"/>
          </rPr>
          <t>sofern keine Rahmenanteile bekannt sind, ist 0,7 anzusetzen.</t>
        </r>
      </text>
    </comment>
    <comment ref="J115" authorId="1" shapeId="0" xr:uid="{28CFE5BD-A15A-476A-AD3F-2BDCA0C5BCC6}">
      <text>
        <r>
          <rPr>
            <b/>
            <sz val="8"/>
            <color indexed="81"/>
            <rFont val="Tahoma"/>
            <family val="2"/>
          </rPr>
          <t>Wert nicht berücksichtigen: keine Eingabe (0)
Standard: 0,6
nur bei dunklen Dächern: 0,8</t>
        </r>
      </text>
    </comment>
    <comment ref="O115" authorId="1" shapeId="0" xr:uid="{00000000-0006-0000-0300-00004C000000}">
      <text>
        <r>
          <rPr>
            <b/>
            <sz val="8"/>
            <color indexed="81"/>
            <rFont val="Tahoma"/>
            <family val="2"/>
          </rPr>
          <t>0,9: für übliche Anwendungsfälle
Liegt Verschattung vor, ist der Wert detailliert zu berechnen oder Nordorientierung einzusetzen.</t>
        </r>
      </text>
    </comment>
    <comment ref="P115" authorId="1" shapeId="0" xr:uid="{00000000-0006-0000-0300-00004D000000}">
      <text>
        <r>
          <rPr>
            <b/>
            <sz val="8"/>
            <color indexed="81"/>
            <rFont val="Tahoma"/>
            <family val="2"/>
          </rPr>
          <t>sofern keine Rahmenanteile bekannt sind, ist 0,7 anzusetzen.</t>
        </r>
      </text>
    </comment>
    <comment ref="J116" authorId="1" shapeId="0" xr:uid="{B0C4F029-5CE0-42D1-BC36-C6FDC2BBA0EF}">
      <text>
        <r>
          <rPr>
            <b/>
            <sz val="8"/>
            <color indexed="81"/>
            <rFont val="Tahoma"/>
            <family val="2"/>
          </rPr>
          <t>Wert nicht berücksichtigen: keine Eingabe (0)
Standard: 0,6
nur bei dunklen Dächern: 0,8</t>
        </r>
      </text>
    </comment>
    <comment ref="O116" authorId="1" shapeId="0" xr:uid="{00000000-0006-0000-0300-00004F000000}">
      <text>
        <r>
          <rPr>
            <b/>
            <sz val="8"/>
            <color indexed="81"/>
            <rFont val="Tahoma"/>
            <family val="2"/>
          </rPr>
          <t>0,9: für übliche Anwendungsfälle
Liegt Verschattung vor, ist der Wert detailliert zu berechnen oder Nordorientierung einzusetzen.</t>
        </r>
      </text>
    </comment>
    <comment ref="P116" authorId="1" shapeId="0" xr:uid="{00000000-0006-0000-0300-000050000000}">
      <text>
        <r>
          <rPr>
            <b/>
            <sz val="8"/>
            <color indexed="81"/>
            <rFont val="Tahoma"/>
            <family val="2"/>
          </rPr>
          <t>sofern keine Rahmenanteile bekannt sind, ist 0,7 anzusetzen.</t>
        </r>
      </text>
    </comment>
    <comment ref="J117" authorId="1" shapeId="0" xr:uid="{0DEB968D-70CA-4F50-9937-9EA59B065024}">
      <text>
        <r>
          <rPr>
            <b/>
            <sz val="8"/>
            <color indexed="81"/>
            <rFont val="Tahoma"/>
            <family val="2"/>
          </rPr>
          <t>Wert nicht berücksichtigen: keine Eingabe (0)
Standard: 0,6
nur bei dunklen Dächern: 0,8</t>
        </r>
      </text>
    </comment>
    <comment ref="O117" authorId="1" shapeId="0" xr:uid="{00000000-0006-0000-0300-000052000000}">
      <text>
        <r>
          <rPr>
            <b/>
            <sz val="8"/>
            <color indexed="81"/>
            <rFont val="Tahoma"/>
            <family val="2"/>
          </rPr>
          <t>0,9: für übliche Anwendungsfälle
Liegt Verschattung vor, ist der Wert detailliert zu berechnen oder Nordorientierung einzusetzen.</t>
        </r>
      </text>
    </comment>
    <comment ref="P117" authorId="1" shapeId="0" xr:uid="{00000000-0006-0000-0300-000053000000}">
      <text>
        <r>
          <rPr>
            <b/>
            <sz val="8"/>
            <color indexed="81"/>
            <rFont val="Tahoma"/>
            <family val="2"/>
          </rPr>
          <t>sofern keine Rahmenanteile bekannt sind, ist 0,7 anzusetzen.</t>
        </r>
      </text>
    </comment>
    <comment ref="J118" authorId="1" shapeId="0" xr:uid="{264647AF-7053-46EE-8AF3-3A977D2F67F1}">
      <text>
        <r>
          <rPr>
            <b/>
            <sz val="8"/>
            <color indexed="81"/>
            <rFont val="Tahoma"/>
            <family val="2"/>
          </rPr>
          <t>Wert nicht berücksichtigen: keine Eingabe (0)
Standard: 0,6
nur bei dunklen Dächern: 0,8</t>
        </r>
      </text>
    </comment>
    <comment ref="O118" authorId="1" shapeId="0" xr:uid="{00000000-0006-0000-0300-000055000000}">
      <text>
        <r>
          <rPr>
            <b/>
            <sz val="8"/>
            <color indexed="81"/>
            <rFont val="Tahoma"/>
            <family val="2"/>
          </rPr>
          <t>0,9: für übliche Anwendungsfälle
Liegt Verschattung vor, ist der Wert detailliert zu berechnen oder Nordorientierung einzusetzen.</t>
        </r>
      </text>
    </comment>
    <comment ref="P118" authorId="1" shapeId="0" xr:uid="{00000000-0006-0000-0300-000056000000}">
      <text>
        <r>
          <rPr>
            <b/>
            <sz val="8"/>
            <color indexed="81"/>
            <rFont val="Tahoma"/>
            <family val="2"/>
          </rPr>
          <t>sofern keine Rahmenanteile bekannt sind, ist 0,7 anzusetzen.</t>
        </r>
      </text>
    </comment>
    <comment ref="J119" authorId="1" shapeId="0" xr:uid="{C6989EC5-628C-49BC-A958-BA6F12E3ED2A}">
      <text>
        <r>
          <rPr>
            <b/>
            <sz val="8"/>
            <color indexed="81"/>
            <rFont val="Tahoma"/>
            <family val="2"/>
          </rPr>
          <t>Wert nicht berücksichtigen: keine Eingabe (0)
Standard: 0,6
nur bei dunklen Dächern: 0,8</t>
        </r>
      </text>
    </comment>
    <comment ref="O119" authorId="1" shapeId="0" xr:uid="{00000000-0006-0000-0300-000058000000}">
      <text>
        <r>
          <rPr>
            <b/>
            <sz val="8"/>
            <color indexed="81"/>
            <rFont val="Tahoma"/>
            <family val="2"/>
          </rPr>
          <t>0,9: für übliche Anwendungsfälle
Liegt Verschattung vor, ist der Wert detailliert zu berechnen oder Nordorientierung einzusetzen.</t>
        </r>
      </text>
    </comment>
    <comment ref="P119" authorId="1" shapeId="0" xr:uid="{00000000-0006-0000-0300-000059000000}">
      <text>
        <r>
          <rPr>
            <b/>
            <sz val="8"/>
            <color indexed="81"/>
            <rFont val="Tahoma"/>
            <family val="2"/>
          </rPr>
          <t>sofern keine Rahmenanteile bekannt sind, ist 0,7 anzusetzen.</t>
        </r>
      </text>
    </comment>
    <comment ref="J120" authorId="1" shapeId="0" xr:uid="{D2406E55-8F76-4CCF-89DD-00967E350841}">
      <text>
        <r>
          <rPr>
            <b/>
            <sz val="8"/>
            <color indexed="81"/>
            <rFont val="Tahoma"/>
            <family val="2"/>
          </rPr>
          <t>Wert nicht berücksichtigen: keine Eingabe (0)
Standard: 0,6
nur bei dunklen Dächern: 0,8</t>
        </r>
      </text>
    </comment>
    <comment ref="O120" authorId="1" shapeId="0" xr:uid="{00000000-0006-0000-0300-00005B000000}">
      <text>
        <r>
          <rPr>
            <b/>
            <sz val="8"/>
            <color indexed="81"/>
            <rFont val="Tahoma"/>
            <family val="2"/>
          </rPr>
          <t>0,9: für übliche Anwendungsfälle
Liegt Verschattung vor, ist der Wert detailliert zu berechnen oder Nordorientierung einzusetzen.</t>
        </r>
      </text>
    </comment>
    <comment ref="P120" authorId="1" shapeId="0" xr:uid="{00000000-0006-0000-0300-00005C000000}">
      <text>
        <r>
          <rPr>
            <b/>
            <sz val="8"/>
            <color indexed="81"/>
            <rFont val="Tahoma"/>
            <family val="2"/>
          </rPr>
          <t>sofern keine Rahmenanteile bekannt sind, ist 0,7 anzusetzen.</t>
        </r>
      </text>
    </comment>
    <comment ref="J121" authorId="1" shapeId="0" xr:uid="{90AF4AC6-5F53-420B-8108-E69A77801989}">
      <text>
        <r>
          <rPr>
            <b/>
            <sz val="8"/>
            <color indexed="81"/>
            <rFont val="Tahoma"/>
            <family val="2"/>
          </rPr>
          <t>Wert nicht berücksichtigen: keine Eingabe (0)
Standard: 0,6
nur bei dunklen Dächern: 0,8</t>
        </r>
      </text>
    </comment>
    <comment ref="O121" authorId="1" shapeId="0" xr:uid="{00000000-0006-0000-0300-00005E000000}">
      <text>
        <r>
          <rPr>
            <b/>
            <sz val="8"/>
            <color indexed="81"/>
            <rFont val="Tahoma"/>
            <family val="2"/>
          </rPr>
          <t>0,9: für übliche Anwendungsfälle
Liegt Verschattung vor, ist der Wert detailliert zu berechnen oder Nordorientierung einzusetzen.</t>
        </r>
      </text>
    </comment>
    <comment ref="P121" authorId="1" shapeId="0" xr:uid="{00000000-0006-0000-0300-00005F000000}">
      <text>
        <r>
          <rPr>
            <b/>
            <sz val="8"/>
            <color indexed="81"/>
            <rFont val="Tahoma"/>
            <family val="2"/>
          </rPr>
          <t>sofern keine Rahmenanteile bekannt sind, ist 0,7 anzusetzen.</t>
        </r>
      </text>
    </comment>
    <comment ref="J122" authorId="1" shapeId="0" xr:uid="{5C4ED5EF-974B-4297-8E09-14DE2084B03B}">
      <text>
        <r>
          <rPr>
            <b/>
            <sz val="8"/>
            <color indexed="81"/>
            <rFont val="Tahoma"/>
            <family val="2"/>
          </rPr>
          <t>Wert nicht berücksichtigen: keine Eingabe (0)
Standard: 0,6
nur bei dunklen Dächern: 0,8</t>
        </r>
      </text>
    </comment>
    <comment ref="O122" authorId="1" shapeId="0" xr:uid="{00000000-0006-0000-0300-000061000000}">
      <text>
        <r>
          <rPr>
            <b/>
            <sz val="8"/>
            <color indexed="81"/>
            <rFont val="Tahoma"/>
            <family val="2"/>
          </rPr>
          <t>0,9: für übliche Anwendungsfälle
Liegt Verschattung vor, ist der Wert detailliert zu berechnen oder Nordorientierung einzusetzen.</t>
        </r>
      </text>
    </comment>
    <comment ref="P122" authorId="1" shapeId="0" xr:uid="{00000000-0006-0000-0300-000062000000}">
      <text>
        <r>
          <rPr>
            <b/>
            <sz val="8"/>
            <color indexed="81"/>
            <rFont val="Tahoma"/>
            <family val="2"/>
          </rPr>
          <t>sofern keine Rahmenanteile bekannt sind, ist 0,7 anzusetzen.</t>
        </r>
      </text>
    </comment>
    <comment ref="J123" authorId="1" shapeId="0" xr:uid="{DFB38636-BE33-419E-B6DC-6125FA740B2B}">
      <text>
        <r>
          <rPr>
            <b/>
            <sz val="8"/>
            <color indexed="81"/>
            <rFont val="Tahoma"/>
            <family val="2"/>
          </rPr>
          <t>Wert nicht berücksichtigen: keine Eingabe (0)
Standard: 0,6
nur bei dunklen Dächern: 0,8</t>
        </r>
      </text>
    </comment>
    <comment ref="O123" authorId="1" shapeId="0" xr:uid="{00000000-0006-0000-0300-000064000000}">
      <text>
        <r>
          <rPr>
            <b/>
            <sz val="8"/>
            <color indexed="81"/>
            <rFont val="Tahoma"/>
            <family val="2"/>
          </rPr>
          <t>0,9: für übliche Anwendungsfälle
Liegt Verschattung vor, ist der Wert detailliert zu berechnen oder Nordorientierung einzusetzen.</t>
        </r>
      </text>
    </comment>
    <comment ref="P123" authorId="1" shapeId="0" xr:uid="{00000000-0006-0000-0300-000065000000}">
      <text>
        <r>
          <rPr>
            <b/>
            <sz val="8"/>
            <color indexed="81"/>
            <rFont val="Tahoma"/>
            <family val="2"/>
          </rPr>
          <t>sofern keine Rahmenanteile bekannt sind, ist 0,7 anzusetzen.</t>
        </r>
      </text>
    </comment>
    <comment ref="J124" authorId="1" shapeId="0" xr:uid="{5F6A13FC-F460-4BD1-9955-7D23F77118AA}">
      <text>
        <r>
          <rPr>
            <b/>
            <sz val="8"/>
            <color indexed="81"/>
            <rFont val="Tahoma"/>
            <family val="2"/>
          </rPr>
          <t>Wert nicht berücksichtigen: keine Eingabe (0)
Standard: 0,6
nur bei dunklen Dächern: 0,8</t>
        </r>
      </text>
    </comment>
    <comment ref="O124" authorId="1" shapeId="0" xr:uid="{00000000-0006-0000-0300-000067000000}">
      <text>
        <r>
          <rPr>
            <b/>
            <sz val="8"/>
            <color indexed="81"/>
            <rFont val="Tahoma"/>
            <family val="2"/>
          </rPr>
          <t>0,9: für übliche Anwendungsfälle
Liegt Verschattung vor, ist der Wert detailliert zu berechnen oder Nordorientierung einzusetzen.</t>
        </r>
      </text>
    </comment>
    <comment ref="P124" authorId="1" shapeId="0" xr:uid="{00000000-0006-0000-0300-000068000000}">
      <text>
        <r>
          <rPr>
            <b/>
            <sz val="8"/>
            <color indexed="81"/>
            <rFont val="Tahoma"/>
            <family val="2"/>
          </rPr>
          <t>sofern keine Rahmenanteile bekannt sind, ist 0,7 anzusetzen.</t>
        </r>
      </text>
    </comment>
    <comment ref="J125" authorId="1" shapeId="0" xr:uid="{502408F6-3CA9-46E5-A060-A0A64AEA7F6F}">
      <text>
        <r>
          <rPr>
            <b/>
            <sz val="8"/>
            <color indexed="81"/>
            <rFont val="Tahoma"/>
            <family val="2"/>
          </rPr>
          <t>Wert nicht berücksichtigen: keine Eingabe (0)
Standard: 0,6
nur bei dunklen Dächern: 0,8</t>
        </r>
      </text>
    </comment>
    <comment ref="O125" authorId="1" shapeId="0" xr:uid="{00000000-0006-0000-0300-00006A000000}">
      <text>
        <r>
          <rPr>
            <b/>
            <sz val="8"/>
            <color indexed="81"/>
            <rFont val="Tahoma"/>
            <family val="2"/>
          </rPr>
          <t>0,9: für übliche Anwendungsfälle
Liegt Verschattung vor, ist der Wert detailliert zu berechnen oder Nordorientierung einzusetzen.</t>
        </r>
      </text>
    </comment>
    <comment ref="P125" authorId="1" shapeId="0" xr:uid="{00000000-0006-0000-0300-00006B000000}">
      <text>
        <r>
          <rPr>
            <b/>
            <sz val="8"/>
            <color indexed="81"/>
            <rFont val="Tahoma"/>
            <family val="2"/>
          </rPr>
          <t>sofern keine Rahmenanteile bekannt sind, ist 0,7 anzusetzen.</t>
        </r>
      </text>
    </comment>
    <comment ref="J126" authorId="1" shapeId="0" xr:uid="{F342CEBB-74AD-43D9-860C-4DD2CFB29359}">
      <text>
        <r>
          <rPr>
            <b/>
            <sz val="8"/>
            <color indexed="81"/>
            <rFont val="Tahoma"/>
            <family val="2"/>
          </rPr>
          <t>Wert nicht berücksichtigen: keine Eingabe (0)
Standard: 0,6
nur bei dunklen Dächern: 0,8</t>
        </r>
      </text>
    </comment>
    <comment ref="O126" authorId="1" shapeId="0" xr:uid="{00000000-0006-0000-0300-00006D000000}">
      <text>
        <r>
          <rPr>
            <b/>
            <sz val="8"/>
            <color indexed="81"/>
            <rFont val="Tahoma"/>
            <family val="2"/>
          </rPr>
          <t>0,9: für übliche Anwendungsfälle
Liegt Verschattung vor, ist der Wert detailliert zu berechnen oder Nordorientierung einzusetzen.</t>
        </r>
      </text>
    </comment>
    <comment ref="P126" authorId="1" shapeId="0" xr:uid="{00000000-0006-0000-0300-00006E000000}">
      <text>
        <r>
          <rPr>
            <b/>
            <sz val="8"/>
            <color indexed="81"/>
            <rFont val="Tahoma"/>
            <family val="2"/>
          </rPr>
          <t>sofern keine Rahmenanteile bekannt sind, ist 0,7 anzusetzen.</t>
        </r>
      </text>
    </comment>
    <comment ref="J127" authorId="1" shapeId="0" xr:uid="{D1DAFB38-5873-4EAF-8A64-9C66F2BBCA56}">
      <text>
        <r>
          <rPr>
            <b/>
            <sz val="8"/>
            <color indexed="81"/>
            <rFont val="Tahoma"/>
            <family val="2"/>
          </rPr>
          <t>Wert nicht berücksichtigen: keine Eingabe (0)
Standard: 0,6
nur bei dunklen Dächern: 0,8</t>
        </r>
      </text>
    </comment>
    <comment ref="O127" authorId="1" shapeId="0" xr:uid="{00000000-0006-0000-0300-000070000000}">
      <text>
        <r>
          <rPr>
            <b/>
            <sz val="8"/>
            <color indexed="81"/>
            <rFont val="Tahoma"/>
            <family val="2"/>
          </rPr>
          <t>0,9: für übliche Anwendungsfälle
Liegt Verschattung vor, ist der Wert detailliert zu berechnen oder Nordorientierung einzusetzen.</t>
        </r>
      </text>
    </comment>
    <comment ref="P127" authorId="1" shapeId="0" xr:uid="{00000000-0006-0000-0300-000071000000}">
      <text>
        <r>
          <rPr>
            <b/>
            <sz val="8"/>
            <color indexed="81"/>
            <rFont val="Tahoma"/>
            <family val="2"/>
          </rPr>
          <t>sofern keine Rahmenanteile bekannt sind, ist 0,7 anzusetzen.</t>
        </r>
      </text>
    </comment>
    <comment ref="J128" authorId="1" shapeId="0" xr:uid="{05FF59BE-9F36-4DA5-95D0-3E2B707EB4B9}">
      <text>
        <r>
          <rPr>
            <b/>
            <sz val="8"/>
            <color indexed="81"/>
            <rFont val="Tahoma"/>
            <family val="2"/>
          </rPr>
          <t>Wert nicht berücksichtigen: keine Eingabe (0)
Standard: 0,6
nur bei dunklen Dächern: 0,8</t>
        </r>
      </text>
    </comment>
    <comment ref="O128" authorId="1" shapeId="0" xr:uid="{00000000-0006-0000-0300-000073000000}">
      <text>
        <r>
          <rPr>
            <b/>
            <sz val="8"/>
            <color indexed="81"/>
            <rFont val="Tahoma"/>
            <family val="2"/>
          </rPr>
          <t>0,9: für übliche Anwendungsfälle
Liegt Verschattung vor, ist der Wert detailliert zu berechnen oder Nordorientierung einzusetzen.</t>
        </r>
      </text>
    </comment>
    <comment ref="P128" authorId="1" shapeId="0" xr:uid="{00000000-0006-0000-0300-000074000000}">
      <text>
        <r>
          <rPr>
            <b/>
            <sz val="8"/>
            <color indexed="81"/>
            <rFont val="Tahoma"/>
            <family val="2"/>
          </rPr>
          <t>sofern keine Rahmenanteile bekannt sind, ist 0,7 anzusetzen.</t>
        </r>
      </text>
    </comment>
    <comment ref="J129" authorId="1" shapeId="0" xr:uid="{1A8A381B-5C02-45D0-84FC-64858063AE59}">
      <text>
        <r>
          <rPr>
            <b/>
            <sz val="8"/>
            <color indexed="81"/>
            <rFont val="Tahoma"/>
            <family val="2"/>
          </rPr>
          <t>Wert nicht berücksichtigen: keine Eingabe (0)
Standard: 0,6
nur bei dunklen Dächern: 0,8</t>
        </r>
      </text>
    </comment>
    <comment ref="O129" authorId="1" shapeId="0" xr:uid="{00000000-0006-0000-0300-000076000000}">
      <text>
        <r>
          <rPr>
            <b/>
            <sz val="8"/>
            <color indexed="81"/>
            <rFont val="Tahoma"/>
            <family val="2"/>
          </rPr>
          <t>0,9: für übliche Anwendungsfälle
Liegt Verschattung vor, ist der Wert detailliert zu berechnen oder Nordorientierung einzusetzen.</t>
        </r>
      </text>
    </comment>
    <comment ref="P129" authorId="1" shapeId="0" xr:uid="{00000000-0006-0000-0300-000077000000}">
      <text>
        <r>
          <rPr>
            <b/>
            <sz val="8"/>
            <color indexed="81"/>
            <rFont val="Tahoma"/>
            <family val="2"/>
          </rPr>
          <t>sofern keine Rahmenanteile bekannt sind, ist 0,7 anzusetzen.</t>
        </r>
      </text>
    </comment>
    <comment ref="J130" authorId="1" shapeId="0" xr:uid="{0B89B90D-3FF0-467A-87B8-7AA0E623D71D}">
      <text>
        <r>
          <rPr>
            <b/>
            <sz val="8"/>
            <color indexed="81"/>
            <rFont val="Tahoma"/>
            <family val="2"/>
          </rPr>
          <t>Wert nicht berücksichtigen: keine Eingabe (0)
Standard: 0,6
nur bei dunklen Dächern: 0,8</t>
        </r>
      </text>
    </comment>
    <comment ref="O130" authorId="1" shapeId="0" xr:uid="{00000000-0006-0000-0300-000079000000}">
      <text>
        <r>
          <rPr>
            <b/>
            <sz val="8"/>
            <color indexed="81"/>
            <rFont val="Tahoma"/>
            <family val="2"/>
          </rPr>
          <t>0,9: für übliche Anwendungsfälle
Liegt Verschattung vor, ist der Wert detailliert zu berechnen oder Nordorientierung einzusetzen.</t>
        </r>
      </text>
    </comment>
    <comment ref="P130" authorId="1" shapeId="0" xr:uid="{00000000-0006-0000-0300-00007A000000}">
      <text>
        <r>
          <rPr>
            <b/>
            <sz val="8"/>
            <color indexed="81"/>
            <rFont val="Tahoma"/>
            <family val="2"/>
          </rPr>
          <t>sofern keine Rahmenanteile bekannt sind, ist 0,7 anzusetzen.</t>
        </r>
      </text>
    </comment>
    <comment ref="J131" authorId="1" shapeId="0" xr:uid="{055C4679-C4FC-46F3-8ED9-84FA5F604EDF}">
      <text>
        <r>
          <rPr>
            <b/>
            <sz val="8"/>
            <color indexed="81"/>
            <rFont val="Tahoma"/>
            <family val="2"/>
          </rPr>
          <t>Wert nicht berücksichtigen: keine Eingabe (0)
Standard: 0,6
nur bei dunklen Dächern: 0,8</t>
        </r>
      </text>
    </comment>
    <comment ref="O131" authorId="1" shapeId="0" xr:uid="{00000000-0006-0000-0300-00007C000000}">
      <text>
        <r>
          <rPr>
            <b/>
            <sz val="8"/>
            <color indexed="81"/>
            <rFont val="Tahoma"/>
            <family val="2"/>
          </rPr>
          <t>0,9: für übliche Anwendungsfälle
Liegt Verschattung vor, ist der Wert detailliert zu berechnen oder Nordorientierung einzusetzen.</t>
        </r>
      </text>
    </comment>
    <comment ref="P131" authorId="1" shapeId="0" xr:uid="{00000000-0006-0000-0300-00007D000000}">
      <text>
        <r>
          <rPr>
            <b/>
            <sz val="8"/>
            <color indexed="81"/>
            <rFont val="Tahoma"/>
            <family val="2"/>
          </rPr>
          <t>sofern keine Rahmenanteile bekannt sind, ist 0,7 anzusetzen.</t>
        </r>
      </text>
    </comment>
    <comment ref="J132" authorId="1" shapeId="0" xr:uid="{5184002E-C4C9-4141-91D9-6235AC5364CD}">
      <text>
        <r>
          <rPr>
            <b/>
            <sz val="8"/>
            <color indexed="81"/>
            <rFont val="Tahoma"/>
            <family val="2"/>
          </rPr>
          <t>Wert nicht berücksichtigen: keine Eingabe (0)
Standard: 0,6
nur bei dunklen Dächern: 0,8</t>
        </r>
      </text>
    </comment>
    <comment ref="O132" authorId="1" shapeId="0" xr:uid="{00000000-0006-0000-0300-00007F000000}">
      <text>
        <r>
          <rPr>
            <b/>
            <sz val="8"/>
            <color indexed="81"/>
            <rFont val="Tahoma"/>
            <family val="2"/>
          </rPr>
          <t>0,9: für übliche Anwendungsfälle
Liegt Verschattung vor, ist der Wert detailliert zu berechnen oder Nordorientierung einzusetzen.</t>
        </r>
      </text>
    </comment>
    <comment ref="P132" authorId="1" shapeId="0" xr:uid="{00000000-0006-0000-0300-000080000000}">
      <text>
        <r>
          <rPr>
            <b/>
            <sz val="8"/>
            <color indexed="81"/>
            <rFont val="Tahoma"/>
            <family val="2"/>
          </rPr>
          <t>sofern keine Rahmenanteile bekannt sind, ist 0,7 anzusetzen.</t>
        </r>
      </text>
    </comment>
    <comment ref="J133" authorId="1" shapeId="0" xr:uid="{3DD320B7-7F1C-425D-9F49-A3CD807DB326}">
      <text>
        <r>
          <rPr>
            <b/>
            <sz val="8"/>
            <color indexed="81"/>
            <rFont val="Tahoma"/>
            <family val="2"/>
          </rPr>
          <t>Wert nicht berücksichtigen: keine Eingabe (0)
Standard: 0,6
nur bei dunklen Dächern: 0,8</t>
        </r>
      </text>
    </comment>
    <comment ref="O133" authorId="1" shapeId="0" xr:uid="{00000000-0006-0000-0300-000082000000}">
      <text>
        <r>
          <rPr>
            <b/>
            <sz val="8"/>
            <color indexed="81"/>
            <rFont val="Tahoma"/>
            <family val="2"/>
          </rPr>
          <t>0,9: für übliche Anwendungsfälle
Liegt Verschattung vor, ist der Wert detailliert zu berechnen oder Nordorientierung einzusetzen.</t>
        </r>
      </text>
    </comment>
    <comment ref="P133" authorId="1" shapeId="0" xr:uid="{00000000-0006-0000-0300-000083000000}">
      <text>
        <r>
          <rPr>
            <b/>
            <sz val="8"/>
            <color indexed="81"/>
            <rFont val="Tahoma"/>
            <family val="2"/>
          </rPr>
          <t>sofern keine Rahmenanteile bekannt sind, ist 0,7 anzusetzen.</t>
        </r>
      </text>
    </comment>
    <comment ref="J134" authorId="1" shapeId="0" xr:uid="{B54BDD03-5042-4884-9E1F-E1F68C9DDDE6}">
      <text>
        <r>
          <rPr>
            <b/>
            <sz val="8"/>
            <color indexed="81"/>
            <rFont val="Tahoma"/>
            <family val="2"/>
          </rPr>
          <t>Wert nicht berücksichtigen: keine Eingabe (0)
Standard: 0,6
nur bei dunklen Dächern: 0,8</t>
        </r>
      </text>
    </comment>
    <comment ref="O134" authorId="1" shapeId="0" xr:uid="{00000000-0006-0000-0300-000085000000}">
      <text>
        <r>
          <rPr>
            <b/>
            <sz val="8"/>
            <color indexed="81"/>
            <rFont val="Tahoma"/>
            <family val="2"/>
          </rPr>
          <t>0,9: für übliche Anwendungsfälle
Liegt Verschattung vor, ist der Wert detailliert zu berechnen oder Nordorientierung einzusetzen.</t>
        </r>
      </text>
    </comment>
    <comment ref="P134" authorId="1" shapeId="0" xr:uid="{00000000-0006-0000-0300-000086000000}">
      <text>
        <r>
          <rPr>
            <b/>
            <sz val="8"/>
            <color indexed="81"/>
            <rFont val="Tahoma"/>
            <family val="2"/>
          </rPr>
          <t>sofern keine Rahmenanteile bekannt sind, ist 0,7 anzusetzen.</t>
        </r>
      </text>
    </comment>
    <comment ref="J135" authorId="1" shapeId="0" xr:uid="{08FFD2E5-1380-4ADE-B42C-06DA5C41C6F3}">
      <text>
        <r>
          <rPr>
            <b/>
            <sz val="8"/>
            <color indexed="81"/>
            <rFont val="Tahoma"/>
            <family val="2"/>
          </rPr>
          <t>Wert nicht berücksichtigen: keine Eingabe (0)
Standard: 0,6
nur bei dunklen Dächern: 0,8</t>
        </r>
      </text>
    </comment>
    <comment ref="O135" authorId="1" shapeId="0" xr:uid="{00000000-0006-0000-0300-000088000000}">
      <text>
        <r>
          <rPr>
            <b/>
            <sz val="8"/>
            <color indexed="81"/>
            <rFont val="Tahoma"/>
            <family val="2"/>
          </rPr>
          <t>0,9: für übliche Anwendungsfälle
Liegt Verschattung vor, ist der Wert detailliert zu berechnen oder Nordorientierung einzusetzen.</t>
        </r>
      </text>
    </comment>
    <comment ref="P135" authorId="1" shapeId="0" xr:uid="{00000000-0006-0000-0300-000089000000}">
      <text>
        <r>
          <rPr>
            <b/>
            <sz val="8"/>
            <color indexed="81"/>
            <rFont val="Tahoma"/>
            <family val="2"/>
          </rPr>
          <t>sofern keine Rahmenanteile bekannt sind, ist 0,7 anzusetzen.</t>
        </r>
      </text>
    </comment>
    <comment ref="J136" authorId="1" shapeId="0" xr:uid="{0AFBA709-576F-4CD3-9CD1-C865BDA4BB29}">
      <text>
        <r>
          <rPr>
            <b/>
            <sz val="8"/>
            <color indexed="81"/>
            <rFont val="Tahoma"/>
            <family val="2"/>
          </rPr>
          <t>Wert nicht berücksichtigen: keine Eingabe (0)
Standard: 0,6
nur bei dunklen Dächern: 0,8</t>
        </r>
      </text>
    </comment>
    <comment ref="O136" authorId="1" shapeId="0" xr:uid="{00000000-0006-0000-0300-00008B000000}">
      <text>
        <r>
          <rPr>
            <b/>
            <sz val="8"/>
            <color indexed="81"/>
            <rFont val="Tahoma"/>
            <family val="2"/>
          </rPr>
          <t>0,9: für übliche Anwendungsfälle
Liegt Verschattung vor, ist der Wert detailliert zu berechnen oder Nordorientierung einzusetzen.</t>
        </r>
      </text>
    </comment>
    <comment ref="P136" authorId="1" shapeId="0" xr:uid="{00000000-0006-0000-0300-00008C000000}">
      <text>
        <r>
          <rPr>
            <b/>
            <sz val="8"/>
            <color indexed="81"/>
            <rFont val="Tahoma"/>
            <family val="2"/>
          </rPr>
          <t>sofern keine Rahmenanteile bekannt sind, ist 0,7 anzusetzen.</t>
        </r>
      </text>
    </comment>
    <comment ref="J137" authorId="1" shapeId="0" xr:uid="{30391680-54C8-4FC7-8479-8C6A19B53686}">
      <text>
        <r>
          <rPr>
            <b/>
            <sz val="8"/>
            <color indexed="81"/>
            <rFont val="Tahoma"/>
            <family val="2"/>
          </rPr>
          <t>Wert nicht berücksichtigen: keine Eingabe (0)
Standard: 0,6
nur bei dunklen Dächern: 0,8</t>
        </r>
      </text>
    </comment>
    <comment ref="O137" authorId="1" shapeId="0" xr:uid="{00000000-0006-0000-0300-00008E000000}">
      <text>
        <r>
          <rPr>
            <b/>
            <sz val="8"/>
            <color indexed="81"/>
            <rFont val="Tahoma"/>
            <family val="2"/>
          </rPr>
          <t>0,9: für übliche Anwendungsfälle
Liegt Verschattung vor, ist der Wert detailliert zu berechnen oder Nordorientierung einzusetzen.</t>
        </r>
      </text>
    </comment>
    <comment ref="P137" authorId="1" shapeId="0" xr:uid="{00000000-0006-0000-0300-00008F000000}">
      <text>
        <r>
          <rPr>
            <b/>
            <sz val="8"/>
            <color indexed="81"/>
            <rFont val="Tahoma"/>
            <family val="2"/>
          </rPr>
          <t>sofern keine Rahmenanteile bekannt sind, ist 0,7 anzusetzen.</t>
        </r>
      </text>
    </comment>
    <comment ref="J138" authorId="1" shapeId="0" xr:uid="{A743BF13-2B7D-4AA8-9B18-4F351F4EB347}">
      <text>
        <r>
          <rPr>
            <b/>
            <sz val="8"/>
            <color indexed="81"/>
            <rFont val="Tahoma"/>
            <family val="2"/>
          </rPr>
          <t>Wert nicht berücksichtigen: keine Eingabe (0)
Standard: 0,6
nur bei dunklen Dächern: 0,8</t>
        </r>
      </text>
    </comment>
    <comment ref="O138" authorId="1" shapeId="0" xr:uid="{00000000-0006-0000-0300-000091000000}">
      <text>
        <r>
          <rPr>
            <b/>
            <sz val="8"/>
            <color indexed="81"/>
            <rFont val="Tahoma"/>
            <family val="2"/>
          </rPr>
          <t>0,9: für übliche Anwendungsfälle
Liegt Verschattung vor, ist der Wert detailliert zu berechnen oder Nordorientierung einzusetzen.</t>
        </r>
      </text>
    </comment>
    <comment ref="P138" authorId="1" shapeId="0" xr:uid="{00000000-0006-0000-0300-000092000000}">
      <text>
        <r>
          <rPr>
            <b/>
            <sz val="8"/>
            <color indexed="81"/>
            <rFont val="Tahoma"/>
            <family val="2"/>
          </rPr>
          <t>sofern keine Rahmenanteile bekannt sind, ist 0,7 anzusetzen.</t>
        </r>
      </text>
    </comment>
    <comment ref="J139" authorId="1" shapeId="0" xr:uid="{9CDD1675-1AE1-480A-A0DD-5CD91A55F67F}">
      <text>
        <r>
          <rPr>
            <b/>
            <sz val="8"/>
            <color indexed="81"/>
            <rFont val="Tahoma"/>
            <family val="2"/>
          </rPr>
          <t>Wert nicht berücksichtigen: keine Eingabe (0)
Standard: 0,6
nur bei dunklen Dächern: 0,8</t>
        </r>
      </text>
    </comment>
    <comment ref="O139" authorId="1" shapeId="0" xr:uid="{00000000-0006-0000-0300-000094000000}">
      <text>
        <r>
          <rPr>
            <b/>
            <sz val="8"/>
            <color indexed="81"/>
            <rFont val="Tahoma"/>
            <family val="2"/>
          </rPr>
          <t>0,9: für übliche Anwendungsfälle
Liegt Verschattung vor, ist der Wert detailliert zu berechnen oder Nordorientierung einzusetzen.</t>
        </r>
      </text>
    </comment>
    <comment ref="P139" authorId="1" shapeId="0" xr:uid="{00000000-0006-0000-0300-000095000000}">
      <text>
        <r>
          <rPr>
            <b/>
            <sz val="8"/>
            <color indexed="81"/>
            <rFont val="Tahoma"/>
            <family val="2"/>
          </rPr>
          <t>sofern keine Rahmenanteile bekannt sind, ist 0,7 anzusetzen.</t>
        </r>
      </text>
    </comment>
    <comment ref="J140" authorId="1" shapeId="0" xr:uid="{9D664F59-5E98-43E9-951D-CEEF6041F374}">
      <text>
        <r>
          <rPr>
            <b/>
            <sz val="8"/>
            <color indexed="81"/>
            <rFont val="Tahoma"/>
            <family val="2"/>
          </rPr>
          <t>Wert nicht berücksichtigen: keine Eingabe (0)
Standard: 0,6
nur bei dunklen Dächern: 0,8</t>
        </r>
      </text>
    </comment>
    <comment ref="O140" authorId="1" shapeId="0" xr:uid="{00000000-0006-0000-0300-000097000000}">
      <text>
        <r>
          <rPr>
            <b/>
            <sz val="8"/>
            <color indexed="81"/>
            <rFont val="Tahoma"/>
            <family val="2"/>
          </rPr>
          <t>0,9: für übliche Anwendungsfälle
Liegt Verschattung vor, ist der Wert detailliert zu berechnen oder Nordorientierung einzusetzen.</t>
        </r>
      </text>
    </comment>
    <comment ref="P140" authorId="1" shapeId="0" xr:uid="{00000000-0006-0000-0300-000098000000}">
      <text>
        <r>
          <rPr>
            <b/>
            <sz val="8"/>
            <color indexed="81"/>
            <rFont val="Tahoma"/>
            <family val="2"/>
          </rPr>
          <t>sofern keine Rahmenanteile bekannt sind, ist 0,7 anzusetzen.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Jagnow</author>
  </authors>
  <commentList>
    <comment ref="B2" authorId="0" shapeId="0" xr:uid="{00000000-0006-0000-0400-000001000000}">
      <text>
        <r>
          <rPr>
            <sz val="10"/>
            <color indexed="81"/>
            <rFont val="Tahoma"/>
            <family val="2"/>
          </rPr>
          <t>Diese Angabe erscheint nur, wenn die Eingabe von Gebäude und Anlage abgeschlossen ist. 
Wenn für die Anlage noch "- - -" in einem der Eingabefelder steht, dann wird der Wert nicht berechnet.</t>
        </r>
      </text>
    </comment>
  </commentList>
</comments>
</file>

<file path=xl/sharedStrings.xml><?xml version="1.0" encoding="utf-8"?>
<sst xmlns="http://schemas.openxmlformats.org/spreadsheetml/2006/main" count="4158" uniqueCount="1419">
  <si>
    <t>Qh vorgeben</t>
  </si>
  <si>
    <t>NFW eigene</t>
  </si>
  <si>
    <r>
      <t>f</t>
    </r>
    <r>
      <rPr>
        <vertAlign val="subscript"/>
        <sz val="9"/>
        <rFont val="Arial"/>
        <family val="2"/>
      </rPr>
      <t>P</t>
    </r>
    <r>
      <rPr>
        <sz val="9"/>
        <rFont val="Arial"/>
        <family val="2"/>
      </rPr>
      <t xml:space="preserve"> für eigenes Wärmenetz</t>
    </r>
  </si>
  <si>
    <t>installierte Modulfläche:</t>
  </si>
  <si>
    <t>Hinweis: Wärmegewinne über opake Bauteile können, aber müs-sen nicht berücksichtigt werden!</t>
  </si>
  <si>
    <t>Ist-Gebäude</t>
  </si>
  <si>
    <t>Referenz-Gebäude</t>
  </si>
  <si>
    <t>Nachweis</t>
  </si>
  <si>
    <t>Gesamtnachweis</t>
  </si>
  <si>
    <t>es handelt sich um einen Neubau</t>
  </si>
  <si>
    <t>KfW</t>
  </si>
  <si>
    <t>Altbau</t>
  </si>
  <si>
    <t>Neubau</t>
  </si>
  <si>
    <t>alles erfüllt?</t>
  </si>
  <si>
    <t>Vorgaben für den Heizwärmebedarf</t>
  </si>
  <si>
    <t>τ =</t>
  </si>
  <si>
    <t xml:space="preserve">V = </t>
  </si>
  <si>
    <t>Belüftetes Volumen</t>
  </si>
  <si>
    <r>
      <t>c</t>
    </r>
    <r>
      <rPr>
        <vertAlign val="subscript"/>
        <sz val="10"/>
        <rFont val="Arial"/>
        <family val="2"/>
      </rPr>
      <t>Wirk,Normal</t>
    </r>
  </si>
  <si>
    <r>
      <t>c</t>
    </r>
    <r>
      <rPr>
        <vertAlign val="subscript"/>
        <sz val="10"/>
        <rFont val="Arial"/>
        <family val="2"/>
      </rPr>
      <t>Wirk,NA</t>
    </r>
  </si>
  <si>
    <t xml:space="preserve">Summe A = </t>
  </si>
  <si>
    <t xml:space="preserve">Einzelbauteile Summe = </t>
  </si>
  <si>
    <r>
      <t>H</t>
    </r>
    <r>
      <rPr>
        <vertAlign val="subscript"/>
        <sz val="10"/>
        <rFont val="Arial"/>
        <family val="2"/>
      </rPr>
      <t>T</t>
    </r>
  </si>
  <si>
    <r>
      <t>F</t>
    </r>
    <r>
      <rPr>
        <vertAlign val="subscript"/>
        <sz val="10"/>
        <rFont val="Arial"/>
        <family val="2"/>
      </rPr>
      <t>x</t>
    </r>
  </si>
  <si>
    <t>Wärme-durchgangs-koeffizient</t>
  </si>
  <si>
    <t>Abmin-derungs-faktor</t>
  </si>
  <si>
    <r>
      <t>ΔU</t>
    </r>
    <r>
      <rPr>
        <vertAlign val="subscript"/>
        <sz val="10"/>
        <rFont val="Arial"/>
        <family val="2"/>
      </rPr>
      <t>WB</t>
    </r>
  </si>
  <si>
    <r>
      <t>H</t>
    </r>
    <r>
      <rPr>
        <vertAlign val="subscript"/>
        <sz val="10"/>
        <rFont val="Arial"/>
        <family val="2"/>
      </rPr>
      <t>T</t>
    </r>
    <r>
      <rPr>
        <sz val="10"/>
        <rFont val="Arial"/>
        <family val="2"/>
      </rPr>
      <t xml:space="preserve"> = </t>
    </r>
  </si>
  <si>
    <t>Grunddaten und Heizwärmebedarf</t>
  </si>
  <si>
    <r>
      <t>h</t>
    </r>
    <r>
      <rPr>
        <vertAlign val="superscript"/>
        <sz val="10"/>
        <rFont val="Arial"/>
        <family val="2"/>
      </rPr>
      <t>-1</t>
    </r>
  </si>
  <si>
    <t xml:space="preserve">maßgebliche Luftwechselrate n = </t>
  </si>
  <si>
    <r>
      <t>H</t>
    </r>
    <r>
      <rPr>
        <vertAlign val="subscript"/>
        <sz val="10"/>
        <rFont val="Arial"/>
        <family val="2"/>
      </rPr>
      <t>V</t>
    </r>
    <r>
      <rPr>
        <sz val="10"/>
        <rFont val="Arial"/>
        <family val="2"/>
      </rPr>
      <t xml:space="preserve"> = </t>
    </r>
  </si>
  <si>
    <t>Gesamt-energie-durch-lassgrad</t>
  </si>
  <si>
    <r>
      <t>F</t>
    </r>
    <r>
      <rPr>
        <vertAlign val="subscript"/>
        <sz val="10"/>
        <rFont val="Arial"/>
        <family val="2"/>
      </rPr>
      <t>F</t>
    </r>
  </si>
  <si>
    <r>
      <t>F</t>
    </r>
    <r>
      <rPr>
        <vertAlign val="subscript"/>
        <sz val="10"/>
        <rFont val="Arial"/>
        <family val="2"/>
      </rPr>
      <t>S</t>
    </r>
  </si>
  <si>
    <r>
      <t>U*A*R</t>
    </r>
    <r>
      <rPr>
        <vertAlign val="subscript"/>
        <sz val="10"/>
        <rFont val="Arial"/>
        <family val="2"/>
      </rPr>
      <t>e</t>
    </r>
  </si>
  <si>
    <r>
      <t>F</t>
    </r>
    <r>
      <rPr>
        <vertAlign val="subscript"/>
        <sz val="10"/>
        <rFont val="Arial"/>
        <family val="2"/>
      </rPr>
      <t>f</t>
    </r>
    <r>
      <rPr>
        <sz val="10"/>
        <rFont val="Arial"/>
        <family val="2"/>
      </rPr>
      <t>*h*dt</t>
    </r>
  </si>
  <si>
    <t>belegt?</t>
  </si>
  <si>
    <t>Strahlungsabsorption über</t>
  </si>
  <si>
    <t>Eingaben: Warmwasserbereitung</t>
  </si>
  <si>
    <t>Eingaben: Heizung</t>
  </si>
  <si>
    <t>Eingaben: Lüftung</t>
  </si>
  <si>
    <t>Ergebnisse: IST-GEBÄUDE</t>
  </si>
  <si>
    <t>Ergebnisse: REFERENZ-GEBÄUDE</t>
  </si>
  <si>
    <t>Solaranlage vorhanden</t>
  </si>
  <si>
    <t>bivalenter Solarspeicher; Aufstellung im beheizten Bereich</t>
  </si>
  <si>
    <t>zentrale Abluftanlage</t>
  </si>
  <si>
    <t>Anlage mit Temperaturen unter 20°C</t>
  </si>
  <si>
    <t>keine Wärmerückgewinnung vorhanden</t>
  </si>
  <si>
    <t>Gleichstromventilator (DC)</t>
  </si>
  <si>
    <t>keine Wärmepumpe vorhanden</t>
  </si>
  <si>
    <t>kein Heizregister vorhanden</t>
  </si>
  <si>
    <t>Verteilung im beheizten Bereich; Steigestränge innenliegend</t>
  </si>
  <si>
    <t>geregelte Pumpe</t>
  </si>
  <si>
    <t>Brennwertkessel; Aufstellung im beheizten Bereich, verbessert</t>
  </si>
  <si>
    <t>Brennwertkessel; Aufstellung im unbeheizten Keller, verbessert</t>
  </si>
  <si>
    <t>kein weiterer Erzeuger vorhanden</t>
  </si>
  <si>
    <t xml:space="preserve">      Mit dem Programmstart verpflichten Sie sich, die Benutzungsbedingungen zu akzeptieren.</t>
  </si>
  <si>
    <t>G1.</t>
  </si>
  <si>
    <t>Wärmeverteilnetz</t>
  </si>
  <si>
    <t>Wärmeübergabe</t>
  </si>
  <si>
    <t xml:space="preserve">         Solaranlage vorhanden? </t>
  </si>
  <si>
    <t xml:space="preserve">       Regelung der Umwälzpumpe:</t>
  </si>
  <si>
    <t xml:space="preserve">        Energieträger für diesen Wärmeerzeuger:</t>
  </si>
  <si>
    <t>Wärmeverlust Transmisson</t>
  </si>
  <si>
    <t>Wärmeverlust Lüftung</t>
  </si>
  <si>
    <t>Heizwärmebedarf</t>
  </si>
  <si>
    <t>m³</t>
  </si>
  <si>
    <t>Kompaktheitsgrad</t>
  </si>
  <si>
    <t xml:space="preserve">A </t>
  </si>
  <si>
    <t>Hüllfläche</t>
  </si>
  <si>
    <t>W/K</t>
  </si>
  <si>
    <t>innere Fremdwärme</t>
  </si>
  <si>
    <t>solare Fremdwärme</t>
  </si>
  <si>
    <t>Allgemeine Eingabedaten</t>
  </si>
  <si>
    <t>Über das Programm</t>
  </si>
  <si>
    <t>Formelzeichen und Indizierung</t>
  </si>
  <si>
    <t>Probleme und Fragen?</t>
  </si>
  <si>
    <t xml:space="preserve">Programm verwendeten Tabellenwerte und Formel im Sinne des Urhebernutzungsrechtes ordnungsgemäß </t>
  </si>
  <si>
    <t>entnommen. Diese Zitate bedürfen keiner Genehmigung.</t>
  </si>
  <si>
    <t>Solaranlage</t>
  </si>
  <si>
    <t>ind. Beheizt</t>
  </si>
  <si>
    <t>Aufstellung Speicher</t>
  </si>
  <si>
    <t>°C</t>
  </si>
  <si>
    <t>ind Speicher</t>
  </si>
  <si>
    <t>G</t>
  </si>
  <si>
    <t>G+Sol</t>
  </si>
  <si>
    <t>Gebäude</t>
  </si>
  <si>
    <t>Außenwand</t>
  </si>
  <si>
    <t>RechnungenC266 (temp):</t>
  </si>
  <si>
    <t>alle</t>
  </si>
  <si>
    <t>Luftheizung vorhanden</t>
  </si>
  <si>
    <t>WP</t>
  </si>
  <si>
    <t>HR</t>
  </si>
  <si>
    <t>Ventilator</t>
  </si>
  <si>
    <t>Anlage</t>
  </si>
  <si>
    <t>AC</t>
  </si>
  <si>
    <t>DC</t>
  </si>
  <si>
    <t>TW</t>
  </si>
  <si>
    <t>Zuluft</t>
  </si>
  <si>
    <t>Abluft</t>
  </si>
  <si>
    <t>L</t>
  </si>
  <si>
    <t>außerhalb (Vert)</t>
  </si>
  <si>
    <t>innerhalb (Vert)</t>
  </si>
  <si>
    <t>innerhalb (Anbind)</t>
  </si>
  <si>
    <t>Anrechnen?</t>
  </si>
  <si>
    <t>teta außen</t>
  </si>
  <si>
    <t>teta innen</t>
  </si>
  <si>
    <t>fa</t>
  </si>
  <si>
    <t>tHP</t>
  </si>
  <si>
    <t>LL</t>
  </si>
  <si>
    <t>O</t>
  </si>
  <si>
    <t>qWP0,4</t>
  </si>
  <si>
    <t>HR?</t>
  </si>
  <si>
    <t>WRG?</t>
  </si>
  <si>
    <t>Zuluft außerhalb</t>
  </si>
  <si>
    <t>Q</t>
  </si>
  <si>
    <t>temperatur im Zuluft Netz</t>
  </si>
  <si>
    <t xml:space="preserve"> Zuluft innerhalb</t>
  </si>
  <si>
    <t>d.th.Hülle</t>
  </si>
  <si>
    <t>n in h-1</t>
  </si>
  <si>
    <t>eta WRG</t>
  </si>
  <si>
    <t>WP-Art</t>
  </si>
  <si>
    <t>teta HR</t>
  </si>
  <si>
    <t>Verteilungsart</t>
  </si>
  <si>
    <t>Ventilatorart</t>
  </si>
  <si>
    <t>HR-Anteil</t>
  </si>
  <si>
    <t>WP-Anteil</t>
  </si>
  <si>
    <t>WRG-Anteil</t>
  </si>
  <si>
    <t>Rho x CP</t>
  </si>
  <si>
    <t>hR</t>
  </si>
  <si>
    <t>Fgt</t>
  </si>
  <si>
    <t>eta</t>
  </si>
  <si>
    <t>fg</t>
  </si>
  <si>
    <t>qWRG</t>
  </si>
  <si>
    <t>qVENT</t>
  </si>
  <si>
    <t>Pel</t>
  </si>
  <si>
    <t>Vent</t>
  </si>
  <si>
    <t>Z/A</t>
  </si>
  <si>
    <t>dez</t>
  </si>
  <si>
    <t>0,6 oder 0,8</t>
  </si>
  <si>
    <t>1+fewt</t>
  </si>
  <si>
    <t>pel</t>
  </si>
  <si>
    <t>fZ</t>
  </si>
  <si>
    <t>qVorW</t>
  </si>
  <si>
    <t>1/1000</t>
  </si>
  <si>
    <t>Fgt,LV</t>
  </si>
  <si>
    <t>wert</t>
  </si>
  <si>
    <t>qREG</t>
  </si>
  <si>
    <t>qHR</t>
  </si>
  <si>
    <t>qgHR</t>
  </si>
  <si>
    <t>tHRVL</t>
  </si>
  <si>
    <t>qpWP</t>
  </si>
  <si>
    <t>tWPVL</t>
  </si>
  <si>
    <t>teta zul max</t>
  </si>
  <si>
    <t>n/0,4</t>
  </si>
  <si>
    <t>qGB</t>
  </si>
  <si>
    <t>qgWP</t>
  </si>
  <si>
    <t>mü</t>
  </si>
  <si>
    <t>qh,n</t>
  </si>
  <si>
    <t>unten</t>
  </si>
  <si>
    <t>oben</t>
  </si>
  <si>
    <t>aktuell</t>
  </si>
  <si>
    <t>Interpolation nach qh anrechenbar</t>
  </si>
  <si>
    <t>interploation nach tHRLV</t>
  </si>
  <si>
    <t>qWP</t>
  </si>
  <si>
    <t>qTWWP</t>
  </si>
  <si>
    <t>epsilon</t>
  </si>
  <si>
    <t>pelVent</t>
  </si>
  <si>
    <t>pelWP</t>
  </si>
  <si>
    <t>7,8 x eta</t>
  </si>
  <si>
    <t>Faktor?</t>
  </si>
  <si>
    <t>alleWahr?</t>
  </si>
  <si>
    <t>Abluft-</t>
  </si>
  <si>
    <t>A2.</t>
  </si>
  <si>
    <t>G2.</t>
  </si>
  <si>
    <t>Seitenzahl</t>
  </si>
  <si>
    <t>A3.</t>
  </si>
  <si>
    <t>Gesamtübersicht (spezifische Energien)</t>
  </si>
  <si>
    <t>W/(m²K)</t>
  </si>
  <si>
    <t>gross</t>
  </si>
  <si>
    <t>Detailergebnisse: Heizwärmebedarf</t>
  </si>
  <si>
    <t>t</t>
  </si>
  <si>
    <t>qh,s,HE</t>
  </si>
  <si>
    <t>qB,S</t>
  </si>
  <si>
    <t>indirekt</t>
  </si>
  <si>
    <t>gas</t>
  </si>
  <si>
    <t>el Tag</t>
  </si>
  <si>
    <t>el Klein</t>
  </si>
  <si>
    <t>el Nacht</t>
  </si>
  <si>
    <t>solar</t>
  </si>
  <si>
    <t>Elektroheizstab/Speicherwassererwärmer</t>
  </si>
  <si>
    <t>Das Programm "EP"</t>
  </si>
  <si>
    <t>Benutzungsbedingung</t>
  </si>
  <si>
    <t>Kontakt</t>
  </si>
  <si>
    <t>Programmkopie für:</t>
  </si>
  <si>
    <t>WW</t>
  </si>
  <si>
    <t>G+S(el)</t>
  </si>
  <si>
    <t>G+S(el)+Sol</t>
  </si>
  <si>
    <t>G+S(kessel)</t>
  </si>
  <si>
    <t>G+S(kessel)+Sol</t>
  </si>
  <si>
    <t>Deckungsanteil AbluftWP</t>
  </si>
  <si>
    <t>TW?</t>
  </si>
  <si>
    <t>qG</t>
  </si>
  <si>
    <t>alpha WP</t>
  </si>
  <si>
    <t>Deckungsanteil für WP</t>
  </si>
  <si>
    <t>Abluft WP?</t>
  </si>
  <si>
    <t>Anlage ohne Solar</t>
  </si>
  <si>
    <t>Anlage mit Solar</t>
  </si>
  <si>
    <t>Grundlast</t>
  </si>
  <si>
    <t>Spitzenlast</t>
  </si>
  <si>
    <t>- - -</t>
  </si>
  <si>
    <t>kein Pufferspeicher vorhanden</t>
  </si>
  <si>
    <t>Wasserheizung; integrierte Heizflächen; elektronische Regeleinrichtung</t>
  </si>
  <si>
    <t>Wasserheizung; integrierte Heizflächen; elektronische Regeleinrichtung mit Optimierung</t>
  </si>
  <si>
    <r>
      <t>V</t>
    </r>
    <r>
      <rPr>
        <vertAlign val="subscript"/>
        <sz val="11"/>
        <rFont val="Arial"/>
        <family val="2"/>
      </rPr>
      <t>e</t>
    </r>
  </si>
  <si>
    <r>
      <t>A/V</t>
    </r>
    <r>
      <rPr>
        <vertAlign val="subscript"/>
        <sz val="12"/>
        <rFont val="Arial"/>
        <family val="2"/>
      </rPr>
      <t>e</t>
    </r>
  </si>
  <si>
    <r>
      <t>m</t>
    </r>
    <r>
      <rPr>
        <vertAlign val="superscript"/>
        <sz val="10"/>
        <rFont val="Arial"/>
        <family val="2"/>
      </rPr>
      <t>-1</t>
    </r>
  </si>
  <si>
    <t>Gesamtübersicht (absolute Energien)</t>
  </si>
  <si>
    <t>TW-WE</t>
  </si>
  <si>
    <t>TW-HE</t>
  </si>
  <si>
    <t>L-WE</t>
  </si>
  <si>
    <t>L-HE</t>
  </si>
  <si>
    <t>H-WE</t>
  </si>
  <si>
    <t>H-HE</t>
  </si>
  <si>
    <t>Strom</t>
  </si>
  <si>
    <t>Hilfsstrom</t>
  </si>
  <si>
    <t>Heizöl, Erdgas, Flüssiggas</t>
  </si>
  <si>
    <t>Steinkohle, Braunkohle</t>
  </si>
  <si>
    <t>Fernwärme</t>
  </si>
  <si>
    <t>TW - Erz.2</t>
  </si>
  <si>
    <t>TW - Erz.3</t>
  </si>
  <si>
    <t>Lüftung - WP</t>
  </si>
  <si>
    <t>Lüftung - HR</t>
  </si>
  <si>
    <t>Heizung - Erz.2</t>
  </si>
  <si>
    <t>Heizung - Erz.3</t>
  </si>
  <si>
    <t>Endenergien für den Energiebedarfsausweis</t>
  </si>
  <si>
    <t>Trinkwarmwasser</t>
  </si>
  <si>
    <t>Endenergien, in kWh/(m²a)</t>
  </si>
  <si>
    <t>alpha</t>
  </si>
  <si>
    <t>x unten</t>
  </si>
  <si>
    <t>x oben</t>
  </si>
  <si>
    <t>y unten</t>
  </si>
  <si>
    <t>y oben</t>
  </si>
  <si>
    <t>mitte</t>
  </si>
  <si>
    <t>mü über 0,77</t>
  </si>
  <si>
    <t>mü unter 0,19</t>
  </si>
  <si>
    <t xml:space="preserve">                                                                                                                                                                                                                                                             </t>
  </si>
  <si>
    <t>LL-WP?</t>
  </si>
  <si>
    <t>Temperatur Heizung</t>
  </si>
  <si>
    <t>tv</t>
  </si>
  <si>
    <t>tr</t>
  </si>
  <si>
    <t>tu,m</t>
  </si>
  <si>
    <t>tRL,m</t>
  </si>
  <si>
    <t>tVL,m</t>
  </si>
  <si>
    <t>tHK,m</t>
  </si>
  <si>
    <t>NT</t>
  </si>
  <si>
    <t>Kostant</t>
  </si>
  <si>
    <t>tErz</t>
  </si>
  <si>
    <t>fQ,GZ</t>
  </si>
  <si>
    <t>eta GZ</t>
  </si>
  <si>
    <t>fCE</t>
  </si>
  <si>
    <t>eta SB</t>
  </si>
  <si>
    <t>xZ</t>
  </si>
  <si>
    <t>QN,GZ</t>
  </si>
  <si>
    <t>QH*</t>
  </si>
  <si>
    <t>tTW</t>
  </si>
  <si>
    <t>zHK,m</t>
  </si>
  <si>
    <t>QN,m</t>
  </si>
  <si>
    <t>fQ</t>
  </si>
  <si>
    <t>VS,HK</t>
  </si>
  <si>
    <t>VH,K</t>
  </si>
  <si>
    <t>delta t</t>
  </si>
  <si>
    <t>QH</t>
  </si>
  <si>
    <t>QN,max</t>
  </si>
  <si>
    <t>AAuf</t>
  </si>
  <si>
    <t>Typ</t>
  </si>
  <si>
    <t>Stückholzfeuerung</t>
  </si>
  <si>
    <t>qh,ce</t>
  </si>
  <si>
    <t>qh,d</t>
  </si>
  <si>
    <t>qh,s</t>
  </si>
  <si>
    <t>qtw,ce</t>
  </si>
  <si>
    <t>qtw,d</t>
  </si>
  <si>
    <t>qtw,s</t>
  </si>
  <si>
    <t>Pelletfeuerung, direkt und indirekt</t>
  </si>
  <si>
    <t>Pelletfeuerung, nur indirekt</t>
  </si>
  <si>
    <t>egL</t>
  </si>
  <si>
    <t>mit WRG</t>
  </si>
  <si>
    <t>ohne WRG</t>
  </si>
  <si>
    <t>fQ,TW</t>
  </si>
  <si>
    <t>eTWgSP</t>
  </si>
  <si>
    <t>eTWgHP</t>
  </si>
  <si>
    <t>eTWg</t>
  </si>
  <si>
    <t>alpha sol</t>
  </si>
  <si>
    <t>fQ,GZ,SP</t>
  </si>
  <si>
    <t>eta SP</t>
  </si>
  <si>
    <t>a sol</t>
  </si>
  <si>
    <t>qg,H,HE</t>
  </si>
  <si>
    <t>Xz</t>
  </si>
  <si>
    <t>QHE,GZ</t>
  </si>
  <si>
    <t>Pel,SB</t>
  </si>
  <si>
    <t>tSB</t>
  </si>
  <si>
    <t>QNm</t>
  </si>
  <si>
    <t>qg,TW,HE</t>
  </si>
  <si>
    <t>Stück</t>
  </si>
  <si>
    <t>Pellet ind+dir</t>
  </si>
  <si>
    <t>Pellel nur dir</t>
  </si>
  <si>
    <t>Kessel Typ H</t>
  </si>
  <si>
    <t>Typ Kessel TW ?</t>
  </si>
  <si>
    <t>Bio?</t>
  </si>
  <si>
    <t>PPumpe</t>
  </si>
  <si>
    <t>dezentral (2 Räume mit gemeinsamer Installationswand oder 2 Räume mit je einer bzw. zwei Zapfstellen)</t>
  </si>
  <si>
    <t>Lizenz:</t>
  </si>
  <si>
    <t>2004-FREE (V2.2)</t>
  </si>
  <si>
    <t>Stand 14.04.2004</t>
  </si>
  <si>
    <t>Hinweise:</t>
  </si>
  <si>
    <t>eg,H</t>
  </si>
  <si>
    <t>qh,TW</t>
  </si>
  <si>
    <t>Qd - V</t>
  </si>
  <si>
    <t>Einzelfeuerstätte</t>
  </si>
  <si>
    <t>Kombi-NT (Speicher)</t>
  </si>
  <si>
    <t>Kombi-NT (DL)</t>
  </si>
  <si>
    <t>KombiBW (DL)</t>
  </si>
  <si>
    <t>BW alt 7055</t>
  </si>
  <si>
    <t>BW alt 5545</t>
  </si>
  <si>
    <t>BW alt 3528</t>
  </si>
  <si>
    <t>BW neu 7055</t>
  </si>
  <si>
    <t>BW neu 5545</t>
  </si>
  <si>
    <t>BW neu 3528</t>
  </si>
  <si>
    <t>KT</t>
  </si>
  <si>
    <t>BW alt</t>
  </si>
  <si>
    <t>BW neu</t>
  </si>
  <si>
    <t>Rechnungen C266 (Temp)</t>
  </si>
  <si>
    <t>KombiBW (Speicher)</t>
  </si>
  <si>
    <t>besser</t>
  </si>
  <si>
    <t>BWbesser</t>
  </si>
  <si>
    <t>Kessel Brennwert, verbessert</t>
  </si>
  <si>
    <t>Biomassepufferspeicher vorhanden, Aufstellung im beheizten Bereich</t>
  </si>
  <si>
    <t>Biomassepufferspeicher vorhanden, Aufstellung im unbeheizten Keller</t>
  </si>
  <si>
    <t>RechnungenC266 (Temp)</t>
  </si>
  <si>
    <t>normal</t>
  </si>
  <si>
    <t>Biomasse</t>
  </si>
  <si>
    <t>Speicher 7</t>
  </si>
  <si>
    <t>Holz</t>
  </si>
  <si>
    <t>Qd - S</t>
  </si>
  <si>
    <t>Qd - A</t>
  </si>
  <si>
    <t>qBS=0,0045*AN</t>
  </si>
  <si>
    <t>Wasserheizung; integrierte Heizflächen; Xp=0,5K</t>
  </si>
  <si>
    <t>neg. gutschrift</t>
  </si>
  <si>
    <t>Interpolationsergebnis:</t>
  </si>
  <si>
    <t>(20-(-12)) x eta WRG</t>
  </si>
  <si>
    <t>Temp wahr?</t>
  </si>
  <si>
    <t>Kessel wahr?</t>
  </si>
  <si>
    <t>adth</t>
  </si>
  <si>
    <t>idth</t>
  </si>
  <si>
    <t>ende</t>
  </si>
  <si>
    <t>klein</t>
  </si>
  <si>
    <t>m²</t>
  </si>
  <si>
    <t>A1.</t>
  </si>
  <si>
    <t>W1.</t>
  </si>
  <si>
    <t>W2.</t>
  </si>
  <si>
    <t>W3.</t>
  </si>
  <si>
    <t>Allgemeines</t>
  </si>
  <si>
    <t>AN</t>
  </si>
  <si>
    <t>qh</t>
  </si>
  <si>
    <t>kWh/(m²a)</t>
  </si>
  <si>
    <t>Warmwasser</t>
  </si>
  <si>
    <t>Verteilung</t>
  </si>
  <si>
    <t>Fläche AN in m²</t>
  </si>
  <si>
    <t>Leitungslänge L in m</t>
  </si>
  <si>
    <t>Zeitdauer des Zirkulationsbetriebes am Tag in h (z)</t>
  </si>
  <si>
    <t>Bereich V - Verteilung</t>
  </si>
  <si>
    <t>Bereich S - Steigstränge</t>
  </si>
  <si>
    <t>Bereich SL - Stichleitungen</t>
  </si>
  <si>
    <t>ohne Zirkulation</t>
  </si>
  <si>
    <t>mit Zirkulation</t>
  </si>
  <si>
    <t>Wärmeabgabe des Rohrabschnittes in kWh/a</t>
  </si>
  <si>
    <t>Lage im beheizten Bereich</t>
  </si>
  <si>
    <t>Lage im unbeheizten Bereich</t>
  </si>
  <si>
    <t>Zirkulationsbetrieb</t>
  </si>
  <si>
    <t>kein Zirkulationsbetrieb</t>
  </si>
  <si>
    <t>kein Zirkualtionsbetrieb</t>
  </si>
  <si>
    <t>Wärmegutschrift des Rohrabschnittes in kWh/a</t>
  </si>
  <si>
    <t>Verteilung im unbeheizten Bereich</t>
  </si>
  <si>
    <t>Verteilung im beheizten Bereich</t>
  </si>
  <si>
    <t xml:space="preserve">Verlust </t>
  </si>
  <si>
    <t>Gutschrift</t>
  </si>
  <si>
    <t>Verlust</t>
  </si>
  <si>
    <r>
      <t>Restzeit in h neben Zirkulationsbetrieb am Tag (z</t>
    </r>
    <r>
      <rPr>
        <vertAlign val="subscript"/>
        <sz val="10"/>
        <rFont val="Arial"/>
        <family val="2"/>
      </rPr>
      <t>u</t>
    </r>
    <r>
      <rPr>
        <sz val="10"/>
        <rFont val="Arial"/>
        <family val="2"/>
      </rPr>
      <t>)</t>
    </r>
  </si>
  <si>
    <t>wohnungszentral</t>
  </si>
  <si>
    <t>gutschrift</t>
  </si>
  <si>
    <t>Auswahl</t>
  </si>
  <si>
    <t>dezentral 1 Raum 1 Zapfstelle</t>
  </si>
  <si>
    <t>dezentral - 1 raum mehrere Zapfstellen</t>
  </si>
  <si>
    <t>dezentral - mehrere Räume</t>
  </si>
  <si>
    <t>6 m je 80 m²</t>
  </si>
  <si>
    <t>1 m je 80 m²</t>
  </si>
  <si>
    <t>3 m je 80 m²</t>
  </si>
  <si>
    <t>4 m je 80 m²</t>
  </si>
  <si>
    <t>Speicherung</t>
  </si>
  <si>
    <t>Hilfsenergie</t>
  </si>
  <si>
    <t>bei Zirkulation</t>
  </si>
  <si>
    <t>Heizung</t>
  </si>
  <si>
    <t>Wärmeenergie</t>
  </si>
  <si>
    <t>kein Speicher vorhanden</t>
  </si>
  <si>
    <t>indirekte Speicher</t>
  </si>
  <si>
    <t>Liter = Vmax</t>
  </si>
  <si>
    <t>AN in m²</t>
  </si>
  <si>
    <t>V in l</t>
  </si>
  <si>
    <t>Speicher 1</t>
  </si>
  <si>
    <t>Speicher 2</t>
  </si>
  <si>
    <t>Speicher 3</t>
  </si>
  <si>
    <t>Speicher 4</t>
  </si>
  <si>
    <t>Speicher 5</t>
  </si>
  <si>
    <t>Speicher 6</t>
  </si>
  <si>
    <t>qBS</t>
  </si>
  <si>
    <t>qS</t>
  </si>
  <si>
    <t>qWR</t>
  </si>
  <si>
    <t>unbeheizter Bereich</t>
  </si>
  <si>
    <t>beheizter Bereich</t>
  </si>
  <si>
    <t>Gasspeicher</t>
  </si>
  <si>
    <t>Elektrisch - Tagspeicher</t>
  </si>
  <si>
    <t>Elektrisch - Kleinspeicher</t>
  </si>
  <si>
    <t>Elektrisch - Nachtspeicher</t>
  </si>
  <si>
    <t>Erzeugung</t>
  </si>
  <si>
    <t>An</t>
  </si>
  <si>
    <t>unbeheizt</t>
  </si>
  <si>
    <t>mit Zirk</t>
  </si>
  <si>
    <t>beheizt</t>
  </si>
  <si>
    <t>Wert</t>
  </si>
  <si>
    <t>fprim</t>
  </si>
  <si>
    <t>alpha2</t>
  </si>
  <si>
    <t>alpha1</t>
  </si>
  <si>
    <t>alphagrund</t>
  </si>
  <si>
    <t>alpha3</t>
  </si>
  <si>
    <t>fprim1</t>
  </si>
  <si>
    <t>fprim2</t>
  </si>
  <si>
    <t>fprim3</t>
  </si>
  <si>
    <t>Nutzen</t>
  </si>
  <si>
    <t>Übergabe</t>
  </si>
  <si>
    <t>a1</t>
  </si>
  <si>
    <t>a2</t>
  </si>
  <si>
    <t>a3</t>
  </si>
  <si>
    <t>-</t>
  </si>
  <si>
    <t>Konstanttemperatur</t>
  </si>
  <si>
    <t>Niedertemperatur</t>
  </si>
  <si>
    <t>Brennwert</t>
  </si>
  <si>
    <t>alle Temperaturen</t>
  </si>
  <si>
    <t>70/55</t>
  </si>
  <si>
    <t>55/45</t>
  </si>
  <si>
    <t>35/28</t>
  </si>
  <si>
    <t>alle Systeme</t>
  </si>
  <si>
    <t>Qn</t>
  </si>
  <si>
    <t>qB70</t>
  </si>
  <si>
    <t>QGB</t>
  </si>
  <si>
    <t>eta30</t>
  </si>
  <si>
    <t>qBteta</t>
  </si>
  <si>
    <t>phi</t>
  </si>
  <si>
    <t>fphi</t>
  </si>
  <si>
    <t>fa=fc</t>
  </si>
  <si>
    <t>eta K</t>
  </si>
  <si>
    <t>eGH</t>
  </si>
  <si>
    <t>außerhalb der thermischen Hülle</t>
  </si>
  <si>
    <t>innerhalb der thermischen Hülle</t>
  </si>
  <si>
    <t>Öl</t>
  </si>
  <si>
    <t>PHE</t>
  </si>
  <si>
    <t>qH,G,HE</t>
  </si>
  <si>
    <t>eG,W</t>
  </si>
  <si>
    <t>Kombi-Niedertemperatur</t>
  </si>
  <si>
    <t>Kombi-Brennwert</t>
  </si>
  <si>
    <t>eta 100</t>
  </si>
  <si>
    <t>QTW*</t>
  </si>
  <si>
    <t>teta</t>
  </si>
  <si>
    <t>eg,W</t>
  </si>
  <si>
    <t>qHE</t>
  </si>
  <si>
    <t>Kessel Niedertemperatur</t>
  </si>
  <si>
    <t>Kessel Brennwert</t>
  </si>
  <si>
    <t>Kessel Kostanttemperatur</t>
  </si>
  <si>
    <t>Aufwandszahl</t>
  </si>
  <si>
    <t>Gas-Speicherwassererwärmer</t>
  </si>
  <si>
    <t>Elektroheizstab</t>
  </si>
  <si>
    <t>Elektro-Durchlauferhitzer</t>
  </si>
  <si>
    <t>eg1</t>
  </si>
  <si>
    <t>eg2</t>
  </si>
  <si>
    <t>eg3</t>
  </si>
  <si>
    <t>HE2</t>
  </si>
  <si>
    <t>HE3</t>
  </si>
  <si>
    <t>Leitungen TW</t>
  </si>
  <si>
    <t>Speicher</t>
  </si>
  <si>
    <t>Übersicht Kessel</t>
  </si>
  <si>
    <t>Konstantkessel</t>
  </si>
  <si>
    <t>NT-Kessel</t>
  </si>
  <si>
    <t>BWKessel</t>
  </si>
  <si>
    <t>HE Kombi</t>
  </si>
  <si>
    <t xml:space="preserve">HE Kessel </t>
  </si>
  <si>
    <t>Wahl</t>
  </si>
  <si>
    <t>H1.</t>
  </si>
  <si>
    <t>H2.</t>
  </si>
  <si>
    <t>eg</t>
  </si>
  <si>
    <t>HE</t>
  </si>
  <si>
    <t>Elektrowärmepumpen - Wasser/Wasser - 55/45°C</t>
  </si>
  <si>
    <t>Elektrowärmepumpen - Wasser/Wasser - 35/28°C</t>
  </si>
  <si>
    <t>Elektrowärmepumpen - Erdreich/Wasser - 55/45°C</t>
  </si>
  <si>
    <t>Elektrowärmepumpen - Erdreich/Wasser - 35/28°C</t>
  </si>
  <si>
    <t>Elektrowärmepumpen - Luft/Wasser - 55/45°C</t>
  </si>
  <si>
    <t>Elektrowärmepumpen - Luft/Wasser - 35/28°C</t>
  </si>
  <si>
    <t>Elektrowärmepumpen - Abluft/Wasser (ohne WRG) - 35/28°C</t>
  </si>
  <si>
    <t>Elektrowärmepumpen - Abluft/Wasser (ohne WRG) - 55/45°C</t>
  </si>
  <si>
    <t>Konstanttemp</t>
  </si>
  <si>
    <t>NT7055</t>
  </si>
  <si>
    <t>NT5545</t>
  </si>
  <si>
    <t>NT3528</t>
  </si>
  <si>
    <t>außen</t>
  </si>
  <si>
    <t>innen</t>
  </si>
  <si>
    <t>egH2</t>
  </si>
  <si>
    <t>egH3</t>
  </si>
  <si>
    <t>Alphasolar</t>
  </si>
  <si>
    <t>fprimsolar</t>
  </si>
  <si>
    <t>Gutschriften</t>
  </si>
  <si>
    <t>Lüftung</t>
  </si>
  <si>
    <t>Gesamt</t>
  </si>
  <si>
    <t>Endenergie</t>
  </si>
  <si>
    <t>Primärenergie</t>
  </si>
  <si>
    <t>kWh/a</t>
  </si>
  <si>
    <t>V aussen</t>
  </si>
  <si>
    <t>V innen</t>
  </si>
  <si>
    <t>LV</t>
  </si>
  <si>
    <t>LS</t>
  </si>
  <si>
    <t>LA</t>
  </si>
  <si>
    <t>La</t>
  </si>
  <si>
    <t>faV</t>
  </si>
  <si>
    <t>faS</t>
  </si>
  <si>
    <t>faA</t>
  </si>
  <si>
    <t>fbV</t>
  </si>
  <si>
    <t>fbS</t>
  </si>
  <si>
    <t>fbA</t>
  </si>
  <si>
    <t>tV</t>
  </si>
  <si>
    <t>tS</t>
  </si>
  <si>
    <t>tA</t>
  </si>
  <si>
    <t>UV</t>
  </si>
  <si>
    <t>US</t>
  </si>
  <si>
    <t>UA</t>
  </si>
  <si>
    <t>V</t>
  </si>
  <si>
    <t>S</t>
  </si>
  <si>
    <t>A</t>
  </si>
  <si>
    <t>90/70</t>
  </si>
  <si>
    <t>H3.</t>
  </si>
  <si>
    <t>HE Kessel</t>
  </si>
  <si>
    <t>korrekturfaktor</t>
  </si>
  <si>
    <t>20K</t>
  </si>
  <si>
    <t>15K</t>
  </si>
  <si>
    <t>10K</t>
  </si>
  <si>
    <t>7K</t>
  </si>
  <si>
    <t>geregelt</t>
  </si>
  <si>
    <t>ungeregelt</t>
  </si>
  <si>
    <t>wahl</t>
  </si>
  <si>
    <t>HE-geregelt</t>
  </si>
  <si>
    <t>HE-ungeregelt</t>
  </si>
  <si>
    <t>W</t>
  </si>
  <si>
    <t>Heizspeicher</t>
  </si>
  <si>
    <t xml:space="preserve">Wahl </t>
  </si>
  <si>
    <t>qhn</t>
  </si>
  <si>
    <t>WRG</t>
  </si>
  <si>
    <t>eg,WE,WRG</t>
  </si>
  <si>
    <t>qg,WE,WRG</t>
  </si>
  <si>
    <t>qg,HE,WRG</t>
  </si>
  <si>
    <t>WRG ANTEIL</t>
  </si>
  <si>
    <t>qg,WE,WP</t>
  </si>
  <si>
    <t>eg,WE,WP</t>
  </si>
  <si>
    <t>qd,HE;WP</t>
  </si>
  <si>
    <t>qg,WE,HR</t>
  </si>
  <si>
    <t>eg,WE,HR</t>
  </si>
  <si>
    <t>qh,L</t>
  </si>
  <si>
    <t>Nutzenergie</t>
  </si>
  <si>
    <t>nur Bereich SL, aber 1/6</t>
  </si>
  <si>
    <t>nur Bereich SL, aber 1/2</t>
  </si>
  <si>
    <t>nur Bereich SL, aber 1/1,5</t>
  </si>
  <si>
    <t>Heizkreistemperaturen</t>
  </si>
  <si>
    <t>mitteltemp für Speicher</t>
  </si>
  <si>
    <t>n</t>
  </si>
  <si>
    <t>Verlust gesamt (qBS)</t>
  </si>
  <si>
    <t>keine Solaranlage vorhanden</t>
  </si>
  <si>
    <t>Wärmeverteilung</t>
  </si>
  <si>
    <t>Wärmespeicherung</t>
  </si>
  <si>
    <t>Wärmeerzeugung</t>
  </si>
  <si>
    <t>L1.</t>
  </si>
  <si>
    <t>L2.</t>
  </si>
  <si>
    <t>L3.</t>
  </si>
  <si>
    <t>L4.</t>
  </si>
  <si>
    <t>nur SL</t>
  </si>
  <si>
    <t>gewählte Verteilung:</t>
  </si>
  <si>
    <t>gewählte Speicherung:</t>
  </si>
  <si>
    <t>gewählte Solaranlage</t>
  </si>
  <si>
    <t>2. Erzeuger</t>
  </si>
  <si>
    <t>gebäudezentral; mit Zirkulation; Verteilleitungen im unbeheizten Keller oder Dach</t>
  </si>
  <si>
    <t>3. Erzeuger</t>
  </si>
  <si>
    <t>3. Erzeuger vorhanden?</t>
  </si>
  <si>
    <t>2. Primärenergieträger</t>
  </si>
  <si>
    <t>3. Primärenergieträger</t>
  </si>
  <si>
    <t>Überprüfung</t>
  </si>
  <si>
    <t>Freigabe</t>
  </si>
  <si>
    <t>W:</t>
  </si>
  <si>
    <t>H:</t>
  </si>
  <si>
    <t>L:</t>
  </si>
  <si>
    <t>Fehler?</t>
  </si>
  <si>
    <t>Luftwechsel</t>
  </si>
  <si>
    <t>Erzeuger</t>
  </si>
  <si>
    <t>WRG Anteil</t>
  </si>
  <si>
    <t>WP Anteil</t>
  </si>
  <si>
    <t>HR Anteil</t>
  </si>
  <si>
    <t>Deckung</t>
  </si>
  <si>
    <t>Brennstoff 2</t>
  </si>
  <si>
    <t>Erzeuger 2</t>
  </si>
  <si>
    <t>Erzeuger 3</t>
  </si>
  <si>
    <t>Temperaturen</t>
  </si>
  <si>
    <t>Summe</t>
  </si>
  <si>
    <t>Wahr?</t>
  </si>
  <si>
    <t>Wert eg</t>
  </si>
  <si>
    <t>Wert HE</t>
  </si>
  <si>
    <t>eG,H ausserhalb</t>
  </si>
  <si>
    <t>eG,H - innerhalb</t>
  </si>
  <si>
    <t>aussen</t>
  </si>
  <si>
    <t>Pumpe</t>
  </si>
  <si>
    <t>Solarspeicher</t>
  </si>
  <si>
    <t>gebäudezentral; mit Zirkulation; Verteilleitungen im beheizten Bereich</t>
  </si>
  <si>
    <t>Sonstige Daten</t>
  </si>
  <si>
    <t>Art der Wärmeübergabe</t>
  </si>
  <si>
    <t>Systemtemperaturen (Auslegung)</t>
  </si>
  <si>
    <t>Art der Wärmeverteilung:</t>
  </si>
  <si>
    <t xml:space="preserve">H4. </t>
  </si>
  <si>
    <t>H5.</t>
  </si>
  <si>
    <t>Grundlast-Wärmeerzeuger:</t>
  </si>
  <si>
    <t>Spitzenlast-Wärmeerzeuger:</t>
  </si>
  <si>
    <t>L5.</t>
  </si>
  <si>
    <t>L6.</t>
  </si>
  <si>
    <t>L7.</t>
  </si>
  <si>
    <t>Detailergebnisse: Lüftung</t>
  </si>
  <si>
    <t>Detailergebnisse: Heizung</t>
  </si>
  <si>
    <t>Erzeugung - Heizregister (HR)</t>
  </si>
  <si>
    <t>Erzeugung - Wärmepumpen (WP)</t>
  </si>
  <si>
    <t>Erzeugung - Wärmerückgewinnung (WRG)</t>
  </si>
  <si>
    <t>Erzeugung - Hilfsenergie</t>
  </si>
  <si>
    <t>Ppumpe</t>
  </si>
  <si>
    <t>Formeln</t>
  </si>
  <si>
    <t>13+0,1*AN</t>
  </si>
  <si>
    <t>ohne Zirk</t>
  </si>
  <si>
    <t>26+0,2*AN</t>
  </si>
  <si>
    <t>0,038*AN</t>
  </si>
  <si>
    <t>0,075*AN</t>
  </si>
  <si>
    <t>6*AN/80</t>
  </si>
  <si>
    <t>SL</t>
  </si>
  <si>
    <t>geb.zentral</t>
  </si>
  <si>
    <t>z</t>
  </si>
  <si>
    <t>Zirk.zeit</t>
  </si>
  <si>
    <t>10+1/(0,07+50/AN)</t>
  </si>
  <si>
    <t>32°C</t>
  </si>
  <si>
    <t>U</t>
  </si>
  <si>
    <t>für V S SL</t>
  </si>
  <si>
    <t>13°C</t>
  </si>
  <si>
    <t>für unbeheizt</t>
  </si>
  <si>
    <t xml:space="preserve">20°C </t>
  </si>
  <si>
    <t>für beheizt</t>
  </si>
  <si>
    <t>f</t>
  </si>
  <si>
    <t>für beheizt / Gutschrift</t>
  </si>
  <si>
    <t>für unbeheizt / Gutschrift</t>
  </si>
  <si>
    <t>4*AN/80</t>
  </si>
  <si>
    <t>gemeinsame Inst.wand</t>
  </si>
  <si>
    <t>1*AN/80</t>
  </si>
  <si>
    <t>dezentral 1 R 1Z</t>
  </si>
  <si>
    <t>3*AN/80</t>
  </si>
  <si>
    <t>dezenral 1R nZ</t>
  </si>
  <si>
    <t>P*ttW*z/1000/AN</t>
  </si>
  <si>
    <t>Leistung</t>
  </si>
  <si>
    <t>Energie</t>
  </si>
  <si>
    <t>27+0,008*AN</t>
  </si>
  <si>
    <t>50°C</t>
  </si>
  <si>
    <t>WW-Leitungen</t>
  </si>
  <si>
    <t>zirk-Leitungen</t>
  </si>
  <si>
    <t>qS=1,2*(50-tetaU)/45*350*qBS/AN</t>
  </si>
  <si>
    <t>qBS=0,4+0,2V^0,4</t>
  </si>
  <si>
    <t>V=6*AN^0,7</t>
  </si>
  <si>
    <t>q=P*t/1000/AN</t>
  </si>
  <si>
    <t>P=44+0,059*AN</t>
  </si>
  <si>
    <t>t=170+5*AN^0,5</t>
  </si>
  <si>
    <t>qS=(55-tetaU)/45*350*qBS/AN</t>
  </si>
  <si>
    <t>qBS=0,29+0,019V^0,8</t>
  </si>
  <si>
    <t>V=4*AN^0,7</t>
  </si>
  <si>
    <t>V=8,5*AN^0,7</t>
  </si>
  <si>
    <t>qS=(55-tetaU)/50*350*qBS/AN</t>
  </si>
  <si>
    <t>qBS=2+0,033V^1,1</t>
  </si>
  <si>
    <t>formeln</t>
  </si>
  <si>
    <t>Wasserheizung; freie Heizflächen; Anordnung Außenwandbereich; Xp=1K</t>
  </si>
  <si>
    <t>Wasserheizung; freie Heizflächen; Anordnung Außenwandbereich; elektronische Regelung</t>
  </si>
  <si>
    <t>Wasserheizung; freie Heizflächen; Anordnung Außenwandbereich; elektronische Regelung mit Optimierung</t>
  </si>
  <si>
    <t>Wasserheizung; freie Heizflächen; Anordnung Innenwandbereich; Xp=2K</t>
  </si>
  <si>
    <t>Wasserheizung; freie Heizflächen; Anordnung Innenwandbereich; Xp=1K</t>
  </si>
  <si>
    <t>Wasserheizung; freie Heizflächen; Anordnung Innenwandbereich; elektronische Regelung</t>
  </si>
  <si>
    <t>Wasserheizung; freie Heizflächen; Anordnung Innenwandbereich; elektronische Regelung mit Optimierung</t>
  </si>
  <si>
    <t>Wasserheizung; integrierte Heizflächen; Xp=2K</t>
  </si>
  <si>
    <t>Elektroheizung; Anordnung Außenwandbereich; Einzelraumregelung; Direktheizung</t>
  </si>
  <si>
    <t>Elektroheizung; Anordnung Außenwandbereich; Einzelraumregelung; Speicherheizung</t>
  </si>
  <si>
    <t>Elektroheizung; Anordnung Innenwandbereich; Einzelraumregelung; Direktheizung</t>
  </si>
  <si>
    <t>Elektroheizung; Anordnung Innenwandbereich; Einzelraumregelung; Speicherheizung</t>
  </si>
  <si>
    <t>Wasserheizung; freie Heizflächen; Anordnung Außenwandbereich; Xp=2K</t>
  </si>
  <si>
    <t>qtw</t>
  </si>
  <si>
    <t>IST</t>
  </si>
  <si>
    <t>Geplanter Anlagenluftwechsel</t>
  </si>
  <si>
    <t>(Solaranlage)</t>
  </si>
  <si>
    <t>(Grundlasterzeuger)</t>
  </si>
  <si>
    <t>(Spitzenlasterzeuger)</t>
  </si>
  <si>
    <t>Grundlastwärmeerzeuger:</t>
  </si>
  <si>
    <t>Spitzenlastwärmeerzeuger:</t>
  </si>
  <si>
    <t>(Wärmerückgewinnung)</t>
  </si>
  <si>
    <t>(Wärmepumpe)</t>
  </si>
  <si>
    <t>(Heizregister)</t>
  </si>
  <si>
    <t>Lizenz</t>
  </si>
  <si>
    <t>Name 1</t>
  </si>
  <si>
    <t>Name 2</t>
  </si>
  <si>
    <t>Straße</t>
  </si>
  <si>
    <t>Ort</t>
  </si>
  <si>
    <t>Tel</t>
  </si>
  <si>
    <t>Fax</t>
  </si>
  <si>
    <t>e-mail</t>
  </si>
  <si>
    <t>P</t>
  </si>
  <si>
    <t>K</t>
  </si>
  <si>
    <t>P1</t>
  </si>
  <si>
    <t>Rechnung</t>
  </si>
  <si>
    <t>Name 3</t>
  </si>
  <si>
    <t>letztes Softwaredatum</t>
  </si>
  <si>
    <t>besonderes</t>
  </si>
  <si>
    <t>Übernommene Werte aus anderen Blättern</t>
  </si>
  <si>
    <t>[m²]</t>
  </si>
  <si>
    <t>[kWh/m²a]</t>
  </si>
  <si>
    <t>Flach-kollektor</t>
  </si>
  <si>
    <t>Röhren-kollektor</t>
  </si>
  <si>
    <t>Kleine Anlagen</t>
  </si>
  <si>
    <t>Flach</t>
  </si>
  <si>
    <t>Röhre</t>
  </si>
  <si>
    <t>[kWh/a]</t>
  </si>
  <si>
    <t>k1</t>
  </si>
  <si>
    <t>k2</t>
  </si>
  <si>
    <t>IAM(50)</t>
  </si>
  <si>
    <t>C</t>
  </si>
  <si>
    <t>Flachkollektor</t>
  </si>
  <si>
    <t>Indirekt beheizter Speicher</t>
  </si>
  <si>
    <t>[l]</t>
  </si>
  <si>
    <t>In.B.Sp.</t>
  </si>
  <si>
    <t>El.Stab</t>
  </si>
  <si>
    <t>Flachkollektoren</t>
  </si>
  <si>
    <t>Kleine+Grosse  Anlagen + Flachkollektoren</t>
  </si>
  <si>
    <r>
      <t>Q*</t>
    </r>
    <r>
      <rPr>
        <vertAlign val="subscript"/>
        <sz val="12"/>
        <rFont val="Arial"/>
        <family val="2"/>
      </rPr>
      <t>TW</t>
    </r>
  </si>
  <si>
    <r>
      <t>A</t>
    </r>
    <r>
      <rPr>
        <vertAlign val="subscript"/>
        <sz val="12"/>
        <rFont val="Arial"/>
        <family val="2"/>
      </rPr>
      <t>N</t>
    </r>
  </si>
  <si>
    <r>
      <t>q</t>
    </r>
    <r>
      <rPr>
        <vertAlign val="subscript"/>
        <sz val="12"/>
        <rFont val="Arial"/>
        <family val="2"/>
      </rPr>
      <t>tw</t>
    </r>
  </si>
  <si>
    <r>
      <t>q</t>
    </r>
    <r>
      <rPr>
        <vertAlign val="subscript"/>
        <sz val="12"/>
        <rFont val="Arial"/>
        <family val="2"/>
      </rPr>
      <t>TW,d</t>
    </r>
  </si>
  <si>
    <r>
      <t>q</t>
    </r>
    <r>
      <rPr>
        <vertAlign val="subscript"/>
        <sz val="12"/>
        <rFont val="Arial"/>
        <family val="2"/>
      </rPr>
      <t>TW,s</t>
    </r>
  </si>
  <si>
    <r>
      <t>A</t>
    </r>
    <r>
      <rPr>
        <vertAlign val="subscript"/>
        <sz val="12"/>
        <rFont val="Arial"/>
        <family val="2"/>
      </rPr>
      <t>C</t>
    </r>
  </si>
  <si>
    <r>
      <t>Q</t>
    </r>
    <r>
      <rPr>
        <vertAlign val="subscript"/>
        <sz val="12"/>
        <rFont val="Arial"/>
        <family val="2"/>
      </rPr>
      <t>SYS</t>
    </r>
  </si>
  <si>
    <r>
      <t>h</t>
    </r>
    <r>
      <rPr>
        <vertAlign val="subscript"/>
        <sz val="12"/>
        <rFont val="Arial"/>
        <family val="2"/>
      </rPr>
      <t>0</t>
    </r>
  </si>
  <si>
    <r>
      <t>f</t>
    </r>
    <r>
      <rPr>
        <vertAlign val="subscript"/>
        <sz val="12"/>
        <rFont val="Arial"/>
        <family val="2"/>
      </rPr>
      <t>NA</t>
    </r>
    <r>
      <rPr>
        <sz val="12"/>
        <rFont val="Arial"/>
        <family val="2"/>
      </rPr>
      <t xml:space="preserve"> </t>
    </r>
  </si>
  <si>
    <r>
      <t>V</t>
    </r>
    <r>
      <rPr>
        <vertAlign val="subscript"/>
        <sz val="12"/>
        <rFont val="Arial"/>
        <family val="2"/>
      </rPr>
      <t>s,sol</t>
    </r>
  </si>
  <si>
    <r>
      <t>V</t>
    </r>
    <r>
      <rPr>
        <vertAlign val="subscript"/>
        <sz val="12"/>
        <rFont val="Arial"/>
        <family val="2"/>
      </rPr>
      <t>s,aux</t>
    </r>
  </si>
  <si>
    <r>
      <t>f</t>
    </r>
    <r>
      <rPr>
        <vertAlign val="subscript"/>
        <sz val="12"/>
        <rFont val="Arial"/>
        <family val="2"/>
      </rPr>
      <t>slr</t>
    </r>
  </si>
  <si>
    <r>
      <t>f</t>
    </r>
    <r>
      <rPr>
        <vertAlign val="subscript"/>
        <sz val="12"/>
        <rFont val="Arial"/>
        <family val="2"/>
      </rPr>
      <t>dsol</t>
    </r>
  </si>
  <si>
    <r>
      <t>f</t>
    </r>
    <r>
      <rPr>
        <vertAlign val="subscript"/>
        <sz val="12"/>
        <rFont val="Arial"/>
        <family val="2"/>
      </rPr>
      <t>s,Vsol</t>
    </r>
  </si>
  <si>
    <r>
      <t>f</t>
    </r>
    <r>
      <rPr>
        <vertAlign val="subscript"/>
        <sz val="12"/>
        <rFont val="Arial"/>
        <family val="2"/>
      </rPr>
      <t>s,Vaux</t>
    </r>
  </si>
  <si>
    <r>
      <t>f</t>
    </r>
    <r>
      <rPr>
        <vertAlign val="subscript"/>
        <sz val="12"/>
        <rFont val="Arial"/>
        <family val="2"/>
      </rPr>
      <t>s,loss</t>
    </r>
  </si>
  <si>
    <r>
      <t>f</t>
    </r>
    <r>
      <rPr>
        <vertAlign val="subscript"/>
        <sz val="12"/>
        <rFont val="Arial"/>
        <family val="2"/>
      </rPr>
      <t>S,</t>
    </r>
    <r>
      <rPr>
        <vertAlign val="subscript"/>
        <sz val="12"/>
        <rFont val="Symbol"/>
        <family val="1"/>
        <charset val="2"/>
      </rPr>
      <t>J</t>
    </r>
  </si>
  <si>
    <r>
      <t>f</t>
    </r>
    <r>
      <rPr>
        <vertAlign val="subscript"/>
        <sz val="12"/>
        <rFont val="Arial"/>
        <family val="2"/>
      </rPr>
      <t>S,t</t>
    </r>
  </si>
  <si>
    <r>
      <t>f</t>
    </r>
    <r>
      <rPr>
        <vertAlign val="subscript"/>
        <sz val="12"/>
        <rFont val="Arial"/>
        <family val="2"/>
      </rPr>
      <t>S,an</t>
    </r>
  </si>
  <si>
    <t>Vssol</t>
  </si>
  <si>
    <t>Vsaux</t>
  </si>
  <si>
    <t>Vsumme</t>
  </si>
  <si>
    <t>nur Solar</t>
  </si>
  <si>
    <t>Temp WAHR?</t>
  </si>
  <si>
    <t>eg innen</t>
  </si>
  <si>
    <t>eg außen</t>
  </si>
  <si>
    <t>Brennwert besser</t>
  </si>
  <si>
    <t>nur indirekt</t>
  </si>
  <si>
    <t>erfüllt?</t>
  </si>
  <si>
    <t>Vmax</t>
  </si>
  <si>
    <t>Solaranteil</t>
  </si>
  <si>
    <t>Benutzungsbedingungen:</t>
  </si>
  <si>
    <t>1.</t>
  </si>
  <si>
    <t>2.</t>
  </si>
  <si>
    <t>3.</t>
  </si>
  <si>
    <t xml:space="preserve">  </t>
  </si>
  <si>
    <t>4.</t>
  </si>
  <si>
    <t>Projektbeschreibung</t>
  </si>
  <si>
    <t>2004-FREE (V2.3)</t>
  </si>
  <si>
    <t>Stand 07.07.2004</t>
  </si>
  <si>
    <t>Dr.-Ing. Kati Jagnow</t>
  </si>
  <si>
    <t>Stand 09.10.2006</t>
  </si>
  <si>
    <t>FREE (V2.4)</t>
  </si>
  <si>
    <t>Heizöl</t>
  </si>
  <si>
    <t>Erdgas</t>
  </si>
  <si>
    <t>Flüssiggas</t>
  </si>
  <si>
    <t>Steinkohle</t>
  </si>
  <si>
    <t>Braunkohle</t>
  </si>
  <si>
    <t>NFW KWK fossil</t>
  </si>
  <si>
    <t>NFW KWK regenerativ</t>
  </si>
  <si>
    <t>NFW HW fossil</t>
  </si>
  <si>
    <t>NFW HW regenerativ</t>
  </si>
  <si>
    <t>Stand 17.10.2007</t>
  </si>
  <si>
    <t>FREE (V3.0)</t>
  </si>
  <si>
    <t>Wärmebrücken</t>
  </si>
  <si>
    <t>Primärenergiefaktoren</t>
  </si>
  <si>
    <t>Stand 11.03.2009</t>
  </si>
  <si>
    <t>FREE (V3.1)</t>
  </si>
  <si>
    <t>Kommentare, Berichtigungen und Hinweise bitte an: info@delta-q.de</t>
  </si>
  <si>
    <t>Stand 20.09.2009</t>
  </si>
  <si>
    <t>FREE (V4.0)</t>
  </si>
  <si>
    <t>und Vermögensverluste oder anderer mittelbarer Schäden, die durch den Gebrauch</t>
  </si>
  <si>
    <t xml:space="preserve">oder die Nichtverwendbarkeit dieser Software entstehen. Die Benutzung erfolgt auf eigene Gefahr. </t>
  </si>
  <si>
    <t xml:space="preserve">werden für eine korrekte Anwendung  vorausgesetzt. Im Falle von fachlichen Problemen mit dem </t>
  </si>
  <si>
    <t>Bei technischen Problemen wenden Sie sich an untenstehende Adresse.</t>
  </si>
  <si>
    <t>Nachweisverfahren kann seitens der Programmautoren keine Hilfestellung gegeben werden.</t>
  </si>
  <si>
    <t xml:space="preserve">Nach DIN Normenheft 10 (7. geänderte Auflage 2001)  Urhebernutzungsrecht Seite 553 ff. wurden die in diesem </t>
  </si>
  <si>
    <r>
      <t>q</t>
    </r>
    <r>
      <rPr>
        <vertAlign val="subscript"/>
        <sz val="12"/>
        <rFont val="Arial"/>
        <family val="2"/>
      </rPr>
      <t>TW,ce</t>
    </r>
  </si>
  <si>
    <r>
      <t>α</t>
    </r>
    <r>
      <rPr>
        <vertAlign val="subscript"/>
        <sz val="12"/>
        <rFont val="Arial"/>
        <family val="2"/>
      </rPr>
      <t>TW,g</t>
    </r>
  </si>
  <si>
    <r>
      <t>f</t>
    </r>
    <r>
      <rPr>
        <vertAlign val="subscript"/>
        <sz val="12"/>
        <rFont val="Arial"/>
        <family val="2"/>
      </rPr>
      <t>P</t>
    </r>
  </si>
  <si>
    <r>
      <t>e</t>
    </r>
    <r>
      <rPr>
        <vertAlign val="subscript"/>
        <sz val="12"/>
        <rFont val="Arial"/>
        <family val="2"/>
      </rPr>
      <t>TW,g</t>
    </r>
  </si>
  <si>
    <r>
      <t>q</t>
    </r>
    <r>
      <rPr>
        <vertAlign val="subscript"/>
        <sz val="12"/>
        <rFont val="Arial"/>
        <family val="2"/>
      </rPr>
      <t>TW,ce,HE</t>
    </r>
  </si>
  <si>
    <r>
      <t>q</t>
    </r>
    <r>
      <rPr>
        <vertAlign val="subscript"/>
        <sz val="12"/>
        <rFont val="Arial"/>
        <family val="2"/>
      </rPr>
      <t>TW,d,HE</t>
    </r>
  </si>
  <si>
    <r>
      <t>q</t>
    </r>
    <r>
      <rPr>
        <vertAlign val="subscript"/>
        <sz val="12"/>
        <rFont val="Arial"/>
        <family val="2"/>
      </rPr>
      <t>TW,s,HE</t>
    </r>
  </si>
  <si>
    <r>
      <t>q</t>
    </r>
    <r>
      <rPr>
        <vertAlign val="subscript"/>
        <sz val="12"/>
        <rFont val="Arial"/>
        <family val="2"/>
      </rPr>
      <t>TW,g,HE</t>
    </r>
  </si>
  <si>
    <r>
      <t>q</t>
    </r>
    <r>
      <rPr>
        <vertAlign val="subscript"/>
        <sz val="12"/>
        <rFont val="Arial"/>
        <family val="2"/>
      </rPr>
      <t>TW,HE</t>
    </r>
  </si>
  <si>
    <r>
      <t>q</t>
    </r>
    <r>
      <rPr>
        <vertAlign val="subscript"/>
        <sz val="12"/>
        <rFont val="Arial"/>
        <family val="2"/>
      </rPr>
      <t>TW,HE,P</t>
    </r>
  </si>
  <si>
    <r>
      <t>q</t>
    </r>
    <r>
      <rPr>
        <vertAlign val="subscript"/>
        <sz val="12"/>
        <rFont val="Arial"/>
        <family val="2"/>
      </rPr>
      <t>TW,WE</t>
    </r>
  </si>
  <si>
    <r>
      <t>q</t>
    </r>
    <r>
      <rPr>
        <vertAlign val="subscript"/>
        <sz val="12"/>
        <rFont val="Arial"/>
        <family val="2"/>
      </rPr>
      <t>TW,WE,P</t>
    </r>
  </si>
  <si>
    <r>
      <t>H</t>
    </r>
    <r>
      <rPr>
        <vertAlign val="subscript"/>
        <sz val="12"/>
        <rFont val="Arial"/>
        <family val="2"/>
      </rPr>
      <t>T</t>
    </r>
  </si>
  <si>
    <r>
      <t>H</t>
    </r>
    <r>
      <rPr>
        <vertAlign val="subscript"/>
        <sz val="12"/>
        <rFont val="Arial"/>
        <family val="2"/>
      </rPr>
      <t>V</t>
    </r>
  </si>
  <si>
    <r>
      <t>Q</t>
    </r>
    <r>
      <rPr>
        <vertAlign val="subscript"/>
        <sz val="12"/>
        <rFont val="Arial"/>
        <family val="2"/>
      </rPr>
      <t>I</t>
    </r>
  </si>
  <si>
    <r>
      <t>q</t>
    </r>
    <r>
      <rPr>
        <vertAlign val="subscript"/>
        <sz val="12"/>
        <rFont val="Arial"/>
        <family val="2"/>
      </rPr>
      <t>h</t>
    </r>
  </si>
  <si>
    <r>
      <t>Q</t>
    </r>
    <r>
      <rPr>
        <vertAlign val="subscript"/>
        <sz val="12"/>
        <rFont val="Arial"/>
        <family val="2"/>
      </rPr>
      <t xml:space="preserve">S </t>
    </r>
  </si>
  <si>
    <r>
      <t xml:space="preserve">η </t>
    </r>
    <r>
      <rPr>
        <sz val="12"/>
        <rFont val="Arial"/>
        <family val="2"/>
      </rPr>
      <t>·</t>
    </r>
    <r>
      <rPr>
        <sz val="12"/>
        <rFont val="Arial"/>
        <family val="2"/>
      </rPr>
      <t xml:space="preserve"> Q</t>
    </r>
    <r>
      <rPr>
        <vertAlign val="subscript"/>
        <sz val="12"/>
        <rFont val="Arial"/>
        <family val="2"/>
      </rPr>
      <t>I</t>
    </r>
  </si>
  <si>
    <r>
      <t xml:space="preserve">η </t>
    </r>
    <r>
      <rPr>
        <sz val="12"/>
        <rFont val="Arial"/>
        <family val="2"/>
      </rPr>
      <t xml:space="preserve">· </t>
    </r>
    <r>
      <rPr>
        <sz val="12"/>
        <rFont val="Arial"/>
        <family val="2"/>
      </rPr>
      <t>Q</t>
    </r>
    <r>
      <rPr>
        <vertAlign val="subscript"/>
        <sz val="12"/>
        <rFont val="Arial"/>
        <family val="2"/>
      </rPr>
      <t>S</t>
    </r>
  </si>
  <si>
    <r>
      <t>Q</t>
    </r>
    <r>
      <rPr>
        <vertAlign val="subscript"/>
        <sz val="12"/>
        <rFont val="Arial"/>
        <family val="2"/>
      </rPr>
      <t>h</t>
    </r>
  </si>
  <si>
    <r>
      <t>q</t>
    </r>
    <r>
      <rPr>
        <vertAlign val="subscript"/>
        <sz val="12"/>
        <rFont val="Arial"/>
        <family val="2"/>
      </rPr>
      <t>h,L</t>
    </r>
  </si>
  <si>
    <r>
      <t>q</t>
    </r>
    <r>
      <rPr>
        <vertAlign val="subscript"/>
        <sz val="12"/>
        <rFont val="Arial"/>
        <family val="2"/>
      </rPr>
      <t>ce,L</t>
    </r>
  </si>
  <si>
    <r>
      <t>q</t>
    </r>
    <r>
      <rPr>
        <vertAlign val="subscript"/>
        <sz val="12"/>
        <rFont val="Arial"/>
        <family val="2"/>
      </rPr>
      <t>d,L</t>
    </r>
  </si>
  <si>
    <r>
      <t>q</t>
    </r>
    <r>
      <rPr>
        <vertAlign val="subscript"/>
        <sz val="12"/>
        <rFont val="Arial"/>
        <family val="2"/>
      </rPr>
      <t>L,g,WRG</t>
    </r>
  </si>
  <si>
    <r>
      <t>e</t>
    </r>
    <r>
      <rPr>
        <vertAlign val="subscript"/>
        <sz val="12"/>
        <rFont val="Arial"/>
        <family val="2"/>
      </rPr>
      <t>L,g,WRG</t>
    </r>
  </si>
  <si>
    <r>
      <t>q</t>
    </r>
    <r>
      <rPr>
        <vertAlign val="subscript"/>
        <sz val="12"/>
        <rFont val="Arial"/>
        <family val="2"/>
      </rPr>
      <t>L,g,WP</t>
    </r>
  </si>
  <si>
    <r>
      <t>e</t>
    </r>
    <r>
      <rPr>
        <vertAlign val="subscript"/>
        <sz val="12"/>
        <rFont val="Arial"/>
        <family val="2"/>
      </rPr>
      <t>L,g,WP</t>
    </r>
  </si>
  <si>
    <r>
      <t>q</t>
    </r>
    <r>
      <rPr>
        <vertAlign val="subscript"/>
        <sz val="12"/>
        <rFont val="Arial"/>
        <family val="2"/>
      </rPr>
      <t>L,g,HR</t>
    </r>
  </si>
  <si>
    <r>
      <t>e</t>
    </r>
    <r>
      <rPr>
        <vertAlign val="subscript"/>
        <sz val="12"/>
        <rFont val="Arial"/>
        <family val="2"/>
      </rPr>
      <t>L,g,HR</t>
    </r>
  </si>
  <si>
    <r>
      <t>q</t>
    </r>
    <r>
      <rPr>
        <vertAlign val="subscript"/>
        <sz val="12"/>
        <rFont val="Arial"/>
        <family val="2"/>
      </rPr>
      <t>L,WE</t>
    </r>
  </si>
  <si>
    <r>
      <t>q</t>
    </r>
    <r>
      <rPr>
        <vertAlign val="subscript"/>
        <sz val="12"/>
        <rFont val="Arial"/>
        <family val="2"/>
      </rPr>
      <t>L,WE,P</t>
    </r>
  </si>
  <si>
    <r>
      <t>q</t>
    </r>
    <r>
      <rPr>
        <vertAlign val="subscript"/>
        <sz val="12"/>
        <rFont val="Arial"/>
        <family val="2"/>
      </rPr>
      <t>L,ce,HE</t>
    </r>
  </si>
  <si>
    <r>
      <t>q</t>
    </r>
    <r>
      <rPr>
        <vertAlign val="subscript"/>
        <sz val="12"/>
        <rFont val="Arial"/>
        <family val="2"/>
      </rPr>
      <t>L,d,HE</t>
    </r>
  </si>
  <si>
    <r>
      <t>q</t>
    </r>
    <r>
      <rPr>
        <vertAlign val="subscript"/>
        <sz val="12"/>
        <rFont val="Arial"/>
        <family val="2"/>
      </rPr>
      <t>L,g,HE</t>
    </r>
  </si>
  <si>
    <r>
      <t>q</t>
    </r>
    <r>
      <rPr>
        <vertAlign val="subscript"/>
        <sz val="12"/>
        <rFont val="Arial"/>
        <family val="2"/>
      </rPr>
      <t>L,HE</t>
    </r>
  </si>
  <si>
    <r>
      <t>q</t>
    </r>
    <r>
      <rPr>
        <vertAlign val="subscript"/>
        <sz val="12"/>
        <rFont val="Arial"/>
        <family val="2"/>
      </rPr>
      <t>L,HE,P</t>
    </r>
  </si>
  <si>
    <r>
      <t>q</t>
    </r>
    <r>
      <rPr>
        <vertAlign val="subscript"/>
        <sz val="12"/>
        <rFont val="Arial"/>
        <family val="2"/>
      </rPr>
      <t>h,TW,d</t>
    </r>
  </si>
  <si>
    <r>
      <t>q</t>
    </r>
    <r>
      <rPr>
        <vertAlign val="subscript"/>
        <sz val="12"/>
        <rFont val="Arial"/>
        <family val="2"/>
      </rPr>
      <t>h,TW,s</t>
    </r>
  </si>
  <si>
    <r>
      <t>q</t>
    </r>
    <r>
      <rPr>
        <vertAlign val="subscript"/>
        <sz val="12"/>
        <rFont val="Arial"/>
        <family val="2"/>
      </rPr>
      <t xml:space="preserve">h,H </t>
    </r>
    <r>
      <rPr>
        <sz val="12"/>
        <rFont val="Arial"/>
        <family val="2"/>
      </rPr>
      <t>= q</t>
    </r>
    <r>
      <rPr>
        <vertAlign val="subscript"/>
        <sz val="12"/>
        <rFont val="Arial"/>
        <family val="2"/>
      </rPr>
      <t xml:space="preserve">h </t>
    </r>
    <r>
      <rPr>
        <sz val="8"/>
        <rFont val="Arial"/>
        <family val="2"/>
      </rPr>
      <t>(effektiv)</t>
    </r>
  </si>
  <si>
    <r>
      <t>q</t>
    </r>
    <r>
      <rPr>
        <vertAlign val="subscript"/>
        <sz val="12"/>
        <rFont val="Arial"/>
        <family val="2"/>
      </rPr>
      <t>H,ce</t>
    </r>
  </si>
  <si>
    <r>
      <t>q</t>
    </r>
    <r>
      <rPr>
        <vertAlign val="subscript"/>
        <sz val="12"/>
        <rFont val="Arial"/>
        <family val="2"/>
      </rPr>
      <t>H,d</t>
    </r>
  </si>
  <si>
    <r>
      <t>q</t>
    </r>
    <r>
      <rPr>
        <vertAlign val="subscript"/>
        <sz val="12"/>
        <rFont val="Arial"/>
        <family val="2"/>
      </rPr>
      <t>H,s</t>
    </r>
  </si>
  <si>
    <r>
      <t>α</t>
    </r>
    <r>
      <rPr>
        <vertAlign val="subscript"/>
        <sz val="12"/>
        <rFont val="Arial"/>
        <family val="2"/>
      </rPr>
      <t>H,g</t>
    </r>
  </si>
  <si>
    <r>
      <t>e</t>
    </r>
    <r>
      <rPr>
        <vertAlign val="subscript"/>
        <sz val="12"/>
        <rFont val="Arial"/>
        <family val="2"/>
      </rPr>
      <t>H,g</t>
    </r>
  </si>
  <si>
    <r>
      <t>q</t>
    </r>
    <r>
      <rPr>
        <vertAlign val="subscript"/>
        <sz val="12"/>
        <rFont val="Arial"/>
        <family val="2"/>
      </rPr>
      <t>H,WE</t>
    </r>
  </si>
  <si>
    <r>
      <t>q</t>
    </r>
    <r>
      <rPr>
        <vertAlign val="subscript"/>
        <sz val="12"/>
        <rFont val="Arial"/>
        <family val="2"/>
      </rPr>
      <t>H,WE,P</t>
    </r>
  </si>
  <si>
    <r>
      <t>q</t>
    </r>
    <r>
      <rPr>
        <vertAlign val="subscript"/>
        <sz val="12"/>
        <rFont val="Arial"/>
        <family val="2"/>
      </rPr>
      <t>H,ce,HE</t>
    </r>
  </si>
  <si>
    <r>
      <t>q</t>
    </r>
    <r>
      <rPr>
        <vertAlign val="subscript"/>
        <sz val="12"/>
        <rFont val="Arial"/>
        <family val="2"/>
      </rPr>
      <t>H,d,HE</t>
    </r>
  </si>
  <si>
    <r>
      <t>q</t>
    </r>
    <r>
      <rPr>
        <vertAlign val="subscript"/>
        <sz val="12"/>
        <rFont val="Arial"/>
        <family val="2"/>
      </rPr>
      <t>H,s,HE</t>
    </r>
  </si>
  <si>
    <r>
      <t>q</t>
    </r>
    <r>
      <rPr>
        <vertAlign val="subscript"/>
        <sz val="12"/>
        <rFont val="Arial"/>
        <family val="2"/>
      </rPr>
      <t>H,g,HE</t>
    </r>
  </si>
  <si>
    <r>
      <t>q</t>
    </r>
    <r>
      <rPr>
        <vertAlign val="subscript"/>
        <sz val="12"/>
        <rFont val="Arial"/>
        <family val="2"/>
      </rPr>
      <t>H,HE</t>
    </r>
  </si>
  <si>
    <r>
      <t>q</t>
    </r>
    <r>
      <rPr>
        <vertAlign val="subscript"/>
        <sz val="12"/>
        <rFont val="Arial"/>
        <family val="2"/>
      </rPr>
      <t>H,HE,P</t>
    </r>
  </si>
  <si>
    <r>
      <t>Q</t>
    </r>
    <r>
      <rPr>
        <vertAlign val="subscript"/>
        <sz val="12"/>
        <rFont val="Arial"/>
        <family val="2"/>
      </rPr>
      <t>T</t>
    </r>
  </si>
  <si>
    <r>
      <t>Q</t>
    </r>
    <r>
      <rPr>
        <vertAlign val="subscript"/>
        <sz val="12"/>
        <rFont val="Arial"/>
        <family val="2"/>
      </rPr>
      <t>V</t>
    </r>
  </si>
  <si>
    <t>Energieträger für Ausweis</t>
  </si>
  <si>
    <t>WE</t>
  </si>
  <si>
    <t>Primärenergieträger</t>
  </si>
  <si>
    <t>kein weiterer Erzeuger</t>
  </si>
  <si>
    <t>Anlagenart</t>
  </si>
  <si>
    <t>Erzeuger HR</t>
  </si>
  <si>
    <t>Bedarfsführung</t>
  </si>
  <si>
    <t>Delta n</t>
  </si>
  <si>
    <t>Delta qhn</t>
  </si>
  <si>
    <t>Betriebsführung</t>
  </si>
  <si>
    <t>55/45°C</t>
  </si>
  <si>
    <t>REF:</t>
  </si>
  <si>
    <t>REF</t>
  </si>
  <si>
    <t>REFERENZ</t>
  </si>
  <si>
    <t>Bauteilbezeichnung</t>
  </si>
  <si>
    <t>Fläche</t>
  </si>
  <si>
    <t>Liste möglicher Bauteile</t>
  </si>
  <si>
    <t>Steildach</t>
  </si>
  <si>
    <t>Flachdach</t>
  </si>
  <si>
    <t>Decken über Durchfahrten</t>
  </si>
  <si>
    <t>UREF</t>
  </si>
  <si>
    <t>Außentüren</t>
  </si>
  <si>
    <t>Fenster, Fenstertüren</t>
  </si>
  <si>
    <t>Dachflächenfenster</t>
  </si>
  <si>
    <t>Lichtkuppeln</t>
  </si>
  <si>
    <t>Oberste Geschossdecke</t>
  </si>
  <si>
    <t>g-REF</t>
  </si>
  <si>
    <t>Grundlegende Geometrie- und Gebäudedaten</t>
  </si>
  <si>
    <t>m</t>
  </si>
  <si>
    <t>für das zu bewertende Gebäude</t>
  </si>
  <si>
    <t>für das Referenzgebäude</t>
  </si>
  <si>
    <r>
      <t>externes Volumen V</t>
    </r>
    <r>
      <rPr>
        <vertAlign val="subscript"/>
        <sz val="10"/>
        <rFont val="Arial"/>
        <family val="2"/>
      </rPr>
      <t>e</t>
    </r>
  </si>
  <si>
    <r>
      <t>Nutzfläche A</t>
    </r>
    <r>
      <rPr>
        <vertAlign val="subscript"/>
        <sz val="10"/>
        <rFont val="Arial"/>
        <family val="2"/>
      </rPr>
      <t>N</t>
    </r>
  </si>
  <si>
    <r>
      <t>mittlere Geschossdeckenhöhe h</t>
    </r>
    <r>
      <rPr>
        <vertAlign val="subscript"/>
        <sz val="10"/>
        <rFont val="Arial"/>
        <family val="2"/>
      </rPr>
      <t>G</t>
    </r>
  </si>
  <si>
    <r>
      <t>Heizwärmebedarf q</t>
    </r>
    <r>
      <rPr>
        <vertAlign val="subscript"/>
        <sz val="10"/>
        <rFont val="Arial"/>
        <family val="2"/>
      </rPr>
      <t>h</t>
    </r>
  </si>
  <si>
    <r>
      <t>spezifischer, auf die wärmeübertragende Umfassungsfläche bezogener Transmissionswärmeverlust H</t>
    </r>
    <r>
      <rPr>
        <vertAlign val="subscript"/>
        <sz val="10"/>
        <rFont val="Arial"/>
        <family val="2"/>
      </rPr>
      <t>T</t>
    </r>
    <r>
      <rPr>
        <sz val="10"/>
        <rFont val="Arial"/>
        <family val="2"/>
      </rPr>
      <t xml:space="preserve">' für das zu bewertende Gebäude </t>
    </r>
  </si>
  <si>
    <t>Kürzel</t>
  </si>
  <si>
    <t>Zuordnung zu einem Bauteiltyp</t>
  </si>
  <si>
    <t>B1.</t>
  </si>
  <si>
    <t>Grunddaten</t>
  </si>
  <si>
    <t>… an Dachraum</t>
  </si>
  <si>
    <t>… an Erdreich</t>
  </si>
  <si>
    <t>… opak nach außen</t>
  </si>
  <si>
    <t>… transparent nach außen</t>
  </si>
  <si>
    <t>Wände</t>
  </si>
  <si>
    <t>Türen</t>
  </si>
  <si>
    <t>… an andere unbeheizte Räume</t>
  </si>
  <si>
    <t>Decken</t>
  </si>
  <si>
    <t>… an niedrig beheize Räume</t>
  </si>
  <si>
    <t>Wände/Decken zu Abseiten/Drempel</t>
  </si>
  <si>
    <t>HT</t>
  </si>
  <si>
    <t>U · A · Fx</t>
  </si>
  <si>
    <t>B2.</t>
  </si>
  <si>
    <t>Transmission</t>
  </si>
  <si>
    <t>B3.</t>
  </si>
  <si>
    <t>h-1</t>
  </si>
  <si>
    <t>Ausrichtung</t>
  </si>
  <si>
    <t>B4.</t>
  </si>
  <si>
    <t>Wärmegewinne durch Solarstrahlung</t>
  </si>
  <si>
    <t>---</t>
  </si>
  <si>
    <t>Fx</t>
  </si>
  <si>
    <t xml:space="preserve">W/(m²K) · </t>
  </si>
  <si>
    <t>m² =</t>
  </si>
  <si>
    <t>Wärme-brücken-zuschlag auf die gesamte Hüllfläche</t>
  </si>
  <si>
    <t>m³ ·</t>
  </si>
  <si>
    <t xml:space="preserve">h-1 · </t>
  </si>
  <si>
    <t>Wh/(m³K) =</t>
  </si>
  <si>
    <t>Summe A</t>
  </si>
  <si>
    <t>Stoffwerte Luft</t>
  </si>
  <si>
    <t>Aufgeständerter Fußboden</t>
  </si>
  <si>
    <t>k.A.</t>
  </si>
  <si>
    <t>Rsi</t>
  </si>
  <si>
    <t>Wände des beheizten Kellers</t>
  </si>
  <si>
    <t>Fußboden des beheizten Kellers</t>
  </si>
  <si>
    <t>… an unbeheizten Keller</t>
  </si>
  <si>
    <t>Kellerdecke (Keller mit Perimeterdämmung)</t>
  </si>
  <si>
    <t>Kellerdecke (Keller ohne Perimeterdämmung)</t>
  </si>
  <si>
    <t>Fußboden (EG) ohne Randdämmung</t>
  </si>
  <si>
    <t>Fußboden (EG), Randdämmung 5 m breit waagerecht</t>
  </si>
  <si>
    <t>Fußboden (EG), Randdämmung 2 m breit senkrecht</t>
  </si>
  <si>
    <t>B' &lt; 5</t>
  </si>
  <si>
    <t>5 &lt;= B' &lt;= 10</t>
  </si>
  <si>
    <t>B' &gt; 10</t>
  </si>
  <si>
    <t>Rfw &lt;= 1</t>
  </si>
  <si>
    <t>Rfw &gt; 1</t>
  </si>
  <si>
    <t>Rf</t>
  </si>
  <si>
    <t>Fx-Berechnung</t>
  </si>
  <si>
    <t>Anzeige</t>
  </si>
  <si>
    <t>Ausrichtung abfragen?</t>
  </si>
  <si>
    <t>Mai</t>
  </si>
  <si>
    <t>Horizontal - 0°</t>
  </si>
  <si>
    <t>Süd - 30°</t>
  </si>
  <si>
    <t>Süd - 45°</t>
  </si>
  <si>
    <t>Süd - 60°</t>
  </si>
  <si>
    <t>Süd - 90°</t>
  </si>
  <si>
    <t>Nord - 30°</t>
  </si>
  <si>
    <t>Nord - 45°</t>
  </si>
  <si>
    <t>Nord - 60°</t>
  </si>
  <si>
    <t>Nord - 90°</t>
  </si>
  <si>
    <t>Außentemperatur</t>
  </si>
  <si>
    <t>tM</t>
  </si>
  <si>
    <t>Januar</t>
  </si>
  <si>
    <t>Februar</t>
  </si>
  <si>
    <t>März</t>
  </si>
  <si>
    <t>April</t>
  </si>
  <si>
    <t>Juni</t>
  </si>
  <si>
    <t>Juli</t>
  </si>
  <si>
    <t>August</t>
  </si>
  <si>
    <t>September</t>
  </si>
  <si>
    <t>Oktober</t>
  </si>
  <si>
    <t>November</t>
  </si>
  <si>
    <t>Dezember</t>
  </si>
  <si>
    <t>FF</t>
  </si>
  <si>
    <t>g</t>
  </si>
  <si>
    <t>FS</t>
  </si>
  <si>
    <t>α</t>
  </si>
  <si>
    <t>Rse</t>
  </si>
  <si>
    <t>für Solarstrahlung</t>
  </si>
  <si>
    <t>B5.</t>
  </si>
  <si>
    <t>Interne Wärmegewinne</t>
  </si>
  <si>
    <t>nur für opake Wärmegewinne relevant</t>
  </si>
  <si>
    <t>opak nach außen?</t>
  </si>
  <si>
    <t>transparent nach außen?</t>
  </si>
  <si>
    <t>gewählte Richtung</t>
  </si>
  <si>
    <t>Qi</t>
  </si>
  <si>
    <t>QI</t>
  </si>
  <si>
    <t>interne Wärmeleistung</t>
  </si>
  <si>
    <t>W/m²</t>
  </si>
  <si>
    <t>Transparente Baueile QS</t>
  </si>
  <si>
    <t>Opake Baueile QS</t>
  </si>
  <si>
    <t>U*A*Re</t>
  </si>
  <si>
    <t>Ff*h*dt</t>
  </si>
  <si>
    <t>Re</t>
  </si>
  <si>
    <t>Qs transparent</t>
  </si>
  <si>
    <t>Weitere Geometrie- und Gebäudedaten</t>
  </si>
  <si>
    <t>leichte Bauweise: Holztafelbauart ohne massive Innenbauteile, Gebäude mit abgehängten Decken</t>
  </si>
  <si>
    <t>schwere Bauweise: Gebäude mit massiven Innen- und Außenbauteilen ohne abgehängte Decken</t>
  </si>
  <si>
    <t>Wh/(m³K)</t>
  </si>
  <si>
    <t>Wh/K</t>
  </si>
  <si>
    <t>detaillierte Ermittlung; Der Wert beträgt volumenbezogen:</t>
  </si>
  <si>
    <t>Bauschwere und wirksame Speicherfähigkeit</t>
  </si>
  <si>
    <t>Tagbetrieb</t>
  </si>
  <si>
    <t>Nachtabschaltung</t>
  </si>
  <si>
    <t>Normal</t>
  </si>
  <si>
    <t>Nachts</t>
  </si>
  <si>
    <t>gewählte Werte</t>
  </si>
  <si>
    <t>leicht</t>
  </si>
  <si>
    <t>schwer</t>
  </si>
  <si>
    <t>eigener Wert</t>
  </si>
  <si>
    <t>a = ao+t/to</t>
  </si>
  <si>
    <t>Zeitkonnstante t = cwirk/H</t>
  </si>
  <si>
    <t>HV</t>
  </si>
  <si>
    <t>h</t>
  </si>
  <si>
    <t>HT gesamt</t>
  </si>
  <si>
    <t>Cwirk</t>
  </si>
  <si>
    <t>Summe:</t>
  </si>
  <si>
    <t>aus dem umbauten Volumen abschätzen</t>
  </si>
  <si>
    <t>Eingabe eines genauen Wertes</t>
  </si>
  <si>
    <t>Luftvolumen</t>
  </si>
  <si>
    <t>geschätzter Wert</t>
  </si>
  <si>
    <t>genauer Wert</t>
  </si>
  <si>
    <t>gewählter Wert</t>
  </si>
  <si>
    <t>Vollgeschosse</t>
  </si>
  <si>
    <t>umbautes Volumen</t>
  </si>
  <si>
    <t>Wetterdaten</t>
  </si>
  <si>
    <t>Bauteile und HT</t>
  </si>
  <si>
    <t>Geschosshöhe</t>
  </si>
  <si>
    <t>W/m²K</t>
  </si>
  <si>
    <t>Stoffwerte</t>
  </si>
  <si>
    <t>h Abschaltbetrieb</t>
  </si>
  <si>
    <t>Leistung Erzeuger</t>
  </si>
  <si>
    <t>für Keller-FX</t>
  </si>
  <si>
    <t>Hic</t>
  </si>
  <si>
    <t>Hd</t>
  </si>
  <si>
    <t>Fenster/Tür?</t>
  </si>
  <si>
    <t>HT nur für Fenster/Türen = Hw</t>
  </si>
  <si>
    <t>Hsb</t>
  </si>
  <si>
    <t>Hce</t>
  </si>
  <si>
    <t>zeta1</t>
  </si>
  <si>
    <t>zeta2</t>
  </si>
  <si>
    <t>tau p</t>
  </si>
  <si>
    <t>C wirk,absenk</t>
  </si>
  <si>
    <t>tau T</t>
  </si>
  <si>
    <t>teta i, normal (t isp = t io)</t>
  </si>
  <si>
    <t>teta co</t>
  </si>
  <si>
    <t>teta ipp</t>
  </si>
  <si>
    <t>Summe W</t>
  </si>
  <si>
    <t>Summe kWh</t>
  </si>
  <si>
    <t>Summe kWh/a</t>
  </si>
  <si>
    <t>teta cpp</t>
  </si>
  <si>
    <t>HV mit n = 0,5 h-1</t>
  </si>
  <si>
    <t>tu = tnh</t>
  </si>
  <si>
    <t>teta i1 = teta i2</t>
  </si>
  <si>
    <t>tbh</t>
  </si>
  <si>
    <t>teta c1 = teta c2</t>
  </si>
  <si>
    <t>teta c3</t>
  </si>
  <si>
    <t>Delta Q je Nacht in Wh</t>
  </si>
  <si>
    <t>Delta Q je Monat in kWh/mon</t>
  </si>
  <si>
    <t>teta cnh = teta inh = teta e</t>
  </si>
  <si>
    <t>QT ohne Nachtabsenkung</t>
  </si>
  <si>
    <t>QT mit Nachtabsenkung</t>
  </si>
  <si>
    <t>QV</t>
  </si>
  <si>
    <t>Qs opak</t>
  </si>
  <si>
    <t>Qs</t>
  </si>
  <si>
    <t>Gewinne</t>
  </si>
  <si>
    <t>Verluste</t>
  </si>
  <si>
    <t>Gamma</t>
  </si>
  <si>
    <t>Qh</t>
  </si>
  <si>
    <t>Gamme, Eta und Bilanz</t>
  </si>
  <si>
    <t>Nr.</t>
  </si>
  <si>
    <t>Rubrik</t>
  </si>
  <si>
    <t>Vorgabe</t>
  </si>
  <si>
    <t>Eingabe</t>
  </si>
  <si>
    <t>Spalte nur für Keller/Boden relevant</t>
  </si>
  <si>
    <t>Abfrage von Himmelsrichtungen</t>
  </si>
  <si>
    <t>nur für solare Wärmegewinne relevant</t>
  </si>
  <si>
    <t>nur für Nachtabsenkung relevant</t>
  </si>
  <si>
    <t>HT Fenster/Türen</t>
  </si>
  <si>
    <t>Entscheidung, welches Fx für Kellerwände und Türen gilt:</t>
  </si>
  <si>
    <t>NR</t>
  </si>
  <si>
    <t>Strahlungswert a</t>
  </si>
  <si>
    <t>dieses Bauteil berücksichtigen?</t>
  </si>
  <si>
    <t>wie bei IST</t>
  </si>
  <si>
    <t>(für das IST-Gebäude)</t>
  </si>
  <si>
    <t>qh-Ist</t>
  </si>
  <si>
    <t>qh-Ref</t>
  </si>
  <si>
    <t>HT'ist</t>
  </si>
  <si>
    <t>Einsparung NA</t>
  </si>
  <si>
    <t>Übersicht: Heizwärmebedarf</t>
  </si>
  <si>
    <r>
      <t>A</t>
    </r>
    <r>
      <rPr>
        <vertAlign val="subscript"/>
        <sz val="11"/>
        <rFont val="Arial"/>
        <family val="2"/>
      </rPr>
      <t>N</t>
    </r>
  </si>
  <si>
    <r>
      <t>A/V</t>
    </r>
    <r>
      <rPr>
        <vertAlign val="subscript"/>
        <sz val="11"/>
        <rFont val="Arial"/>
        <family val="2"/>
      </rPr>
      <t>e</t>
    </r>
  </si>
  <si>
    <r>
      <t>m</t>
    </r>
    <r>
      <rPr>
        <vertAlign val="superscript"/>
        <sz val="11"/>
        <rFont val="Arial"/>
        <family val="2"/>
      </rPr>
      <t>-1</t>
    </r>
  </si>
  <si>
    <r>
      <t>H</t>
    </r>
    <r>
      <rPr>
        <vertAlign val="subscript"/>
        <sz val="11"/>
        <rFont val="Arial"/>
        <family val="2"/>
      </rPr>
      <t>T</t>
    </r>
  </si>
  <si>
    <r>
      <t>Q</t>
    </r>
    <r>
      <rPr>
        <vertAlign val="subscript"/>
        <sz val="11"/>
        <rFont val="Arial"/>
        <family val="2"/>
      </rPr>
      <t>T</t>
    </r>
  </si>
  <si>
    <r>
      <t>H</t>
    </r>
    <r>
      <rPr>
        <vertAlign val="subscript"/>
        <sz val="11"/>
        <rFont val="Arial"/>
        <family val="2"/>
      </rPr>
      <t>V</t>
    </r>
  </si>
  <si>
    <r>
      <t>Q</t>
    </r>
    <r>
      <rPr>
        <vertAlign val="subscript"/>
        <sz val="11"/>
        <rFont val="Arial"/>
        <family val="2"/>
      </rPr>
      <t>V</t>
    </r>
  </si>
  <si>
    <r>
      <t>Q</t>
    </r>
    <r>
      <rPr>
        <vertAlign val="subscript"/>
        <sz val="11"/>
        <rFont val="Arial"/>
        <family val="2"/>
      </rPr>
      <t>I</t>
    </r>
  </si>
  <si>
    <r>
      <t>η · Q</t>
    </r>
    <r>
      <rPr>
        <vertAlign val="subscript"/>
        <sz val="11"/>
        <rFont val="Arial"/>
        <family val="2"/>
      </rPr>
      <t>I</t>
    </r>
  </si>
  <si>
    <r>
      <t>Q</t>
    </r>
    <r>
      <rPr>
        <vertAlign val="subscript"/>
        <sz val="11"/>
        <rFont val="Arial"/>
        <family val="2"/>
      </rPr>
      <t xml:space="preserve">S </t>
    </r>
  </si>
  <si>
    <r>
      <t>η · Q</t>
    </r>
    <r>
      <rPr>
        <vertAlign val="subscript"/>
        <sz val="11"/>
        <rFont val="Arial"/>
        <family val="2"/>
      </rPr>
      <t>S</t>
    </r>
  </si>
  <si>
    <r>
      <t>q</t>
    </r>
    <r>
      <rPr>
        <vertAlign val="subscript"/>
        <sz val="11"/>
        <rFont val="Arial"/>
        <family val="2"/>
      </rPr>
      <t>h</t>
    </r>
  </si>
  <si>
    <r>
      <t>Q</t>
    </r>
    <r>
      <rPr>
        <vertAlign val="subscript"/>
        <sz val="11"/>
        <rFont val="Arial"/>
        <family val="2"/>
      </rPr>
      <t>h</t>
    </r>
  </si>
  <si>
    <r>
      <t>q</t>
    </r>
    <r>
      <rPr>
        <vertAlign val="subscript"/>
        <sz val="11"/>
        <rFont val="Arial"/>
        <family val="2"/>
      </rPr>
      <t>tw</t>
    </r>
  </si>
  <si>
    <r>
      <t>q</t>
    </r>
    <r>
      <rPr>
        <vertAlign val="subscript"/>
        <sz val="11"/>
        <rFont val="Arial"/>
        <family val="2"/>
      </rPr>
      <t>TW,ce</t>
    </r>
  </si>
  <si>
    <r>
      <t>q</t>
    </r>
    <r>
      <rPr>
        <vertAlign val="subscript"/>
        <sz val="11"/>
        <rFont val="Arial"/>
        <family val="2"/>
      </rPr>
      <t>TW,ce,HE</t>
    </r>
  </si>
  <si>
    <r>
      <t>q</t>
    </r>
    <r>
      <rPr>
        <vertAlign val="subscript"/>
        <sz val="11"/>
        <rFont val="Arial"/>
        <family val="2"/>
      </rPr>
      <t>TW,d</t>
    </r>
  </si>
  <si>
    <r>
      <t>q</t>
    </r>
    <r>
      <rPr>
        <vertAlign val="subscript"/>
        <sz val="11"/>
        <rFont val="Arial"/>
        <family val="2"/>
      </rPr>
      <t>TW,d,HE</t>
    </r>
  </si>
  <si>
    <r>
      <t>q</t>
    </r>
    <r>
      <rPr>
        <vertAlign val="subscript"/>
        <sz val="11"/>
        <rFont val="Arial"/>
        <family val="2"/>
      </rPr>
      <t>TW,s</t>
    </r>
  </si>
  <si>
    <r>
      <t>q</t>
    </r>
    <r>
      <rPr>
        <vertAlign val="subscript"/>
        <sz val="11"/>
        <rFont val="Arial"/>
        <family val="2"/>
      </rPr>
      <t>TW,s,HE</t>
    </r>
  </si>
  <si>
    <r>
      <t>α</t>
    </r>
    <r>
      <rPr>
        <vertAlign val="subscript"/>
        <sz val="11"/>
        <rFont val="Arial"/>
        <family val="2"/>
      </rPr>
      <t>TW,g</t>
    </r>
  </si>
  <si>
    <r>
      <t>f</t>
    </r>
    <r>
      <rPr>
        <vertAlign val="subscript"/>
        <sz val="11"/>
        <rFont val="Arial"/>
        <family val="2"/>
      </rPr>
      <t>P</t>
    </r>
  </si>
  <si>
    <r>
      <t>e</t>
    </r>
    <r>
      <rPr>
        <vertAlign val="subscript"/>
        <sz val="11"/>
        <rFont val="Arial"/>
        <family val="2"/>
      </rPr>
      <t>TW,g</t>
    </r>
  </si>
  <si>
    <r>
      <t>q</t>
    </r>
    <r>
      <rPr>
        <vertAlign val="subscript"/>
        <sz val="11"/>
        <rFont val="Arial"/>
        <family val="2"/>
      </rPr>
      <t>TW,g,HE</t>
    </r>
  </si>
  <si>
    <r>
      <t>q</t>
    </r>
    <r>
      <rPr>
        <vertAlign val="subscript"/>
        <sz val="11"/>
        <rFont val="Arial"/>
        <family val="2"/>
      </rPr>
      <t>TW,WE</t>
    </r>
  </si>
  <si>
    <r>
      <t>q</t>
    </r>
    <r>
      <rPr>
        <vertAlign val="subscript"/>
        <sz val="11"/>
        <rFont val="Arial"/>
        <family val="2"/>
      </rPr>
      <t>TW,HE</t>
    </r>
  </si>
  <si>
    <r>
      <t>q</t>
    </r>
    <r>
      <rPr>
        <vertAlign val="subscript"/>
        <sz val="11"/>
        <rFont val="Arial"/>
        <family val="2"/>
      </rPr>
      <t>TW,WE,P</t>
    </r>
  </si>
  <si>
    <r>
      <t>q</t>
    </r>
    <r>
      <rPr>
        <vertAlign val="subscript"/>
        <sz val="11"/>
        <rFont val="Arial"/>
        <family val="2"/>
      </rPr>
      <t>TW,HE,P</t>
    </r>
  </si>
  <si>
    <r>
      <t>q</t>
    </r>
    <r>
      <rPr>
        <vertAlign val="subscript"/>
        <sz val="11"/>
        <rFont val="Arial"/>
        <family val="2"/>
      </rPr>
      <t>h,L</t>
    </r>
  </si>
  <si>
    <r>
      <t>q</t>
    </r>
    <r>
      <rPr>
        <vertAlign val="subscript"/>
        <sz val="11"/>
        <rFont val="Arial"/>
        <family val="2"/>
      </rPr>
      <t>ce,L</t>
    </r>
  </si>
  <si>
    <r>
      <t>q</t>
    </r>
    <r>
      <rPr>
        <vertAlign val="subscript"/>
        <sz val="11"/>
        <rFont val="Arial"/>
        <family val="2"/>
      </rPr>
      <t>L,ce,HE</t>
    </r>
  </si>
  <si>
    <r>
      <t>q</t>
    </r>
    <r>
      <rPr>
        <vertAlign val="subscript"/>
        <sz val="11"/>
        <rFont val="Arial"/>
        <family val="2"/>
      </rPr>
      <t>d,L</t>
    </r>
  </si>
  <si>
    <r>
      <t>q</t>
    </r>
    <r>
      <rPr>
        <vertAlign val="subscript"/>
        <sz val="11"/>
        <rFont val="Arial"/>
        <family val="2"/>
      </rPr>
      <t>L,d,HE</t>
    </r>
  </si>
  <si>
    <r>
      <t>q</t>
    </r>
    <r>
      <rPr>
        <vertAlign val="subscript"/>
        <sz val="11"/>
        <rFont val="Arial"/>
        <family val="2"/>
      </rPr>
      <t>L,g,WRG</t>
    </r>
  </si>
  <si>
    <r>
      <t>e</t>
    </r>
    <r>
      <rPr>
        <vertAlign val="subscript"/>
        <sz val="11"/>
        <rFont val="Arial"/>
        <family val="2"/>
      </rPr>
      <t>L,g,WRG</t>
    </r>
  </si>
  <si>
    <r>
      <t>q</t>
    </r>
    <r>
      <rPr>
        <vertAlign val="subscript"/>
        <sz val="11"/>
        <rFont val="Arial"/>
        <family val="2"/>
      </rPr>
      <t>L,g,WP</t>
    </r>
  </si>
  <si>
    <r>
      <t>q</t>
    </r>
    <r>
      <rPr>
        <vertAlign val="subscript"/>
        <sz val="11"/>
        <rFont val="Arial"/>
        <family val="2"/>
      </rPr>
      <t>L,g,HE</t>
    </r>
  </si>
  <si>
    <r>
      <t>e</t>
    </r>
    <r>
      <rPr>
        <vertAlign val="subscript"/>
        <sz val="11"/>
        <rFont val="Arial"/>
        <family val="2"/>
      </rPr>
      <t>L,g,WP</t>
    </r>
  </si>
  <si>
    <r>
      <t>q</t>
    </r>
    <r>
      <rPr>
        <vertAlign val="subscript"/>
        <sz val="11"/>
        <rFont val="Arial"/>
        <family val="2"/>
      </rPr>
      <t>L,g,HR</t>
    </r>
  </si>
  <si>
    <r>
      <t>e</t>
    </r>
    <r>
      <rPr>
        <vertAlign val="subscript"/>
        <sz val="11"/>
        <rFont val="Arial"/>
        <family val="2"/>
      </rPr>
      <t>L,g,HR</t>
    </r>
  </si>
  <si>
    <r>
      <t>q</t>
    </r>
    <r>
      <rPr>
        <vertAlign val="subscript"/>
        <sz val="11"/>
        <rFont val="Arial"/>
        <family val="2"/>
      </rPr>
      <t>L,WE</t>
    </r>
  </si>
  <si>
    <r>
      <t>q</t>
    </r>
    <r>
      <rPr>
        <vertAlign val="subscript"/>
        <sz val="11"/>
        <rFont val="Arial"/>
        <family val="2"/>
      </rPr>
      <t>L,HE</t>
    </r>
  </si>
  <si>
    <r>
      <t>q</t>
    </r>
    <r>
      <rPr>
        <vertAlign val="subscript"/>
        <sz val="11"/>
        <rFont val="Arial"/>
        <family val="2"/>
      </rPr>
      <t>L,WE,P</t>
    </r>
  </si>
  <si>
    <r>
      <t>q</t>
    </r>
    <r>
      <rPr>
        <vertAlign val="subscript"/>
        <sz val="11"/>
        <rFont val="Arial"/>
        <family val="2"/>
      </rPr>
      <t>L,HE,P</t>
    </r>
  </si>
  <si>
    <r>
      <t>q</t>
    </r>
    <r>
      <rPr>
        <vertAlign val="subscript"/>
        <sz val="11"/>
        <rFont val="Arial"/>
        <family val="2"/>
      </rPr>
      <t>h,TW,d</t>
    </r>
  </si>
  <si>
    <r>
      <t>q</t>
    </r>
    <r>
      <rPr>
        <vertAlign val="subscript"/>
        <sz val="11"/>
        <rFont val="Arial"/>
        <family val="2"/>
      </rPr>
      <t>h,TW,s</t>
    </r>
  </si>
  <si>
    <r>
      <t>q</t>
    </r>
    <r>
      <rPr>
        <vertAlign val="subscript"/>
        <sz val="11"/>
        <rFont val="Arial"/>
        <family val="2"/>
      </rPr>
      <t>H,ce</t>
    </r>
  </si>
  <si>
    <r>
      <t>q</t>
    </r>
    <r>
      <rPr>
        <vertAlign val="subscript"/>
        <sz val="11"/>
        <rFont val="Arial"/>
        <family val="2"/>
      </rPr>
      <t>H,ce,HE</t>
    </r>
  </si>
  <si>
    <r>
      <t>q</t>
    </r>
    <r>
      <rPr>
        <vertAlign val="subscript"/>
        <sz val="11"/>
        <rFont val="Arial"/>
        <family val="2"/>
      </rPr>
      <t>H,d</t>
    </r>
  </si>
  <si>
    <r>
      <t>q</t>
    </r>
    <r>
      <rPr>
        <vertAlign val="subscript"/>
        <sz val="11"/>
        <rFont val="Arial"/>
        <family val="2"/>
      </rPr>
      <t>H,d,HE</t>
    </r>
  </si>
  <si>
    <r>
      <t>q</t>
    </r>
    <r>
      <rPr>
        <vertAlign val="subscript"/>
        <sz val="11"/>
        <rFont val="Arial"/>
        <family val="2"/>
      </rPr>
      <t>H,s</t>
    </r>
  </si>
  <si>
    <r>
      <t>q</t>
    </r>
    <r>
      <rPr>
        <vertAlign val="subscript"/>
        <sz val="11"/>
        <rFont val="Arial"/>
        <family val="2"/>
      </rPr>
      <t>H,s,HE</t>
    </r>
  </si>
  <si>
    <r>
      <t>α</t>
    </r>
    <r>
      <rPr>
        <vertAlign val="subscript"/>
        <sz val="11"/>
        <rFont val="Arial"/>
        <family val="2"/>
      </rPr>
      <t>H,g</t>
    </r>
  </si>
  <si>
    <r>
      <t>e</t>
    </r>
    <r>
      <rPr>
        <vertAlign val="subscript"/>
        <sz val="11"/>
        <rFont val="Arial"/>
        <family val="2"/>
      </rPr>
      <t>H,g</t>
    </r>
  </si>
  <si>
    <r>
      <t>q</t>
    </r>
    <r>
      <rPr>
        <vertAlign val="subscript"/>
        <sz val="11"/>
        <rFont val="Arial"/>
        <family val="2"/>
      </rPr>
      <t>H,g,HE</t>
    </r>
  </si>
  <si>
    <r>
      <t>q</t>
    </r>
    <r>
      <rPr>
        <vertAlign val="subscript"/>
        <sz val="11"/>
        <rFont val="Arial"/>
        <family val="2"/>
      </rPr>
      <t>H,WE</t>
    </r>
  </si>
  <si>
    <r>
      <t>q</t>
    </r>
    <r>
      <rPr>
        <vertAlign val="subscript"/>
        <sz val="11"/>
        <rFont val="Arial"/>
        <family val="2"/>
      </rPr>
      <t>H,HE</t>
    </r>
  </si>
  <si>
    <r>
      <t>q</t>
    </r>
    <r>
      <rPr>
        <vertAlign val="subscript"/>
        <sz val="11"/>
        <rFont val="Arial"/>
        <family val="2"/>
      </rPr>
      <t>H,WE,P</t>
    </r>
  </si>
  <si>
    <r>
      <t>q</t>
    </r>
    <r>
      <rPr>
        <vertAlign val="subscript"/>
        <sz val="11"/>
        <rFont val="Arial"/>
        <family val="2"/>
      </rPr>
      <t>H,HE,P</t>
    </r>
  </si>
  <si>
    <t>Detailergebnisse: Anlage zur Trinkwarmwasserbereitung</t>
  </si>
  <si>
    <t>Detailergebnisse: Lüftungsanlage</t>
  </si>
  <si>
    <t>Detailergebnisse: Heizungsanlage</t>
  </si>
  <si>
    <t>Jahr</t>
  </si>
  <si>
    <t>Einheit</t>
  </si>
  <si>
    <t>kWh</t>
  </si>
  <si>
    <t>γ</t>
  </si>
  <si>
    <t>Temp Bauteile</t>
  </si>
  <si>
    <t>Zeit</t>
  </si>
  <si>
    <t>Temp innen</t>
  </si>
  <si>
    <t>ohne Nacht-absenkung</t>
  </si>
  <si>
    <t>mit 7 h Nacht-absenkung</t>
  </si>
  <si>
    <t>η</t>
  </si>
  <si>
    <r>
      <t>Q</t>
    </r>
    <r>
      <rPr>
        <vertAlign val="superscript"/>
        <sz val="12"/>
        <rFont val="Arial"/>
        <family val="2"/>
      </rPr>
      <t>°</t>
    </r>
    <r>
      <rPr>
        <vertAlign val="subscript"/>
        <sz val="12"/>
        <rFont val="Arial"/>
        <family val="2"/>
      </rPr>
      <t>I</t>
    </r>
  </si>
  <si>
    <r>
      <t>Q</t>
    </r>
    <r>
      <rPr>
        <vertAlign val="subscript"/>
        <sz val="12"/>
        <rFont val="Arial"/>
        <family val="2"/>
      </rPr>
      <t>S</t>
    </r>
  </si>
  <si>
    <r>
      <t>Q</t>
    </r>
    <r>
      <rPr>
        <vertAlign val="subscript"/>
        <sz val="12"/>
        <rFont val="Arial"/>
        <family val="2"/>
      </rPr>
      <t>T</t>
    </r>
    <r>
      <rPr>
        <sz val="12"/>
        <rFont val="Arial"/>
        <family val="2"/>
      </rPr>
      <t>+Q</t>
    </r>
    <r>
      <rPr>
        <vertAlign val="subscript"/>
        <sz val="12"/>
        <rFont val="Arial"/>
        <family val="2"/>
      </rPr>
      <t>V</t>
    </r>
  </si>
  <si>
    <r>
      <t>Q</t>
    </r>
    <r>
      <rPr>
        <vertAlign val="subscript"/>
        <sz val="12"/>
        <rFont val="Arial"/>
        <family val="2"/>
      </rPr>
      <t>I</t>
    </r>
    <r>
      <rPr>
        <sz val="12"/>
        <rFont val="Arial"/>
        <family val="2"/>
      </rPr>
      <t>+Q</t>
    </r>
    <r>
      <rPr>
        <vertAlign val="subscript"/>
        <sz val="12"/>
        <rFont val="Arial"/>
        <family val="2"/>
      </rPr>
      <t>S</t>
    </r>
  </si>
  <si>
    <t>Gewinn-Verlust-Verhältnis und Fremdwärmenutzungsgrad</t>
  </si>
  <si>
    <t>U-Wert im IST-Gebäude</t>
  </si>
  <si>
    <t>U-Wert im Referenzgebäude</t>
  </si>
  <si>
    <t>U-Werte der Bauteile im Vergleich</t>
  </si>
  <si>
    <t>Beschreibung</t>
  </si>
  <si>
    <t xml:space="preserve">Zeitkonstante </t>
  </si>
  <si>
    <r>
      <t>θ</t>
    </r>
    <r>
      <rPr>
        <vertAlign val="subscript"/>
        <sz val="12"/>
        <rFont val="Arial"/>
        <family val="2"/>
      </rPr>
      <t>e</t>
    </r>
  </si>
  <si>
    <r>
      <t>θ</t>
    </r>
    <r>
      <rPr>
        <vertAlign val="subscript"/>
        <sz val="12"/>
        <rFont val="Arial"/>
        <family val="2"/>
      </rPr>
      <t>i</t>
    </r>
  </si>
  <si>
    <t>Temperaturen innen und außen</t>
  </si>
  <si>
    <t>Innere Wärmegewinne als Leistung und Energie</t>
  </si>
  <si>
    <t>Solare Wärmegewinne als Leistung und Energie</t>
  </si>
  <si>
    <t>Grafik: Heizwärmebedarf</t>
  </si>
  <si>
    <t>transparente Bauteile</t>
  </si>
  <si>
    <t>opake Bauteile</t>
  </si>
  <si>
    <r>
      <t>Q</t>
    </r>
    <r>
      <rPr>
        <vertAlign val="superscript"/>
        <sz val="12"/>
        <rFont val="Arial"/>
        <family val="2"/>
      </rPr>
      <t>°</t>
    </r>
    <r>
      <rPr>
        <vertAlign val="subscript"/>
        <sz val="12"/>
        <rFont val="Arial"/>
        <family val="2"/>
      </rPr>
      <t>S,trans</t>
    </r>
  </si>
  <si>
    <r>
      <t>Q</t>
    </r>
    <r>
      <rPr>
        <vertAlign val="subscript"/>
        <sz val="12"/>
        <rFont val="Arial"/>
        <family val="2"/>
      </rPr>
      <t>S,trans</t>
    </r>
  </si>
  <si>
    <r>
      <t>Q</t>
    </r>
    <r>
      <rPr>
        <vertAlign val="superscript"/>
        <sz val="12"/>
        <rFont val="Arial"/>
        <family val="2"/>
      </rPr>
      <t>°</t>
    </r>
    <r>
      <rPr>
        <vertAlign val="subscript"/>
        <sz val="12"/>
        <rFont val="Arial"/>
        <family val="2"/>
      </rPr>
      <t>S,opak</t>
    </r>
  </si>
  <si>
    <r>
      <t>Q</t>
    </r>
    <r>
      <rPr>
        <vertAlign val="subscript"/>
        <sz val="12"/>
        <rFont val="Arial"/>
        <family val="2"/>
      </rPr>
      <t>S,opak</t>
    </r>
  </si>
  <si>
    <t>Verteilung:</t>
  </si>
  <si>
    <t>Speicherung:</t>
  </si>
  <si>
    <t>Solarthermie:</t>
  </si>
  <si>
    <t>Grundlasterzeuger:</t>
  </si>
  <si>
    <t>Spitzenlasterzeuger:</t>
  </si>
  <si>
    <t>Anlagenluftwechsel:</t>
  </si>
  <si>
    <t>Anlagenart:</t>
  </si>
  <si>
    <t>Übergabe:</t>
  </si>
  <si>
    <t>Wärmerückgewinnung:</t>
  </si>
  <si>
    <t>Wärmepumpe:</t>
  </si>
  <si>
    <t>Hilfsenergie:</t>
  </si>
  <si>
    <t>Heizregister:</t>
  </si>
  <si>
    <t>Temperaturen:</t>
  </si>
  <si>
    <t>Pumpe:</t>
  </si>
  <si>
    <t>Grafik: Nutz-, End- und Primärenergie</t>
  </si>
  <si>
    <t>gREF</t>
  </si>
  <si>
    <t>Bauteil</t>
  </si>
  <si>
    <t>Ist-Wert</t>
  </si>
  <si>
    <t>Effizienzhaus 55</t>
  </si>
  <si>
    <t>Effizienzhaus 70</t>
  </si>
  <si>
    <t>Effizienzhaus 85</t>
  </si>
  <si>
    <t>HT'</t>
  </si>
  <si>
    <t>HT'ref</t>
  </si>
  <si>
    <t>aus Berechnung</t>
  </si>
  <si>
    <r>
      <t>Gebäudenutzfläche A</t>
    </r>
    <r>
      <rPr>
        <vertAlign val="subscript"/>
        <sz val="11"/>
        <rFont val="Arial"/>
        <family val="2"/>
      </rPr>
      <t>N</t>
    </r>
  </si>
  <si>
    <t>Kästchen in gelb mit blauer Schrift sind auszufüllen</t>
  </si>
  <si>
    <t>Kästchen in grün mit schwarzer Schrift enthalten Formeln und müssen nicht editiert werden.</t>
  </si>
  <si>
    <t>Hinweis</t>
  </si>
  <si>
    <t>Optionsfelder zum Wählen.</t>
  </si>
  <si>
    <t xml:space="preserve">Es gibt Auswahlmenüs, </t>
  </si>
  <si>
    <t>Kontrollkästchen und</t>
  </si>
  <si>
    <t>gibt es Kellerbauteile?</t>
  </si>
  <si>
    <t>für Anzeige</t>
  </si>
  <si>
    <t>eigener Wert nach Berechnung gemäß 
DIN EN ISO 10211</t>
  </si>
  <si>
    <t>Rahmen-anteil**</t>
  </si>
  <si>
    <t>* die Kästchen können editiert werden. Liegt Verschattung vor, ist der Wert detailliert zu berechnen oder Nordorientierung einzusetzen.</t>
  </si>
  <si>
    <t>** die Kästchen können editiert werden. Sofern keine Rahmenanteile bekannt sind, ist 0,7 anzusetzen.</t>
  </si>
  <si>
    <t>ja. Und es wird eine Abluftanlage eingebaut</t>
  </si>
  <si>
    <t>nein.</t>
  </si>
  <si>
    <r>
      <t>Anlagenluftwechsel n</t>
    </r>
    <r>
      <rPr>
        <vertAlign val="subscript"/>
        <sz val="10"/>
        <rFont val="Arial"/>
        <family val="2"/>
      </rPr>
      <t>A</t>
    </r>
    <r>
      <rPr>
        <sz val="10"/>
        <rFont val="Arial"/>
        <family val="2"/>
      </rPr>
      <t xml:space="preserve"> = </t>
    </r>
  </si>
  <si>
    <r>
      <t>Restluftwechsel n</t>
    </r>
    <r>
      <rPr>
        <vertAlign val="subscript"/>
        <sz val="10"/>
        <rFont val="Arial"/>
        <family val="2"/>
      </rPr>
      <t>x</t>
    </r>
    <r>
      <rPr>
        <sz val="10"/>
        <rFont val="Arial"/>
        <family val="2"/>
      </rPr>
      <t xml:space="preserve"> = </t>
    </r>
  </si>
  <si>
    <t>ja. Und es wird keine Lüftungsanlage eingebaut.</t>
  </si>
  <si>
    <t>ja. Und es wird eine Lüftungsanlage mit Zu- und Abluft eingebaut.</t>
  </si>
  <si>
    <t>Rest</t>
  </si>
  <si>
    <t>beheiztes Gebäudevolumen (extern)</t>
  </si>
  <si>
    <t>Gebäudenutzfläche</t>
  </si>
  <si>
    <t>AW</t>
  </si>
  <si>
    <t>AG</t>
  </si>
  <si>
    <r>
      <t>A</t>
    </r>
    <r>
      <rPr>
        <vertAlign val="subscript"/>
        <sz val="10"/>
        <rFont val="Arial"/>
        <family val="2"/>
      </rPr>
      <t>G</t>
    </r>
  </si>
  <si>
    <t>Ver-schat-tung*</t>
  </si>
  <si>
    <t>Boden-grund-fläche</t>
  </si>
  <si>
    <t>Umfang (Peri-meter)</t>
  </si>
  <si>
    <t>B'</t>
  </si>
  <si>
    <t>gibt es 14?</t>
  </si>
  <si>
    <t>gibt es 15?</t>
  </si>
  <si>
    <t>Werte aus Tabelle lesen</t>
  </si>
  <si>
    <t>Listennummer korrigiert wegen Kellertür und Kellerdecke</t>
  </si>
  <si>
    <t>Kellerbauteil?</t>
  </si>
  <si>
    <t>B' berechnen?</t>
  </si>
  <si>
    <t>Stand 01.11.2009</t>
  </si>
  <si>
    <t>FREE (V4.1)</t>
  </si>
  <si>
    <r>
      <t>q</t>
    </r>
    <r>
      <rPr>
        <vertAlign val="subscript"/>
        <sz val="11"/>
        <rFont val="Arial"/>
        <family val="2"/>
      </rPr>
      <t xml:space="preserve">h,H </t>
    </r>
    <r>
      <rPr>
        <sz val="11"/>
        <rFont val="Arial"/>
        <family val="2"/>
      </rPr>
      <t>= q</t>
    </r>
    <r>
      <rPr>
        <vertAlign val="subscript"/>
        <sz val="11"/>
        <rFont val="Arial"/>
        <family val="2"/>
      </rPr>
      <t>h (effektiv)</t>
    </r>
  </si>
  <si>
    <t>Stand 02.12.2009</t>
  </si>
  <si>
    <t>FREE (V4.2)</t>
  </si>
  <si>
    <t xml:space="preserve">         bedarfsgeführte Anlage? </t>
  </si>
  <si>
    <t>Effizienzhaus 40</t>
  </si>
  <si>
    <t>Stand 01.10.2010</t>
  </si>
  <si>
    <t>FREE (V4.3)</t>
  </si>
  <si>
    <t>Stand 01.12.2011</t>
  </si>
  <si>
    <t>FREE (V4.4)</t>
  </si>
  <si>
    <t>Stand 01.01.2014</t>
  </si>
  <si>
    <t>FREE (V4.5)</t>
  </si>
  <si>
    <t>keine Lüftungsanlage</t>
  </si>
  <si>
    <t>Südost - 30°</t>
  </si>
  <si>
    <t>Südost - 45°</t>
  </si>
  <si>
    <t>Südost - 60°</t>
  </si>
  <si>
    <t>Südost - 90°</t>
  </si>
  <si>
    <t>Südwest - 30°</t>
  </si>
  <si>
    <t>Südwest - 45°</t>
  </si>
  <si>
    <t>Südwest - 60°</t>
  </si>
  <si>
    <t>Südwest - 90°</t>
  </si>
  <si>
    <t>Ost - 30°</t>
  </si>
  <si>
    <t>Ost - 45°</t>
  </si>
  <si>
    <t>Ost - 60°</t>
  </si>
  <si>
    <t>Ost - 90°</t>
  </si>
  <si>
    <t>West - 30°</t>
  </si>
  <si>
    <t>West - 45°</t>
  </si>
  <si>
    <t>West - 60°</t>
  </si>
  <si>
    <t>West - 90°</t>
  </si>
  <si>
    <t>Nordost - 30°</t>
  </si>
  <si>
    <t>Nordost - 45°</t>
  </si>
  <si>
    <t>Nordost - 60°</t>
  </si>
  <si>
    <t>Nordost - 90°</t>
  </si>
  <si>
    <t>Nordwest - 30°</t>
  </si>
  <si>
    <t>Nordwest - 45°</t>
  </si>
  <si>
    <t>Nordwest - 60°</t>
  </si>
  <si>
    <t>Nordwest - 90°</t>
  </si>
  <si>
    <t>Stand 01.05.2014</t>
  </si>
  <si>
    <t>FREE (V5.0)</t>
  </si>
  <si>
    <t>Die Programmautorin übernimmt keine Garantie für die Richtigkeit der Ergebnisse.</t>
  </si>
  <si>
    <t>Jede Art des Verkaufs oder Vertriebs dieser Berechnungssoftware ist nicht gestattet.</t>
  </si>
  <si>
    <t>Das Programm ist eine Freeware.</t>
  </si>
  <si>
    <t>Die Programmautorin ist nicht haftbar für Schäden einschließlich aller entgangenen Gewinne</t>
  </si>
  <si>
    <t>(spezifischer, auf die wärmeübertragene Umfassungsfläche bezogener Transmissionswärmeverlust)</t>
  </si>
  <si>
    <t>(auf die Gebäudenutzfläche bezogener Primärenergiebedarf)</t>
  </si>
  <si>
    <t>es handelt sich um ein Bestandsgebäude, welches nur im Rahmen der KfW-Effizienzhaus-Bewertung als Neubau bilanziert wird</t>
  </si>
  <si>
    <t>indirekt beheizter Speicher; Aufstellung im unbeheizten Keller oder Dach</t>
  </si>
  <si>
    <t>mit Solar-Speicher</t>
  </si>
  <si>
    <t>bis 500 m²</t>
  </si>
  <si>
    <t>über 500 m²</t>
  </si>
  <si>
    <r>
      <t>Luftwechsel der Anlage nA=0,40 h</t>
    </r>
    <r>
      <rPr>
        <vertAlign val="superscript"/>
        <sz val="11"/>
        <rFont val="Times New Roman"/>
        <family val="1"/>
      </rPr>
      <t>-1</t>
    </r>
  </si>
  <si>
    <t>verminderter Restluftwechsel</t>
  </si>
  <si>
    <t>Stand 01.10.2014</t>
  </si>
  <si>
    <t>FREE (V5.1)</t>
  </si>
  <si>
    <t>Anzahl der Vollgeschosse</t>
  </si>
  <si>
    <t>Stand 18.01.2016</t>
  </si>
  <si>
    <t>FREE (V6.0)</t>
  </si>
  <si>
    <t>Photovoltaik</t>
  </si>
  <si>
    <t>Fläche PV</t>
  </si>
  <si>
    <t>Zelltyp</t>
  </si>
  <si>
    <t>monokristallines Silizium</t>
  </si>
  <si>
    <t>polykristallines Silizium</t>
  </si>
  <si>
    <t>Technologie</t>
  </si>
  <si>
    <t>unbelüftete Module (direkt auf Dämmung/Unterkonstruktion)</t>
  </si>
  <si>
    <t>mäßig belüftete Module</t>
  </si>
  <si>
    <t>stark belüftete und frei stehende Module</t>
  </si>
  <si>
    <t>Kpeak</t>
  </si>
  <si>
    <t>perf</t>
  </si>
  <si>
    <t>Ertrag</t>
  </si>
  <si>
    <t>nicht vorhanden</t>
  </si>
  <si>
    <t>Himmelsrichtung</t>
  </si>
  <si>
    <t>I, W/m²</t>
  </si>
  <si>
    <t>Esol, kWh/m²</t>
  </si>
  <si>
    <t>Ertrag, kWh</t>
  </si>
  <si>
    <t>informativ</t>
  </si>
  <si>
    <t>Peakleistung, kW</t>
  </si>
  <si>
    <t>Index</t>
  </si>
  <si>
    <t>3. Erzeguer</t>
  </si>
  <si>
    <t>Bedarf an Strom</t>
  </si>
  <si>
    <t>Jahreswert TWW</t>
  </si>
  <si>
    <t>Zeitanteil</t>
  </si>
  <si>
    <t>Heizwärmeanteil</t>
  </si>
  <si>
    <t>Jahreswert H</t>
  </si>
  <si>
    <t>Jahreswert L</t>
  </si>
  <si>
    <t>TWW</t>
  </si>
  <si>
    <t>H</t>
  </si>
  <si>
    <t>Verrechnung</t>
  </si>
  <si>
    <t>anrechenbar</t>
  </si>
  <si>
    <t>Detailergebnisse: Photovoltaik</t>
  </si>
  <si>
    <t>Fläche:</t>
  </si>
  <si>
    <t>Zelltyp:</t>
  </si>
  <si>
    <t>Technologie:</t>
  </si>
  <si>
    <t>Ertrag der PV-Anlage</t>
  </si>
  <si>
    <t>Bedarf Strom</t>
  </si>
  <si>
    <t>… Heizung</t>
  </si>
  <si>
    <t>… Lüftung</t>
  </si>
  <si>
    <t>… Trinkwarmwasser</t>
  </si>
  <si>
    <r>
      <t>θ</t>
    </r>
    <r>
      <rPr>
        <vertAlign val="subscript"/>
        <sz val="11"/>
        <rFont val="Arial"/>
        <family val="2"/>
      </rPr>
      <t>e</t>
    </r>
  </si>
  <si>
    <r>
      <t>θ</t>
    </r>
    <r>
      <rPr>
        <vertAlign val="subscript"/>
        <sz val="11"/>
        <rFont val="Arial"/>
        <family val="2"/>
      </rPr>
      <t>i</t>
    </r>
  </si>
  <si>
    <r>
      <t>Q</t>
    </r>
    <r>
      <rPr>
        <vertAlign val="superscript"/>
        <sz val="11"/>
        <rFont val="Arial"/>
        <family val="2"/>
      </rPr>
      <t>°</t>
    </r>
    <r>
      <rPr>
        <vertAlign val="subscript"/>
        <sz val="11"/>
        <rFont val="Arial"/>
        <family val="2"/>
      </rPr>
      <t>I</t>
    </r>
  </si>
  <si>
    <r>
      <t>Q</t>
    </r>
    <r>
      <rPr>
        <vertAlign val="superscript"/>
        <sz val="11"/>
        <rFont val="Arial"/>
        <family val="2"/>
      </rPr>
      <t>°</t>
    </r>
    <r>
      <rPr>
        <vertAlign val="subscript"/>
        <sz val="11"/>
        <rFont val="Arial"/>
        <family val="2"/>
      </rPr>
      <t>S,trans</t>
    </r>
  </si>
  <si>
    <r>
      <t>Q</t>
    </r>
    <r>
      <rPr>
        <vertAlign val="subscript"/>
        <sz val="11"/>
        <rFont val="Arial"/>
        <family val="2"/>
      </rPr>
      <t>S,trans</t>
    </r>
  </si>
  <si>
    <r>
      <t>Q</t>
    </r>
    <r>
      <rPr>
        <vertAlign val="superscript"/>
        <sz val="11"/>
        <rFont val="Arial"/>
        <family val="2"/>
      </rPr>
      <t>°</t>
    </r>
    <r>
      <rPr>
        <vertAlign val="subscript"/>
        <sz val="11"/>
        <rFont val="Arial"/>
        <family val="2"/>
      </rPr>
      <t>S,opak</t>
    </r>
  </si>
  <si>
    <r>
      <t>Q</t>
    </r>
    <r>
      <rPr>
        <vertAlign val="subscript"/>
        <sz val="11"/>
        <rFont val="Arial"/>
        <family val="2"/>
      </rPr>
      <t>S,opak</t>
    </r>
  </si>
  <si>
    <r>
      <t>Q</t>
    </r>
    <r>
      <rPr>
        <vertAlign val="subscript"/>
        <sz val="11"/>
        <rFont val="Arial"/>
        <family val="2"/>
      </rPr>
      <t>S</t>
    </r>
  </si>
  <si>
    <r>
      <t>Q</t>
    </r>
    <r>
      <rPr>
        <vertAlign val="subscript"/>
        <sz val="11"/>
        <rFont val="Arial"/>
        <family val="2"/>
      </rPr>
      <t>T</t>
    </r>
    <r>
      <rPr>
        <sz val="11"/>
        <rFont val="Arial"/>
        <family val="2"/>
      </rPr>
      <t>+Q</t>
    </r>
    <r>
      <rPr>
        <vertAlign val="subscript"/>
        <sz val="11"/>
        <rFont val="Arial"/>
        <family val="2"/>
      </rPr>
      <t>V</t>
    </r>
  </si>
  <si>
    <r>
      <t>Q</t>
    </r>
    <r>
      <rPr>
        <vertAlign val="subscript"/>
        <sz val="11"/>
        <rFont val="Arial"/>
        <family val="2"/>
      </rPr>
      <t>I</t>
    </r>
    <r>
      <rPr>
        <sz val="11"/>
        <rFont val="Arial"/>
        <family val="2"/>
      </rPr>
      <t>+Q</t>
    </r>
    <r>
      <rPr>
        <vertAlign val="subscript"/>
        <sz val="11"/>
        <rFont val="Arial"/>
        <family val="2"/>
      </rPr>
      <t>S</t>
    </r>
  </si>
  <si>
    <t>keine PV-Anlage vorhanden</t>
  </si>
  <si>
    <t>Lüftung und Heizung</t>
  </si>
  <si>
    <t>Heizung und Lüftung</t>
  </si>
  <si>
    <t xml:space="preserve">       Solaranlage vorhanden?:</t>
  </si>
  <si>
    <t xml:space="preserve">       Energieträger für diesen Wärmeerzeuger:</t>
  </si>
  <si>
    <t xml:space="preserve">       Erzeuger für Heizregister:</t>
  </si>
  <si>
    <t>Eingaben: Photovoltaik</t>
  </si>
  <si>
    <t>P1.</t>
  </si>
  <si>
    <t>Art der Anlage und Bedarfsführung</t>
  </si>
  <si>
    <t>P2:</t>
  </si>
  <si>
    <t>Modulfläche und Ausrichtung</t>
  </si>
  <si>
    <t xml:space="preserve">       Ausrichtung und Neigung</t>
  </si>
  <si>
    <t>Ergebnisübersicht</t>
  </si>
  <si>
    <r>
      <t>Berechnung mit Vorgaben für den Heizwärmebedarf und H</t>
    </r>
    <r>
      <rPr>
        <b/>
        <vertAlign val="subscript"/>
        <sz val="12"/>
        <rFont val="Arial"/>
        <family val="2"/>
      </rPr>
      <t>T</t>
    </r>
    <r>
      <rPr>
        <b/>
        <sz val="12"/>
        <rFont val="Arial"/>
        <family val="2"/>
      </rPr>
      <t>' aus einer anderen Datei</t>
    </r>
  </si>
  <si>
    <t>Berechnung des Heizwärmebedarfs</t>
  </si>
  <si>
    <t>Falls Sie zur Berechnung des Heizwärmebedarfs eine andere Datei verwenden, dann können Sie die 4 benötigten Zwischenergebnisse in der Rubrik G2. eintragen und damit weiterrechnen. Es entfallendann  die Eingaben unter B1 - B5. Bitte unten die gewünschte Vorgehensweise ankreuzen!</t>
  </si>
  <si>
    <t>Ich möchte mit den Eingaben der Rubrik G2 rechnen.
((Wird hier kein Häkchen gesetzt, dann gelten die  Eingaben in den Rubriken B1. bis B5.))</t>
  </si>
  <si>
    <r>
      <t xml:space="preserve">KfW-Kriterien </t>
    </r>
    <r>
      <rPr>
        <b/>
        <sz val="12"/>
        <color indexed="9"/>
        <rFont val="Arial"/>
        <family val="2"/>
      </rPr>
      <t>(näherungsweise Überprüfung; genaueres siehe "FAQ" der KfW)</t>
    </r>
  </si>
  <si>
    <t>Stand 22.11.2018</t>
  </si>
  <si>
    <t>FREE (V6.1)</t>
  </si>
  <si>
    <t>Stand 01.04.2021</t>
  </si>
  <si>
    <t>FREE (V7.0)</t>
  </si>
  <si>
    <r>
      <t>primärenergetische Anlagenaufwandszahl e</t>
    </r>
    <r>
      <rPr>
        <vertAlign val="subscript"/>
        <sz val="11"/>
        <rFont val="Arial"/>
        <family val="2"/>
      </rPr>
      <t>P</t>
    </r>
  </si>
  <si>
    <t>weil die Ausführungsdetails nach 
DIN 4108 BBl. 2 eingehalten werden oder Gleichwertigkeit nachgewiesen wurde</t>
  </si>
  <si>
    <t>Nachweis für den GEG-Neubau</t>
  </si>
  <si>
    <r>
      <t>Nebenanforderung H</t>
    </r>
    <r>
      <rPr>
        <b/>
        <vertAlign val="subscript"/>
        <sz val="11"/>
        <rFont val="Arial"/>
        <family val="2"/>
      </rPr>
      <t>T</t>
    </r>
    <r>
      <rPr>
        <b/>
        <sz val="11"/>
        <rFont val="Arial"/>
        <family val="2"/>
      </rPr>
      <t>'</t>
    </r>
  </si>
  <si>
    <r>
      <t>Hauptanforderung Q</t>
    </r>
    <r>
      <rPr>
        <b/>
        <vertAlign val="subscript"/>
        <sz val="11"/>
        <rFont val="Arial"/>
        <family val="2"/>
      </rPr>
      <t>P</t>
    </r>
    <r>
      <rPr>
        <b/>
        <sz val="11"/>
        <rFont val="Arial"/>
        <family val="2"/>
      </rPr>
      <t>''</t>
    </r>
  </si>
  <si>
    <t>Nebenanforderung</t>
  </si>
  <si>
    <t>Hauptanforderung:</t>
  </si>
  <si>
    <t>[für Berechnung Luftvolumen und PV]</t>
  </si>
  <si>
    <t>Zelltyp und Technologie</t>
  </si>
  <si>
    <t>Bilanz</t>
  </si>
  <si>
    <t>Kenntnisse über die dem GEG zu Grunde liegenden Berechnungsverfahren: DIN V 4108-6 und DIN V 4701-10</t>
  </si>
  <si>
    <t>Stand 09.05.2021</t>
  </si>
  <si>
    <t>FREE (V7.1)</t>
  </si>
  <si>
    <t>Erdgas H</t>
  </si>
  <si>
    <t>Peakleistung:</t>
  </si>
  <si>
    <t>anrechenbarer Strom - Endenergie (mit Monatsilanz ermittelt)</t>
  </si>
  <si>
    <t>Primärenergie (incl. PV)</t>
  </si>
  <si>
    <r>
      <t>q</t>
    </r>
    <r>
      <rPr>
        <b/>
        <vertAlign val="subscript"/>
        <sz val="9"/>
        <color rgb="FF000000"/>
        <rFont val="Arial"/>
        <family val="2"/>
      </rPr>
      <t>P</t>
    </r>
  </si>
  <si>
    <r>
      <t>H</t>
    </r>
    <r>
      <rPr>
        <b/>
        <vertAlign val="subscript"/>
        <sz val="9"/>
        <color rgb="FF000000"/>
        <rFont val="Arial"/>
        <family val="2"/>
      </rPr>
      <t>T</t>
    </r>
    <r>
      <rPr>
        <b/>
        <sz val="9"/>
        <color indexed="8"/>
        <rFont val="Arial"/>
        <family val="2"/>
      </rPr>
      <t>'</t>
    </r>
  </si>
  <si>
    <t>ZIEL</t>
  </si>
  <si>
    <t>Das Gebäude hat die Dicht-heitsprüfung bestanden.</t>
  </si>
  <si>
    <t>Stand 11.05.2021</t>
  </si>
  <si>
    <t>FREE (V7.2)</t>
  </si>
  <si>
    <t>Stand 09.02.2023</t>
  </si>
  <si>
    <t>FREE (V7.3)</t>
  </si>
  <si>
    <t>Primärenergieaufwand für Wohngebäude; Programm erstellt von K. Jagnow, 2001-2023</t>
  </si>
  <si>
    <t>Referenz-Gebäude · 55 %</t>
  </si>
  <si>
    <t>Primärenergieaufwand für Gebäude; Programm erstellt von K. Jagnow, Braunschweig 2001-2023</t>
  </si>
  <si>
    <t>Quelldaten aus DIN V 4108-6, DIN V 4701-10, DIN V 18599 (Klimadaten) und GEG 2020/23</t>
  </si>
  <si>
    <t>Gesamt (ohne PV-Strom)</t>
  </si>
  <si>
    <t>anrechenbarer PV-Strom</t>
  </si>
  <si>
    <t>Endenergie (ohne PV-Strom)</t>
  </si>
  <si>
    <t>Primärenergie (ohne PV-Strom)</t>
  </si>
  <si>
    <t>Bezogener Transmissionsverlust</t>
  </si>
  <si>
    <r>
      <t>H</t>
    </r>
    <r>
      <rPr>
        <vertAlign val="subscript"/>
        <sz val="11"/>
        <rFont val="Arial"/>
        <family val="2"/>
      </rPr>
      <t>T</t>
    </r>
    <r>
      <rPr>
        <sz val="11"/>
        <rFont val="Arial"/>
        <family val="2"/>
      </rPr>
      <t>'</t>
    </r>
  </si>
  <si>
    <t>Wand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</si>
</sst>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DM&quot;_-;\-* #,##0.00\ &quot;DM&quot;_-;_-* &quot;-&quot;??\ &quot;DM&quot;_-;_-@_-"/>
    <numFmt numFmtId="165" formatCode="0.0"/>
    <numFmt numFmtId="166" formatCode="0.000"/>
    <numFmt numFmtId="167" formatCode="0.0%"/>
    <numFmt numFmtId="168" formatCode="0.0000"/>
  </numFmts>
  <fonts count="91" x14ac:knownFonts="1">
    <font>
      <sz val="11"/>
      <name val="Arial"/>
    </font>
    <font>
      <sz val="11"/>
      <name val="Arial"/>
      <family val="2"/>
    </font>
    <font>
      <sz val="11"/>
      <name val="Times New Roman"/>
      <family val="1"/>
    </font>
    <font>
      <sz val="10"/>
      <name val="Arial"/>
      <family val="2"/>
    </font>
    <font>
      <vertAlign val="subscript"/>
      <sz val="10"/>
      <name val="Arial"/>
      <family val="2"/>
    </font>
    <font>
      <sz val="10"/>
      <name val="Arial"/>
      <family val="2"/>
    </font>
    <font>
      <sz val="12"/>
      <name val="Times New Roman"/>
      <family val="1"/>
    </font>
    <font>
      <sz val="10"/>
      <color indexed="9"/>
      <name val="Arial"/>
      <family val="2"/>
    </font>
    <font>
      <sz val="11"/>
      <color indexed="9"/>
      <name val="Arial"/>
      <family val="2"/>
    </font>
    <font>
      <vertAlign val="superscript"/>
      <sz val="11"/>
      <name val="Times New Roman"/>
      <family val="1"/>
    </font>
    <font>
      <sz val="8"/>
      <name val="Arial"/>
      <family val="2"/>
    </font>
    <font>
      <b/>
      <sz val="11"/>
      <name val="Arial"/>
      <family val="2"/>
    </font>
    <font>
      <sz val="12"/>
      <name val="Arial"/>
      <family val="2"/>
    </font>
    <font>
      <vertAlign val="subscript"/>
      <sz val="12"/>
      <name val="Arial"/>
      <family val="2"/>
    </font>
    <font>
      <sz val="12"/>
      <name val="Arial"/>
      <family val="2"/>
    </font>
    <font>
      <sz val="12"/>
      <name val="Symbol"/>
      <family val="1"/>
      <charset val="2"/>
    </font>
    <font>
      <vertAlign val="subscript"/>
      <sz val="12"/>
      <name val="Symbol"/>
      <family val="1"/>
      <charset val="2"/>
    </font>
    <font>
      <sz val="12"/>
      <color indexed="9"/>
      <name val="Arial"/>
      <family val="2"/>
    </font>
    <font>
      <sz val="8"/>
      <color indexed="9"/>
      <name val="Arial"/>
      <family val="2"/>
    </font>
    <font>
      <sz val="11"/>
      <color indexed="10"/>
      <name val="Arial"/>
      <family val="2"/>
    </font>
    <font>
      <b/>
      <sz val="14"/>
      <color indexed="9"/>
      <name val="Arial"/>
      <family val="2"/>
    </font>
    <font>
      <u/>
      <sz val="10"/>
      <name val="Arial"/>
      <family val="2"/>
    </font>
    <font>
      <sz val="11"/>
      <name val="Arial"/>
      <family val="2"/>
    </font>
    <font>
      <b/>
      <sz val="10"/>
      <name val="Arial"/>
      <family val="2"/>
    </font>
    <font>
      <u/>
      <sz val="12"/>
      <name val="Arial"/>
      <family val="2"/>
    </font>
    <font>
      <sz val="9"/>
      <color indexed="9"/>
      <name val="Arial"/>
      <family val="2"/>
    </font>
    <font>
      <sz val="14"/>
      <color indexed="9"/>
      <name val="Arial"/>
      <family val="2"/>
    </font>
    <font>
      <sz val="16"/>
      <color indexed="9"/>
      <name val="Arial"/>
      <family val="2"/>
    </font>
    <font>
      <sz val="16"/>
      <name val="Arial"/>
      <family val="2"/>
    </font>
    <font>
      <sz val="12"/>
      <color indexed="10"/>
      <name val="Arial"/>
      <family val="2"/>
    </font>
    <font>
      <sz val="12"/>
      <color indexed="55"/>
      <name val="Arial"/>
      <family val="2"/>
    </font>
    <font>
      <b/>
      <sz val="12"/>
      <color indexed="9"/>
      <name val="Arial"/>
      <family val="2"/>
    </font>
    <font>
      <b/>
      <sz val="10"/>
      <color indexed="9"/>
      <name val="Arial"/>
      <family val="2"/>
    </font>
    <font>
      <b/>
      <sz val="8"/>
      <color indexed="9"/>
      <name val="Arial"/>
      <family val="2"/>
    </font>
    <font>
      <sz val="10"/>
      <color indexed="22"/>
      <name val="Arial"/>
      <family val="2"/>
    </font>
    <font>
      <b/>
      <sz val="20"/>
      <name val="Arial"/>
      <family val="2"/>
    </font>
    <font>
      <b/>
      <sz val="10"/>
      <color indexed="8"/>
      <name val="Arial"/>
      <family val="2"/>
    </font>
    <font>
      <b/>
      <sz val="9"/>
      <color indexed="8"/>
      <name val="Arial"/>
      <family val="2"/>
    </font>
    <font>
      <b/>
      <sz val="16"/>
      <color indexed="9"/>
      <name val="Arial"/>
      <family val="2"/>
    </font>
    <font>
      <b/>
      <sz val="12"/>
      <name val="Arial"/>
      <family val="2"/>
    </font>
    <font>
      <b/>
      <sz val="9"/>
      <color indexed="9"/>
      <name val="Arial"/>
      <family val="2"/>
    </font>
    <font>
      <b/>
      <sz val="17"/>
      <color indexed="9"/>
      <name val="Arial"/>
      <family val="2"/>
    </font>
    <font>
      <b/>
      <u/>
      <sz val="11"/>
      <name val="Arial"/>
      <family val="2"/>
    </font>
    <font>
      <b/>
      <sz val="11"/>
      <color indexed="9"/>
      <name val="Arial"/>
      <family val="2"/>
    </font>
    <font>
      <b/>
      <sz val="22"/>
      <color indexed="9"/>
      <name val="Arial"/>
      <family val="2"/>
    </font>
    <font>
      <b/>
      <sz val="13"/>
      <color indexed="9"/>
      <name val="Arial"/>
      <family val="2"/>
    </font>
    <font>
      <vertAlign val="subscript"/>
      <sz val="11"/>
      <name val="Arial"/>
      <family val="2"/>
    </font>
    <font>
      <vertAlign val="superscript"/>
      <sz val="10"/>
      <name val="Arial"/>
      <family val="2"/>
    </font>
    <font>
      <sz val="12"/>
      <color indexed="18"/>
      <name val="Arial"/>
      <family val="2"/>
    </font>
    <font>
      <sz val="10"/>
      <color indexed="8"/>
      <name val="Arial"/>
      <family val="2"/>
    </font>
    <font>
      <b/>
      <sz val="10"/>
      <color indexed="53"/>
      <name val="Arial"/>
      <family val="2"/>
    </font>
    <font>
      <sz val="10"/>
      <color indexed="81"/>
      <name val="Tahoma"/>
      <family val="2"/>
    </font>
    <font>
      <sz val="8"/>
      <name val="Arial"/>
      <family val="2"/>
    </font>
    <font>
      <sz val="11"/>
      <color indexed="9"/>
      <name val="Arial"/>
      <family val="2"/>
    </font>
    <font>
      <sz val="9"/>
      <name val="Arial"/>
      <family val="2"/>
    </font>
    <font>
      <b/>
      <sz val="12"/>
      <name val="Arial"/>
      <family val="2"/>
    </font>
    <font>
      <sz val="8"/>
      <name val="Times New Roman"/>
      <family val="1"/>
    </font>
    <font>
      <sz val="10"/>
      <name val="Times New Roman"/>
      <family val="1"/>
    </font>
    <font>
      <b/>
      <sz val="10"/>
      <name val="Times New Roman"/>
      <family val="1"/>
    </font>
    <font>
      <sz val="9"/>
      <name val="Times New Roman"/>
      <family val="1"/>
    </font>
    <font>
      <sz val="10"/>
      <color indexed="12"/>
      <name val="Arial"/>
      <family val="2"/>
    </font>
    <font>
      <vertAlign val="superscript"/>
      <sz val="11"/>
      <name val="Arial"/>
      <family val="2"/>
    </font>
    <font>
      <sz val="12"/>
      <color indexed="22"/>
      <name val="Arial"/>
      <family val="2"/>
    </font>
    <font>
      <sz val="8"/>
      <color indexed="22"/>
      <name val="Arial"/>
      <family val="2"/>
    </font>
    <font>
      <vertAlign val="superscript"/>
      <sz val="12"/>
      <name val="Arial"/>
      <family val="2"/>
    </font>
    <font>
      <sz val="10"/>
      <color indexed="9"/>
      <name val="Arial"/>
      <family val="2"/>
    </font>
    <font>
      <sz val="10"/>
      <color indexed="12"/>
      <name val="Arial"/>
      <family val="2"/>
    </font>
    <font>
      <sz val="11"/>
      <color indexed="12"/>
      <name val="Arial"/>
      <family val="2"/>
    </font>
    <font>
      <sz val="12"/>
      <color indexed="12"/>
      <name val="Arial"/>
      <family val="2"/>
    </font>
    <font>
      <b/>
      <vertAlign val="subscript"/>
      <sz val="12"/>
      <name val="Arial"/>
      <family val="2"/>
    </font>
    <font>
      <sz val="9"/>
      <color indexed="12"/>
      <name val="Arial"/>
      <family val="2"/>
    </font>
    <font>
      <sz val="8"/>
      <color indexed="12"/>
      <name val="Arial"/>
      <family val="2"/>
    </font>
    <font>
      <sz val="9"/>
      <name val="Arial"/>
      <family val="2"/>
    </font>
    <font>
      <b/>
      <sz val="8"/>
      <color indexed="81"/>
      <name val="Tahoma"/>
      <family val="2"/>
    </font>
    <font>
      <sz val="20"/>
      <name val="Arial"/>
      <family val="2"/>
    </font>
    <font>
      <b/>
      <sz val="18"/>
      <color indexed="9"/>
      <name val="Arial"/>
      <family val="2"/>
    </font>
    <font>
      <b/>
      <sz val="20"/>
      <color indexed="9"/>
      <name val="Arial"/>
      <family val="2"/>
    </font>
    <font>
      <sz val="11"/>
      <color indexed="12"/>
      <name val="Arial"/>
      <family val="2"/>
    </font>
    <font>
      <b/>
      <sz val="8"/>
      <color indexed="9"/>
      <name val="Arial"/>
      <family val="2"/>
    </font>
    <font>
      <b/>
      <vertAlign val="subscript"/>
      <sz val="11"/>
      <name val="Arial"/>
      <family val="2"/>
    </font>
    <font>
      <b/>
      <sz val="9"/>
      <name val="Arial"/>
      <family val="2"/>
    </font>
    <font>
      <sz val="11"/>
      <color indexed="22"/>
      <name val="Arial"/>
      <family val="2"/>
    </font>
    <font>
      <sz val="11"/>
      <color indexed="55"/>
      <name val="Arial"/>
      <family val="2"/>
    </font>
    <font>
      <b/>
      <sz val="12"/>
      <color indexed="55"/>
      <name val="Arial"/>
      <family val="2"/>
    </font>
    <font>
      <sz val="8"/>
      <color indexed="55"/>
      <name val="Arial"/>
      <family val="2"/>
    </font>
    <font>
      <sz val="8"/>
      <color indexed="9"/>
      <name val="Arial"/>
      <family val="2"/>
    </font>
    <font>
      <vertAlign val="subscript"/>
      <sz val="9"/>
      <name val="Arial"/>
      <family val="2"/>
    </font>
    <font>
      <sz val="8"/>
      <color rgb="FF000000"/>
      <name val="Tahoma"/>
      <family val="2"/>
    </font>
    <font>
      <sz val="12"/>
      <color theme="0"/>
      <name val="Arial"/>
      <family val="2"/>
    </font>
    <font>
      <b/>
      <vertAlign val="subscript"/>
      <sz val="9"/>
      <color rgb="FF000000"/>
      <name val="Arial"/>
      <family val="2"/>
    </font>
    <font>
      <sz val="11"/>
      <color theme="6"/>
      <name val="Arial"/>
      <family val="2"/>
    </font>
  </fonts>
  <fills count="26">
    <fill>
      <patternFill patternType="none"/>
    </fill>
    <fill>
      <patternFill patternType="gray125"/>
    </fill>
    <fill>
      <patternFill patternType="solid">
        <fgColor indexed="18"/>
        <bgColor indexed="64"/>
      </patternFill>
    </fill>
    <fill>
      <patternFill patternType="solid">
        <fgColor indexed="43"/>
        <bgColor indexed="64"/>
      </patternFill>
    </fill>
    <fill>
      <patternFill patternType="solid">
        <fgColor indexed="13"/>
        <bgColor indexed="64"/>
      </patternFill>
    </fill>
    <fill>
      <patternFill patternType="solid">
        <fgColor indexed="26"/>
        <bgColor indexed="64"/>
      </patternFill>
    </fill>
    <fill>
      <patternFill patternType="solid">
        <fgColor indexed="11"/>
        <bgColor indexed="64"/>
      </patternFill>
    </fill>
    <fill>
      <patternFill patternType="solid">
        <fgColor indexed="42"/>
        <bgColor indexed="64"/>
      </patternFill>
    </fill>
    <fill>
      <patternFill patternType="solid">
        <fgColor indexed="14"/>
        <bgColor indexed="64"/>
      </patternFill>
    </fill>
    <fill>
      <patternFill patternType="solid">
        <fgColor indexed="45"/>
        <bgColor indexed="64"/>
      </patternFill>
    </fill>
    <fill>
      <patternFill patternType="solid">
        <fgColor indexed="41"/>
        <bgColor indexed="64"/>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46"/>
        <bgColor indexed="64"/>
      </patternFill>
    </fill>
    <fill>
      <patternFill patternType="solid">
        <fgColor indexed="40"/>
        <bgColor indexed="64"/>
      </patternFill>
    </fill>
    <fill>
      <patternFill patternType="solid">
        <fgColor indexed="51"/>
        <bgColor indexed="64"/>
      </patternFill>
    </fill>
    <fill>
      <patternFill patternType="solid">
        <fgColor indexed="27"/>
        <bgColor indexed="64"/>
      </patternFill>
    </fill>
    <fill>
      <patternFill patternType="solid">
        <fgColor theme="2"/>
        <bgColor indexed="64"/>
      </patternFill>
    </fill>
    <fill>
      <patternFill patternType="solid">
        <fgColor rgb="FF00FF00"/>
        <bgColor indexed="64"/>
      </patternFill>
    </fill>
    <fill>
      <patternFill patternType="solid">
        <fgColor rgb="FFCC99FF"/>
        <bgColor indexed="64"/>
      </patternFill>
    </fill>
    <fill>
      <patternFill patternType="solid">
        <fgColor rgb="FFFF99CC"/>
        <bgColor indexed="64"/>
      </patternFill>
    </fill>
    <fill>
      <patternFill patternType="solid">
        <fgColor theme="7"/>
        <bgColor indexed="64"/>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2"/>
      </left>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style="thin">
        <color indexed="64"/>
      </left>
      <right/>
      <top/>
      <bottom style="thin">
        <color indexed="22"/>
      </bottom>
      <diagonal/>
    </border>
    <border>
      <left style="thin">
        <color indexed="22"/>
      </left>
      <right/>
      <top/>
      <bottom style="thin">
        <color indexed="22"/>
      </bottom>
      <diagonal/>
    </border>
    <border>
      <left style="thin">
        <color indexed="22"/>
      </left>
      <right style="thin">
        <color indexed="64"/>
      </right>
      <top/>
      <bottom style="thin">
        <color indexed="22"/>
      </bottom>
      <diagonal/>
    </border>
    <border>
      <left style="thin">
        <color indexed="22"/>
      </left>
      <right/>
      <top/>
      <bottom style="thin">
        <color indexed="64"/>
      </bottom>
      <diagonal/>
    </border>
    <border>
      <left style="thin">
        <color indexed="22"/>
      </left>
      <right style="thin">
        <color indexed="64"/>
      </right>
      <top/>
      <bottom style="thin">
        <color indexed="64"/>
      </bottom>
      <diagonal/>
    </border>
    <border>
      <left style="thin">
        <color indexed="22"/>
      </left>
      <right style="thin">
        <color indexed="22"/>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s>
  <cellStyleXfs count="10">
    <xf numFmtId="0" fontId="0" fillId="0" borderId="0"/>
    <xf numFmtId="3" fontId="34"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164" fontId="1" fillId="0" borderId="0" applyFont="0" applyFill="0" applyBorder="0" applyAlignment="0" applyProtection="0"/>
  </cellStyleXfs>
  <cellXfs count="1719">
    <xf numFmtId="0" fontId="0" fillId="0" borderId="0" xfId="0"/>
    <xf numFmtId="0" fontId="7" fillId="2" borderId="0" xfId="5" applyFont="1" applyFill="1" applyAlignment="1" applyProtection="1">
      <alignment horizontal="left"/>
      <protection locked="0"/>
    </xf>
    <xf numFmtId="0" fontId="0" fillId="3" borderId="1" xfId="0"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2" fillId="3" borderId="7" xfId="0" applyFont="1" applyFill="1" applyBorder="1" applyProtection="1">
      <protection locked="0"/>
    </xf>
    <xf numFmtId="0" fontId="0" fillId="3" borderId="0" xfId="0" applyFill="1" applyProtection="1">
      <protection locked="0"/>
    </xf>
    <xf numFmtId="0" fontId="0" fillId="3" borderId="8" xfId="0" applyFill="1" applyBorder="1" applyProtection="1">
      <protection locked="0"/>
    </xf>
    <xf numFmtId="0" fontId="2" fillId="3" borderId="9" xfId="0" applyFont="1"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0" fontId="8" fillId="2" borderId="0" xfId="0" applyFont="1" applyFill="1" applyProtection="1">
      <protection locked="0"/>
    </xf>
    <xf numFmtId="0" fontId="0" fillId="3" borderId="7" xfId="0" applyFill="1" applyBorder="1" applyProtection="1">
      <protection locked="0"/>
    </xf>
    <xf numFmtId="0" fontId="0" fillId="3" borderId="9"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8" fillId="2" borderId="4" xfId="0" applyFont="1" applyFill="1" applyBorder="1" applyProtection="1">
      <protection locked="0"/>
    </xf>
    <xf numFmtId="0" fontId="7" fillId="2" borderId="0" xfId="3" applyFont="1" applyFill="1" applyProtection="1">
      <protection locked="0"/>
    </xf>
    <xf numFmtId="166" fontId="3" fillId="3" borderId="14" xfId="3" applyNumberFormat="1" applyFill="1" applyBorder="1" applyAlignment="1" applyProtection="1">
      <alignment horizontal="center" wrapText="1"/>
      <protection locked="0"/>
    </xf>
    <xf numFmtId="166" fontId="3" fillId="3" borderId="1" xfId="3" applyNumberFormat="1" applyFill="1" applyBorder="1" applyAlignment="1" applyProtection="1">
      <alignment horizontal="center" wrapText="1"/>
      <protection locked="0"/>
    </xf>
    <xf numFmtId="166" fontId="3" fillId="3" borderId="2" xfId="3" applyNumberFormat="1" applyFill="1" applyBorder="1" applyAlignment="1" applyProtection="1">
      <alignment horizontal="center" wrapText="1"/>
      <protection locked="0"/>
    </xf>
    <xf numFmtId="166" fontId="3" fillId="3" borderId="4" xfId="3" applyNumberFormat="1" applyFill="1" applyBorder="1" applyAlignment="1" applyProtection="1">
      <alignment horizontal="center" wrapText="1"/>
      <protection locked="0"/>
    </xf>
    <xf numFmtId="166" fontId="3" fillId="3" borderId="5" xfId="3" applyNumberFormat="1" applyFill="1" applyBorder="1" applyAlignment="1" applyProtection="1">
      <alignment horizontal="center" wrapText="1"/>
      <protection locked="0"/>
    </xf>
    <xf numFmtId="0" fontId="3" fillId="3" borderId="5" xfId="3" applyFill="1" applyBorder="1" applyProtection="1">
      <protection locked="0"/>
    </xf>
    <xf numFmtId="0" fontId="3" fillId="3" borderId="6" xfId="3" applyFill="1" applyBorder="1" applyProtection="1">
      <protection locked="0"/>
    </xf>
    <xf numFmtId="166" fontId="3" fillId="3" borderId="9" xfId="3" applyNumberFormat="1" applyFill="1" applyBorder="1" applyAlignment="1" applyProtection="1">
      <alignment horizontal="center" wrapText="1"/>
      <protection locked="0"/>
    </xf>
    <xf numFmtId="166" fontId="3" fillId="3" borderId="10" xfId="3" applyNumberFormat="1" applyFill="1" applyBorder="1" applyAlignment="1" applyProtection="1">
      <alignment horizontal="center" wrapText="1"/>
      <protection locked="0"/>
    </xf>
    <xf numFmtId="0" fontId="3" fillId="3" borderId="10" xfId="3" applyFill="1" applyBorder="1" applyProtection="1">
      <protection locked="0"/>
    </xf>
    <xf numFmtId="0" fontId="3" fillId="3" borderId="11" xfId="3" applyFill="1" applyBorder="1" applyProtection="1">
      <protection locked="0"/>
    </xf>
    <xf numFmtId="166" fontId="3" fillId="3" borderId="16" xfId="3" applyNumberFormat="1" applyFill="1" applyBorder="1" applyAlignment="1" applyProtection="1">
      <alignment horizontal="center" wrapText="1"/>
      <protection locked="0"/>
    </xf>
    <xf numFmtId="166" fontId="3" fillId="3" borderId="6" xfId="3" applyNumberFormat="1" applyFill="1" applyBorder="1" applyAlignment="1" applyProtection="1">
      <alignment horizontal="center" wrapText="1"/>
      <protection locked="0"/>
    </xf>
    <xf numFmtId="166" fontId="3" fillId="3" borderId="7" xfId="3" applyNumberFormat="1" applyFill="1" applyBorder="1" applyAlignment="1" applyProtection="1">
      <alignment horizontal="center" wrapText="1"/>
      <protection locked="0"/>
    </xf>
    <xf numFmtId="166" fontId="3" fillId="3" borderId="17" xfId="3" applyNumberFormat="1" applyFill="1" applyBorder="1" applyAlignment="1" applyProtection="1">
      <alignment horizontal="center" wrapText="1"/>
      <protection locked="0"/>
    </xf>
    <xf numFmtId="166" fontId="3" fillId="3" borderId="18" xfId="3" applyNumberFormat="1" applyFill="1" applyBorder="1" applyAlignment="1" applyProtection="1">
      <alignment horizontal="center" wrapText="1"/>
      <protection locked="0"/>
    </xf>
    <xf numFmtId="166" fontId="3" fillId="3" borderId="19" xfId="3" applyNumberFormat="1" applyFill="1" applyBorder="1" applyAlignment="1" applyProtection="1">
      <alignment horizontal="center" wrapText="1"/>
      <protection locked="0"/>
    </xf>
    <xf numFmtId="166" fontId="3" fillId="3" borderId="0" xfId="3" applyNumberFormat="1" applyFill="1" applyAlignment="1" applyProtection="1">
      <alignment horizontal="center" wrapText="1"/>
      <protection locked="0"/>
    </xf>
    <xf numFmtId="0" fontId="3" fillId="3" borderId="8" xfId="3" applyFill="1" applyBorder="1" applyProtection="1">
      <protection locked="0"/>
    </xf>
    <xf numFmtId="166" fontId="3" fillId="3" borderId="20" xfId="3" applyNumberFormat="1" applyFill="1" applyBorder="1" applyAlignment="1" applyProtection="1">
      <alignment horizontal="center" wrapText="1"/>
      <protection locked="0"/>
    </xf>
    <xf numFmtId="166" fontId="3" fillId="3" borderId="21" xfId="3" applyNumberFormat="1" applyFill="1" applyBorder="1" applyAlignment="1" applyProtection="1">
      <alignment horizontal="center" wrapText="1"/>
      <protection locked="0"/>
    </xf>
    <xf numFmtId="166" fontId="3" fillId="3" borderId="8" xfId="3" applyNumberFormat="1" applyFill="1" applyBorder="1" applyAlignment="1" applyProtection="1">
      <alignment horizontal="center" wrapText="1"/>
      <protection locked="0"/>
    </xf>
    <xf numFmtId="166" fontId="3" fillId="3" borderId="22" xfId="3" applyNumberFormat="1" applyFill="1" applyBorder="1" applyAlignment="1" applyProtection="1">
      <alignment horizontal="center" wrapText="1"/>
      <protection locked="0"/>
    </xf>
    <xf numFmtId="2" fontId="3" fillId="3" borderId="23" xfId="3" applyNumberFormat="1" applyFill="1" applyBorder="1" applyAlignment="1" applyProtection="1">
      <alignment horizontal="left" wrapText="1"/>
      <protection locked="0"/>
    </xf>
    <xf numFmtId="2" fontId="3" fillId="3" borderId="24" xfId="3" applyNumberFormat="1" applyFill="1" applyBorder="1" applyAlignment="1" applyProtection="1">
      <alignment horizontal="left" wrapText="1"/>
      <protection locked="0"/>
    </xf>
    <xf numFmtId="0" fontId="3" fillId="3" borderId="0" xfId="3" applyFill="1" applyAlignment="1" applyProtection="1">
      <alignment horizontal="left" wrapText="1"/>
      <protection locked="0"/>
    </xf>
    <xf numFmtId="0" fontId="3" fillId="3" borderId="9" xfId="3" applyFill="1" applyBorder="1" applyProtection="1">
      <protection locked="0"/>
    </xf>
    <xf numFmtId="2" fontId="3" fillId="3" borderId="9" xfId="3" applyNumberFormat="1" applyFill="1" applyBorder="1" applyAlignment="1" applyProtection="1">
      <alignment horizontal="left"/>
      <protection locked="0"/>
    </xf>
    <xf numFmtId="2" fontId="3" fillId="3" borderId="11" xfId="3" applyNumberFormat="1" applyFill="1" applyBorder="1" applyAlignment="1" applyProtection="1">
      <alignment horizontal="left"/>
      <protection locked="0"/>
    </xf>
    <xf numFmtId="0" fontId="3" fillId="3" borderId="10" xfId="3" applyFill="1" applyBorder="1" applyAlignment="1" applyProtection="1">
      <alignment horizontal="left"/>
      <protection locked="0"/>
    </xf>
    <xf numFmtId="0" fontId="7" fillId="2" borderId="0" xfId="4" applyFont="1" applyFill="1" applyAlignment="1" applyProtection="1">
      <alignment horizontal="center" wrapText="1"/>
      <protection locked="0"/>
    </xf>
    <xf numFmtId="0" fontId="3" fillId="3" borderId="25" xfId="4" applyFill="1" applyBorder="1" applyAlignment="1" applyProtection="1">
      <alignment horizontal="center" wrapText="1"/>
      <protection locked="0"/>
    </xf>
    <xf numFmtId="0" fontId="3" fillId="3" borderId="26" xfId="4" applyFill="1" applyBorder="1" applyAlignment="1" applyProtection="1">
      <alignment horizontal="center" wrapText="1"/>
      <protection locked="0"/>
    </xf>
    <xf numFmtId="0" fontId="3" fillId="3" borderId="27" xfId="4" applyFill="1" applyBorder="1" applyAlignment="1" applyProtection="1">
      <alignment horizontal="center" wrapText="1"/>
      <protection locked="0"/>
    </xf>
    <xf numFmtId="0" fontId="3" fillId="3" borderId="10" xfId="4" applyFill="1" applyBorder="1" applyAlignment="1" applyProtection="1">
      <alignment horizontal="center" wrapText="1"/>
      <protection locked="0"/>
    </xf>
    <xf numFmtId="166" fontId="3" fillId="3" borderId="28" xfId="4" applyNumberFormat="1" applyFill="1" applyBorder="1" applyAlignment="1" applyProtection="1">
      <alignment horizontal="center" wrapText="1"/>
      <protection locked="0"/>
    </xf>
    <xf numFmtId="166" fontId="3" fillId="3" borderId="29" xfId="4" applyNumberFormat="1" applyFill="1" applyBorder="1" applyAlignment="1" applyProtection="1">
      <alignment horizontal="center" wrapText="1"/>
      <protection locked="0"/>
    </xf>
    <xf numFmtId="0" fontId="3" fillId="3" borderId="30" xfId="4" applyFill="1" applyBorder="1" applyAlignment="1" applyProtection="1">
      <alignment horizontal="center" wrapText="1"/>
      <protection locked="0"/>
    </xf>
    <xf numFmtId="0" fontId="3" fillId="3" borderId="31" xfId="4" applyFill="1" applyBorder="1" applyAlignment="1" applyProtection="1">
      <alignment horizontal="center" wrapText="1"/>
      <protection locked="0"/>
    </xf>
    <xf numFmtId="0" fontId="3" fillId="3" borderId="32" xfId="4" applyFill="1" applyBorder="1" applyAlignment="1" applyProtection="1">
      <alignment horizontal="center" wrapText="1"/>
      <protection locked="0"/>
    </xf>
    <xf numFmtId="165" fontId="3" fillId="3" borderId="33" xfId="4" applyNumberFormat="1" applyFill="1" applyBorder="1" applyAlignment="1" applyProtection="1">
      <alignment horizontal="center" wrapText="1"/>
      <protection locked="0"/>
    </xf>
    <xf numFmtId="165" fontId="3" fillId="3" borderId="34" xfId="4" applyNumberFormat="1" applyFill="1" applyBorder="1" applyAlignment="1" applyProtection="1">
      <alignment horizontal="center" wrapText="1"/>
      <protection locked="0"/>
    </xf>
    <xf numFmtId="0" fontId="3" fillId="3" borderId="35" xfId="4" applyFill="1" applyBorder="1" applyAlignment="1" applyProtection="1">
      <alignment horizontal="center" wrapText="1"/>
      <protection locked="0"/>
    </xf>
    <xf numFmtId="0" fontId="3" fillId="3" borderId="36" xfId="4" applyFill="1" applyBorder="1" applyAlignment="1" applyProtection="1">
      <alignment horizontal="center" wrapText="1"/>
      <protection locked="0"/>
    </xf>
    <xf numFmtId="0" fontId="3" fillId="3" borderId="37" xfId="4" applyFill="1" applyBorder="1" applyAlignment="1" applyProtection="1">
      <alignment horizontal="center" wrapText="1"/>
      <protection locked="0"/>
    </xf>
    <xf numFmtId="0" fontId="3" fillId="3" borderId="23" xfId="4" applyFill="1" applyBorder="1" applyAlignment="1" applyProtection="1">
      <alignment horizontal="center" wrapText="1"/>
      <protection locked="0"/>
    </xf>
    <xf numFmtId="0" fontId="3" fillId="3" borderId="38" xfId="4" applyFill="1" applyBorder="1" applyAlignment="1" applyProtection="1">
      <alignment horizontal="center" wrapText="1"/>
      <protection locked="0"/>
    </xf>
    <xf numFmtId="0" fontId="3" fillId="3" borderId="39" xfId="4" applyFill="1" applyBorder="1" applyAlignment="1" applyProtection="1">
      <alignment horizontal="center" wrapText="1"/>
      <protection locked="0"/>
    </xf>
    <xf numFmtId="0" fontId="3" fillId="3" borderId="40" xfId="4" applyFill="1" applyBorder="1" applyAlignment="1" applyProtection="1">
      <alignment horizontal="center" wrapText="1"/>
      <protection locked="0"/>
    </xf>
    <xf numFmtId="0" fontId="3" fillId="3" borderId="41" xfId="4" applyFill="1" applyBorder="1" applyAlignment="1" applyProtection="1">
      <alignment horizontal="center" wrapText="1"/>
      <protection locked="0"/>
    </xf>
    <xf numFmtId="0" fontId="3" fillId="3" borderId="34" xfId="4" applyFill="1" applyBorder="1" applyAlignment="1" applyProtection="1">
      <alignment horizontal="center" wrapText="1"/>
      <protection locked="0"/>
    </xf>
    <xf numFmtId="0" fontId="3" fillId="3" borderId="42" xfId="4" applyFill="1" applyBorder="1" applyAlignment="1" applyProtection="1">
      <alignment horizontal="center" wrapText="1"/>
      <protection locked="0"/>
    </xf>
    <xf numFmtId="0" fontId="3" fillId="3" borderId="1" xfId="4" applyFill="1" applyBorder="1" applyAlignment="1" applyProtection="1">
      <alignment horizontal="center" wrapText="1"/>
      <protection locked="0"/>
    </xf>
    <xf numFmtId="0" fontId="3" fillId="3" borderId="3" xfId="4" applyFill="1" applyBorder="1" applyAlignment="1" applyProtection="1">
      <alignment horizontal="center" wrapText="1"/>
      <protection locked="0"/>
    </xf>
    <xf numFmtId="0" fontId="3" fillId="3" borderId="2" xfId="4" applyFill="1" applyBorder="1" applyAlignment="1" applyProtection="1">
      <alignment horizontal="center" wrapText="1"/>
      <protection locked="0"/>
    </xf>
    <xf numFmtId="0" fontId="5" fillId="3" borderId="0" xfId="5" applyFont="1" applyFill="1" applyAlignment="1" applyProtection="1">
      <alignment horizontal="center"/>
      <protection locked="0"/>
    </xf>
    <xf numFmtId="0" fontId="5" fillId="3" borderId="0" xfId="5" applyFont="1" applyFill="1" applyProtection="1">
      <protection locked="0"/>
    </xf>
    <xf numFmtId="0" fontId="5" fillId="3" borderId="15" xfId="5" applyFont="1" applyFill="1" applyBorder="1" applyAlignment="1" applyProtection="1">
      <alignment horizontal="center"/>
      <protection locked="0"/>
    </xf>
    <xf numFmtId="0" fontId="5" fillId="3" borderId="4" xfId="5" applyFont="1" applyFill="1" applyBorder="1" applyAlignment="1" applyProtection="1">
      <alignment horizontal="center"/>
      <protection locked="0"/>
    </xf>
    <xf numFmtId="0" fontId="5" fillId="3" borderId="5" xfId="5" applyFont="1" applyFill="1" applyBorder="1" applyAlignment="1" applyProtection="1">
      <alignment horizontal="center"/>
      <protection locked="0"/>
    </xf>
    <xf numFmtId="0" fontId="5" fillId="3" borderId="6" xfId="5" applyFont="1" applyFill="1" applyBorder="1" applyAlignment="1" applyProtection="1">
      <alignment horizontal="center"/>
      <protection locked="0"/>
    </xf>
    <xf numFmtId="0" fontId="5" fillId="3" borderId="15" xfId="5" applyFont="1" applyFill="1" applyBorder="1" applyProtection="1">
      <protection locked="0"/>
    </xf>
    <xf numFmtId="0" fontId="5" fillId="3" borderId="12" xfId="5" applyFont="1" applyFill="1" applyBorder="1" applyAlignment="1" applyProtection="1">
      <alignment horizontal="center"/>
      <protection locked="0"/>
    </xf>
    <xf numFmtId="0" fontId="5" fillId="3" borderId="7" xfId="5" applyFont="1" applyFill="1" applyBorder="1" applyAlignment="1" applyProtection="1">
      <alignment horizontal="center"/>
      <protection locked="0"/>
    </xf>
    <xf numFmtId="0" fontId="5" fillId="3" borderId="8" xfId="5" applyFont="1" applyFill="1" applyBorder="1" applyAlignment="1" applyProtection="1">
      <alignment horizontal="center"/>
      <protection locked="0"/>
    </xf>
    <xf numFmtId="0" fontId="5" fillId="3" borderId="12" xfId="5" applyFont="1" applyFill="1" applyBorder="1" applyProtection="1">
      <protection locked="0"/>
    </xf>
    <xf numFmtId="2" fontId="5" fillId="3" borderId="7" xfId="5" applyNumberFormat="1" applyFont="1" applyFill="1" applyBorder="1" applyAlignment="1" applyProtection="1">
      <alignment horizontal="center"/>
      <protection locked="0"/>
    </xf>
    <xf numFmtId="2" fontId="5" fillId="3" borderId="0" xfId="5" applyNumberFormat="1" applyFont="1" applyFill="1" applyAlignment="1" applyProtection="1">
      <alignment horizontal="center"/>
      <protection locked="0"/>
    </xf>
    <xf numFmtId="2" fontId="5" fillId="3" borderId="8" xfId="5" applyNumberFormat="1" applyFont="1" applyFill="1" applyBorder="1" applyAlignment="1" applyProtection="1">
      <alignment horizontal="center"/>
      <protection locked="0"/>
    </xf>
    <xf numFmtId="0" fontId="5" fillId="3" borderId="13" xfId="5" applyFont="1" applyFill="1" applyBorder="1" applyAlignment="1" applyProtection="1">
      <alignment horizontal="center"/>
      <protection locked="0"/>
    </xf>
    <xf numFmtId="2" fontId="5" fillId="3" borderId="10" xfId="5" applyNumberFormat="1" applyFont="1" applyFill="1" applyBorder="1" applyAlignment="1" applyProtection="1">
      <alignment horizontal="center"/>
      <protection locked="0"/>
    </xf>
    <xf numFmtId="2" fontId="5" fillId="3" borderId="11" xfId="5" applyNumberFormat="1" applyFont="1" applyFill="1" applyBorder="1" applyAlignment="1" applyProtection="1">
      <alignment horizontal="center"/>
      <protection locked="0"/>
    </xf>
    <xf numFmtId="0" fontId="5" fillId="3" borderId="13" xfId="5" applyFont="1" applyFill="1" applyBorder="1" applyProtection="1">
      <protection locked="0"/>
    </xf>
    <xf numFmtId="0" fontId="5" fillId="3" borderId="5" xfId="5" applyFont="1" applyFill="1" applyBorder="1" applyProtection="1">
      <protection locked="0"/>
    </xf>
    <xf numFmtId="0" fontId="5" fillId="3" borderId="6" xfId="5" applyFont="1" applyFill="1" applyBorder="1" applyProtection="1">
      <protection locked="0"/>
    </xf>
    <xf numFmtId="0" fontId="5" fillId="3" borderId="7" xfId="5" applyFont="1" applyFill="1" applyBorder="1" applyProtection="1">
      <protection locked="0"/>
    </xf>
    <xf numFmtId="2" fontId="5" fillId="3" borderId="8" xfId="5" applyNumberFormat="1" applyFont="1" applyFill="1" applyBorder="1" applyProtection="1">
      <protection locked="0"/>
    </xf>
    <xf numFmtId="0" fontId="5" fillId="3" borderId="9" xfId="5" applyFont="1" applyFill="1" applyBorder="1" applyProtection="1">
      <protection locked="0"/>
    </xf>
    <xf numFmtId="0" fontId="5" fillId="3" borderId="10" xfId="5" applyFont="1" applyFill="1" applyBorder="1" applyProtection="1">
      <protection locked="0"/>
    </xf>
    <xf numFmtId="2" fontId="5" fillId="3" borderId="11" xfId="5" applyNumberFormat="1" applyFont="1" applyFill="1" applyBorder="1" applyProtection="1">
      <protection locked="0"/>
    </xf>
    <xf numFmtId="0" fontId="5" fillId="3" borderId="0" xfId="5" applyFont="1" applyFill="1" applyAlignment="1" applyProtection="1">
      <alignment horizontal="right"/>
      <protection locked="0"/>
    </xf>
    <xf numFmtId="0" fontId="7" fillId="2" borderId="0" xfId="5" applyFont="1" applyFill="1" applyAlignment="1" applyProtection="1">
      <alignment horizontal="center"/>
      <protection locked="0"/>
    </xf>
    <xf numFmtId="2" fontId="0" fillId="3" borderId="7" xfId="0" applyNumberFormat="1" applyFill="1" applyBorder="1" applyProtection="1">
      <protection locked="0"/>
    </xf>
    <xf numFmtId="2" fontId="0" fillId="3" borderId="8" xfId="0" applyNumberFormat="1" applyFill="1" applyBorder="1" applyProtection="1">
      <protection locked="0"/>
    </xf>
    <xf numFmtId="2" fontId="0" fillId="3" borderId="0" xfId="0" applyNumberFormat="1" applyFill="1" applyProtection="1">
      <protection locked="0"/>
    </xf>
    <xf numFmtId="2" fontId="0" fillId="3" borderId="9" xfId="0" applyNumberFormat="1" applyFill="1" applyBorder="1" applyProtection="1">
      <protection locked="0"/>
    </xf>
    <xf numFmtId="2" fontId="0" fillId="3" borderId="11" xfId="0" applyNumberFormat="1" applyFill="1" applyBorder="1" applyProtection="1">
      <protection locked="0"/>
    </xf>
    <xf numFmtId="2" fontId="0" fillId="3" borderId="10" xfId="0" applyNumberFormat="1" applyFill="1" applyBorder="1" applyProtection="1">
      <protection locked="0"/>
    </xf>
    <xf numFmtId="0" fontId="3" fillId="3" borderId="0" xfId="3" applyFill="1" applyProtection="1">
      <protection locked="0"/>
    </xf>
    <xf numFmtId="0" fontId="3" fillId="3" borderId="0" xfId="3" applyFill="1" applyAlignment="1" applyProtection="1">
      <alignment wrapText="1"/>
      <protection locked="0"/>
    </xf>
    <xf numFmtId="166" fontId="3" fillId="3" borderId="15" xfId="3" applyNumberFormat="1" applyFill="1" applyBorder="1" applyAlignment="1" applyProtection="1">
      <alignment horizontal="center" wrapText="1"/>
      <protection locked="0"/>
    </xf>
    <xf numFmtId="166" fontId="3" fillId="3" borderId="12" xfId="3" applyNumberFormat="1" applyFill="1" applyBorder="1" applyAlignment="1" applyProtection="1">
      <alignment horizontal="center" wrapText="1"/>
      <protection locked="0"/>
    </xf>
    <xf numFmtId="166" fontId="3" fillId="3" borderId="13" xfId="3" applyNumberFormat="1" applyFill="1" applyBorder="1" applyAlignment="1" applyProtection="1">
      <alignment horizontal="center" wrapText="1"/>
      <protection locked="0"/>
    </xf>
    <xf numFmtId="166" fontId="3" fillId="3" borderId="11" xfId="3" applyNumberFormat="1" applyFill="1" applyBorder="1" applyAlignment="1" applyProtection="1">
      <alignment horizontal="center" wrapText="1"/>
      <protection locked="0"/>
    </xf>
    <xf numFmtId="0" fontId="3" fillId="3" borderId="1" xfId="3" applyFill="1" applyBorder="1" applyProtection="1">
      <protection locked="0"/>
    </xf>
    <xf numFmtId="0" fontId="7" fillId="2" borderId="0" xfId="6" applyFont="1" applyFill="1" applyAlignment="1" applyProtection="1">
      <alignment wrapText="1"/>
      <protection locked="0"/>
    </xf>
    <xf numFmtId="2" fontId="5" fillId="3" borderId="0" xfId="6" applyNumberFormat="1" applyFont="1" applyFill="1" applyAlignment="1" applyProtection="1">
      <alignment wrapText="1"/>
      <protection locked="0"/>
    </xf>
    <xf numFmtId="0" fontId="5" fillId="3" borderId="0" xfId="6" applyFont="1" applyFill="1" applyProtection="1">
      <protection locked="0"/>
    </xf>
    <xf numFmtId="0" fontId="5" fillId="3" borderId="15" xfId="6" applyFont="1" applyFill="1" applyBorder="1" applyAlignment="1" applyProtection="1">
      <alignment wrapText="1"/>
      <protection locked="0"/>
    </xf>
    <xf numFmtId="2" fontId="5" fillId="3" borderId="15" xfId="6" applyNumberFormat="1" applyFont="1" applyFill="1" applyBorder="1" applyAlignment="1" applyProtection="1">
      <alignment wrapText="1"/>
      <protection locked="0"/>
    </xf>
    <xf numFmtId="0" fontId="5" fillId="3" borderId="12" xfId="6" applyFont="1" applyFill="1" applyBorder="1" applyAlignment="1" applyProtection="1">
      <alignment wrapText="1"/>
      <protection locked="0"/>
    </xf>
    <xf numFmtId="0" fontId="5" fillId="3" borderId="4" xfId="6" applyFont="1" applyFill="1" applyBorder="1" applyAlignment="1" applyProtection="1">
      <alignment wrapText="1"/>
      <protection locked="0"/>
    </xf>
    <xf numFmtId="2" fontId="5" fillId="3" borderId="5" xfId="6" applyNumberFormat="1" applyFont="1" applyFill="1" applyBorder="1" applyAlignment="1" applyProtection="1">
      <alignment wrapText="1"/>
      <protection locked="0"/>
    </xf>
    <xf numFmtId="0" fontId="5" fillId="3" borderId="6" xfId="6" applyFont="1" applyFill="1" applyBorder="1" applyProtection="1">
      <protection locked="0"/>
    </xf>
    <xf numFmtId="0" fontId="5" fillId="3" borderId="7" xfId="6" applyFont="1" applyFill="1" applyBorder="1" applyAlignment="1" applyProtection="1">
      <alignment wrapText="1"/>
      <protection locked="0"/>
    </xf>
    <xf numFmtId="0" fontId="5" fillId="3" borderId="8" xfId="6" applyFont="1" applyFill="1" applyBorder="1" applyProtection="1">
      <protection locked="0"/>
    </xf>
    <xf numFmtId="0" fontId="5" fillId="3" borderId="7" xfId="6" applyFont="1" applyFill="1" applyBorder="1" applyProtection="1">
      <protection locked="0"/>
    </xf>
    <xf numFmtId="0" fontId="5" fillId="3" borderId="9" xfId="6" applyFont="1" applyFill="1" applyBorder="1" applyProtection="1">
      <protection locked="0"/>
    </xf>
    <xf numFmtId="0" fontId="5" fillId="3" borderId="10" xfId="6" applyFont="1" applyFill="1" applyBorder="1" applyProtection="1">
      <protection locked="0"/>
    </xf>
    <xf numFmtId="0" fontId="5" fillId="3" borderId="11" xfId="6" applyFont="1" applyFill="1" applyBorder="1" applyProtection="1">
      <protection locked="0"/>
    </xf>
    <xf numFmtId="2" fontId="5" fillId="3" borderId="8" xfId="6" applyNumberFormat="1" applyFont="1" applyFill="1" applyBorder="1" applyProtection="1">
      <protection locked="0"/>
    </xf>
    <xf numFmtId="2" fontId="5" fillId="3" borderId="11" xfId="6" applyNumberFormat="1" applyFont="1" applyFill="1" applyBorder="1" applyProtection="1">
      <protection locked="0"/>
    </xf>
    <xf numFmtId="2" fontId="5" fillId="3" borderId="6" xfId="6" applyNumberFormat="1" applyFont="1" applyFill="1" applyBorder="1" applyAlignment="1" applyProtection="1">
      <alignment wrapText="1"/>
      <protection locked="0"/>
    </xf>
    <xf numFmtId="2" fontId="5" fillId="3" borderId="8" xfId="6" applyNumberFormat="1" applyFont="1" applyFill="1" applyBorder="1" applyAlignment="1" applyProtection="1">
      <alignment wrapText="1"/>
      <protection locked="0"/>
    </xf>
    <xf numFmtId="0" fontId="3" fillId="3" borderId="4" xfId="3" applyFill="1" applyBorder="1" applyProtection="1">
      <protection locked="0"/>
    </xf>
    <xf numFmtId="2" fontId="5" fillId="3" borderId="3" xfId="5" applyNumberFormat="1" applyFont="1" applyFill="1" applyBorder="1" applyAlignment="1" applyProtection="1">
      <alignment horizontal="center"/>
      <protection locked="0"/>
    </xf>
    <xf numFmtId="2" fontId="5" fillId="3" borderId="2" xfId="5" applyNumberFormat="1" applyFont="1" applyFill="1" applyBorder="1" applyAlignment="1" applyProtection="1">
      <alignment horizontal="center"/>
      <protection locked="0"/>
    </xf>
    <xf numFmtId="0" fontId="5" fillId="3" borderId="14" xfId="5" applyFont="1" applyFill="1" applyBorder="1" applyAlignment="1" applyProtection="1">
      <alignment horizontal="center"/>
      <protection locked="0"/>
    </xf>
    <xf numFmtId="0" fontId="5" fillId="3" borderId="9" xfId="5" applyFont="1" applyFill="1" applyBorder="1" applyAlignment="1" applyProtection="1">
      <alignment horizontal="center"/>
      <protection locked="0"/>
    </xf>
    <xf numFmtId="0" fontId="5" fillId="3" borderId="11" xfId="5" applyFont="1" applyFill="1" applyBorder="1" applyProtection="1">
      <protection locked="0"/>
    </xf>
    <xf numFmtId="0" fontId="5" fillId="3" borderId="10" xfId="5" applyFont="1" applyFill="1" applyBorder="1" applyAlignment="1" applyProtection="1">
      <alignment horizontal="center"/>
      <protection locked="0"/>
    </xf>
    <xf numFmtId="0" fontId="5" fillId="3" borderId="11" xfId="5" applyFont="1" applyFill="1" applyBorder="1" applyAlignment="1" applyProtection="1">
      <alignment horizontal="center"/>
      <protection locked="0"/>
    </xf>
    <xf numFmtId="0" fontId="5" fillId="3" borderId="1" xfId="5" applyFont="1" applyFill="1" applyBorder="1" applyAlignment="1" applyProtection="1">
      <alignment horizontal="center"/>
      <protection locked="0"/>
    </xf>
    <xf numFmtId="1" fontId="5" fillId="3" borderId="3" xfId="5" applyNumberFormat="1" applyFont="1" applyFill="1" applyBorder="1" applyAlignment="1" applyProtection="1">
      <alignment horizontal="center"/>
      <protection locked="0"/>
    </xf>
    <xf numFmtId="1" fontId="5" fillId="3" borderId="2" xfId="5" applyNumberFormat="1" applyFont="1" applyFill="1" applyBorder="1" applyAlignment="1" applyProtection="1">
      <alignment horizontal="center"/>
      <protection locked="0"/>
    </xf>
    <xf numFmtId="0" fontId="5" fillId="3" borderId="3" xfId="5" applyFont="1" applyFill="1" applyBorder="1" applyAlignment="1" applyProtection="1">
      <alignment horizontal="center"/>
      <protection locked="0"/>
    </xf>
    <xf numFmtId="0" fontId="5" fillId="3" borderId="2" xfId="5" applyFont="1" applyFill="1" applyBorder="1" applyAlignment="1" applyProtection="1">
      <alignment horizontal="center"/>
      <protection locked="0"/>
    </xf>
    <xf numFmtId="2" fontId="5" fillId="3" borderId="15" xfId="5" applyNumberFormat="1" applyFont="1" applyFill="1" applyBorder="1" applyAlignment="1" applyProtection="1">
      <alignment horizontal="center"/>
      <protection locked="0"/>
    </xf>
    <xf numFmtId="0" fontId="3" fillId="3" borderId="15" xfId="3" applyFill="1" applyBorder="1" applyProtection="1">
      <protection locked="0"/>
    </xf>
    <xf numFmtId="0" fontId="3" fillId="3" borderId="12" xfId="3" applyFill="1" applyBorder="1" applyProtection="1">
      <protection locked="0"/>
    </xf>
    <xf numFmtId="0" fontId="3" fillId="3" borderId="13" xfId="3" applyFill="1" applyBorder="1" applyProtection="1">
      <protection locked="0"/>
    </xf>
    <xf numFmtId="0" fontId="2" fillId="4" borderId="0" xfId="0" applyFont="1" applyFill="1" applyProtection="1">
      <protection locked="0"/>
    </xf>
    <xf numFmtId="0" fontId="2" fillId="0" borderId="0" xfId="0" applyFont="1" applyProtection="1">
      <protection locked="0"/>
    </xf>
    <xf numFmtId="0" fontId="2" fillId="5" borderId="4" xfId="0" applyFont="1" applyFill="1" applyBorder="1" applyProtection="1">
      <protection locked="0"/>
    </xf>
    <xf numFmtId="0" fontId="2" fillId="5" borderId="6" xfId="0" applyFont="1" applyFill="1" applyBorder="1" applyProtection="1">
      <protection locked="0"/>
    </xf>
    <xf numFmtId="0" fontId="2" fillId="5" borderId="9" xfId="0" applyFont="1" applyFill="1" applyBorder="1" applyProtection="1">
      <protection locked="0"/>
    </xf>
    <xf numFmtId="0" fontId="2" fillId="5" borderId="11" xfId="0" applyFont="1" applyFill="1" applyBorder="1" applyProtection="1">
      <protection locked="0"/>
    </xf>
    <xf numFmtId="0" fontId="2" fillId="6" borderId="4" xfId="0" applyFont="1" applyFill="1" applyBorder="1" applyProtection="1">
      <protection locked="0"/>
    </xf>
    <xf numFmtId="0" fontId="2" fillId="7" borderId="5" xfId="0" applyFont="1" applyFill="1" applyBorder="1" applyProtection="1">
      <protection locked="0"/>
    </xf>
    <xf numFmtId="0" fontId="2" fillId="8" borderId="5" xfId="0" applyFont="1" applyFill="1" applyBorder="1" applyProtection="1">
      <protection locked="0"/>
    </xf>
    <xf numFmtId="0" fontId="2" fillId="7" borderId="6" xfId="0" applyFont="1" applyFill="1" applyBorder="1" applyProtection="1">
      <protection locked="0"/>
    </xf>
    <xf numFmtId="0" fontId="2" fillId="7" borderId="7" xfId="0" applyFont="1" applyFill="1" applyBorder="1" applyProtection="1">
      <protection locked="0"/>
    </xf>
    <xf numFmtId="0" fontId="2" fillId="7" borderId="0" xfId="0" applyFont="1" applyFill="1" applyProtection="1">
      <protection locked="0"/>
    </xf>
    <xf numFmtId="0" fontId="2" fillId="7" borderId="8" xfId="0" applyFont="1" applyFill="1" applyBorder="1" applyProtection="1">
      <protection locked="0"/>
    </xf>
    <xf numFmtId="0" fontId="2" fillId="7" borderId="9" xfId="0" applyFont="1" applyFill="1" applyBorder="1" applyProtection="1">
      <protection locked="0"/>
    </xf>
    <xf numFmtId="0" fontId="2" fillId="7" borderId="10" xfId="0" applyFont="1" applyFill="1" applyBorder="1" applyProtection="1">
      <protection locked="0"/>
    </xf>
    <xf numFmtId="0" fontId="2" fillId="9" borderId="10" xfId="0" applyFont="1" applyFill="1" applyBorder="1" applyProtection="1">
      <protection locked="0"/>
    </xf>
    <xf numFmtId="0" fontId="2" fillId="9" borderId="11" xfId="0" applyFont="1" applyFill="1" applyBorder="1" applyProtection="1">
      <protection locked="0"/>
    </xf>
    <xf numFmtId="0" fontId="2" fillId="9" borderId="0" xfId="0" applyFont="1" applyFill="1" applyProtection="1">
      <protection locked="0"/>
    </xf>
    <xf numFmtId="0" fontId="2" fillId="7" borderId="11" xfId="0" applyFont="1" applyFill="1" applyBorder="1" applyProtection="1">
      <protection locked="0"/>
    </xf>
    <xf numFmtId="0" fontId="2" fillId="8" borderId="6" xfId="0" applyFont="1" applyFill="1" applyBorder="1" applyProtection="1">
      <protection locked="0"/>
    </xf>
    <xf numFmtId="0" fontId="6" fillId="7" borderId="7" xfId="0" applyFont="1" applyFill="1" applyBorder="1" applyProtection="1">
      <protection locked="0"/>
    </xf>
    <xf numFmtId="0" fontId="2" fillId="0" borderId="10" xfId="0" applyFont="1" applyBorder="1" applyProtection="1">
      <protection locked="0"/>
    </xf>
    <xf numFmtId="0" fontId="2" fillId="9" borderId="8" xfId="0" applyFont="1" applyFill="1" applyBorder="1" applyProtection="1">
      <protection locked="0"/>
    </xf>
    <xf numFmtId="0" fontId="2" fillId="3" borderId="5" xfId="0" applyFont="1" applyFill="1" applyBorder="1" applyProtection="1">
      <protection locked="0"/>
    </xf>
    <xf numFmtId="0" fontId="2" fillId="3" borderId="0" xfId="0" applyFont="1" applyFill="1" applyProtection="1">
      <protection locked="0"/>
    </xf>
    <xf numFmtId="0" fontId="2" fillId="3" borderId="8" xfId="0" applyFont="1" applyFill="1" applyBorder="1" applyProtection="1">
      <protection locked="0"/>
    </xf>
    <xf numFmtId="0" fontId="2" fillId="3" borderId="10" xfId="0" applyFont="1" applyFill="1" applyBorder="1" applyProtection="1">
      <protection locked="0"/>
    </xf>
    <xf numFmtId="0" fontId="2" fillId="3" borderId="6" xfId="0" applyFont="1" applyFill="1" applyBorder="1" applyProtection="1">
      <protection locked="0"/>
    </xf>
    <xf numFmtId="0" fontId="2" fillId="6" borderId="7" xfId="0" applyFont="1" applyFill="1" applyBorder="1" applyProtection="1">
      <protection locked="0"/>
    </xf>
    <xf numFmtId="0" fontId="2" fillId="3" borderId="11" xfId="0" applyFont="1" applyFill="1" applyBorder="1" applyProtection="1">
      <protection locked="0"/>
    </xf>
    <xf numFmtId="0" fontId="2" fillId="10" borderId="5" xfId="0" applyFont="1" applyFill="1" applyBorder="1" applyProtection="1">
      <protection locked="0"/>
    </xf>
    <xf numFmtId="0" fontId="2" fillId="10" borderId="7" xfId="0" applyFont="1" applyFill="1" applyBorder="1" applyProtection="1">
      <protection locked="0"/>
    </xf>
    <xf numFmtId="0" fontId="2" fillId="10" borderId="0" xfId="0" applyFont="1" applyFill="1" applyProtection="1">
      <protection locked="0"/>
    </xf>
    <xf numFmtId="0" fontId="2" fillId="10" borderId="8" xfId="0" applyFont="1" applyFill="1" applyBorder="1" applyProtection="1">
      <protection locked="0"/>
    </xf>
    <xf numFmtId="0" fontId="2" fillId="10" borderId="9" xfId="0" applyFont="1" applyFill="1" applyBorder="1" applyProtection="1">
      <protection locked="0"/>
    </xf>
    <xf numFmtId="0" fontId="2" fillId="10" borderId="10" xfId="0" applyFont="1" applyFill="1" applyBorder="1" applyProtection="1">
      <protection locked="0"/>
    </xf>
    <xf numFmtId="0" fontId="2" fillId="10" borderId="11" xfId="0" applyFont="1" applyFill="1" applyBorder="1" applyProtection="1">
      <protection locked="0"/>
    </xf>
    <xf numFmtId="0" fontId="2" fillId="10" borderId="6" xfId="0" applyFont="1" applyFill="1" applyBorder="1" applyProtection="1">
      <protection locked="0"/>
    </xf>
    <xf numFmtId="0" fontId="2" fillId="5" borderId="7" xfId="0" applyFont="1" applyFill="1" applyBorder="1" applyProtection="1">
      <protection locked="0"/>
    </xf>
    <xf numFmtId="0" fontId="2" fillId="5" borderId="8" xfId="0" applyFont="1" applyFill="1" applyBorder="1" applyProtection="1">
      <protection locked="0"/>
    </xf>
    <xf numFmtId="0" fontId="3" fillId="3" borderId="9" xfId="4" applyFill="1" applyBorder="1" applyAlignment="1" applyProtection="1">
      <alignment horizontal="center" wrapText="1"/>
      <protection locked="0"/>
    </xf>
    <xf numFmtId="0" fontId="3" fillId="3" borderId="11" xfId="4" applyFill="1" applyBorder="1" applyAlignment="1" applyProtection="1">
      <alignment horizontal="center" wrapText="1"/>
      <protection locked="0"/>
    </xf>
    <xf numFmtId="0" fontId="3" fillId="11" borderId="0" xfId="3" applyFill="1" applyProtection="1">
      <protection locked="0"/>
    </xf>
    <xf numFmtId="0" fontId="3" fillId="11" borderId="0" xfId="3" applyFill="1" applyAlignment="1" applyProtection="1">
      <alignment wrapText="1"/>
      <protection locked="0"/>
    </xf>
    <xf numFmtId="166" fontId="3" fillId="11" borderId="0" xfId="3" applyNumberFormat="1" applyFill="1" applyAlignment="1" applyProtection="1">
      <alignment horizontal="center" wrapText="1"/>
      <protection locked="0"/>
    </xf>
    <xf numFmtId="166" fontId="3" fillId="3" borderId="9" xfId="3" applyNumberFormat="1" applyFill="1" applyBorder="1" applyProtection="1">
      <protection locked="0"/>
    </xf>
    <xf numFmtId="166" fontId="3" fillId="3" borderId="13" xfId="3" applyNumberFormat="1" applyFill="1" applyBorder="1" applyProtection="1">
      <protection locked="0"/>
    </xf>
    <xf numFmtId="0" fontId="3" fillId="11" borderId="0" xfId="4" applyFill="1" applyAlignment="1" applyProtection="1">
      <alignment horizontal="center" wrapText="1"/>
      <protection locked="0"/>
    </xf>
    <xf numFmtId="0" fontId="3" fillId="11" borderId="0" xfId="4" applyFill="1" applyAlignment="1" applyProtection="1">
      <alignment horizontal="center"/>
      <protection locked="0"/>
    </xf>
    <xf numFmtId="0" fontId="3" fillId="7" borderId="4" xfId="4" applyFill="1" applyBorder="1" applyAlignment="1" applyProtection="1">
      <alignment horizontal="center" wrapText="1"/>
      <protection locked="0"/>
    </xf>
    <xf numFmtId="0" fontId="3" fillId="7" borderId="5" xfId="4" applyFill="1" applyBorder="1" applyAlignment="1" applyProtection="1">
      <alignment horizontal="center" wrapText="1"/>
      <protection locked="0"/>
    </xf>
    <xf numFmtId="0" fontId="3" fillId="7" borderId="6" xfId="4" applyFill="1" applyBorder="1" applyAlignment="1" applyProtection="1">
      <alignment horizontal="center" wrapText="1"/>
      <protection locked="0"/>
    </xf>
    <xf numFmtId="0" fontId="3" fillId="7" borderId="7" xfId="4" applyFill="1" applyBorder="1" applyAlignment="1" applyProtection="1">
      <alignment horizontal="center" wrapText="1"/>
      <protection locked="0"/>
    </xf>
    <xf numFmtId="0" fontId="3" fillId="7" borderId="0" xfId="4" applyFill="1" applyAlignment="1" applyProtection="1">
      <alignment horizontal="center" wrapText="1"/>
      <protection locked="0"/>
    </xf>
    <xf numFmtId="0" fontId="3" fillId="7" borderId="8" xfId="4" applyFill="1" applyBorder="1" applyAlignment="1" applyProtection="1">
      <alignment horizontal="center" wrapText="1"/>
      <protection locked="0"/>
    </xf>
    <xf numFmtId="0" fontId="3" fillId="7" borderId="9" xfId="4" applyFill="1" applyBorder="1" applyAlignment="1" applyProtection="1">
      <alignment horizontal="center" wrapText="1"/>
      <protection locked="0"/>
    </xf>
    <xf numFmtId="0" fontId="3" fillId="7" borderId="10" xfId="4" applyFill="1" applyBorder="1" applyAlignment="1" applyProtection="1">
      <alignment horizontal="center" wrapText="1"/>
      <protection locked="0"/>
    </xf>
    <xf numFmtId="0" fontId="3" fillId="7" borderId="11" xfId="4" applyFill="1" applyBorder="1" applyAlignment="1" applyProtection="1">
      <alignment horizontal="center" wrapText="1"/>
      <protection locked="0"/>
    </xf>
    <xf numFmtId="0" fontId="3" fillId="9" borderId="27" xfId="4" applyFill="1" applyBorder="1" applyAlignment="1" applyProtection="1">
      <alignment horizontal="center" wrapText="1"/>
      <protection locked="0"/>
    </xf>
    <xf numFmtId="2" fontId="3" fillId="6" borderId="43" xfId="4" applyNumberFormat="1" applyFill="1" applyBorder="1" applyAlignment="1" applyProtection="1">
      <alignment horizontal="center" wrapText="1"/>
      <protection locked="0"/>
    </xf>
    <xf numFmtId="2" fontId="3" fillId="6" borderId="44" xfId="4" applyNumberFormat="1" applyFill="1" applyBorder="1" applyAlignment="1" applyProtection="1">
      <alignment horizontal="center" wrapText="1"/>
      <protection locked="0"/>
    </xf>
    <xf numFmtId="0" fontId="3" fillId="6" borderId="32" xfId="4" applyFill="1" applyBorder="1" applyAlignment="1" applyProtection="1">
      <alignment horizontal="center" wrapText="1"/>
      <protection locked="0"/>
    </xf>
    <xf numFmtId="2" fontId="3" fillId="6" borderId="33" xfId="4" applyNumberFormat="1" applyFill="1" applyBorder="1" applyAlignment="1" applyProtection="1">
      <alignment horizontal="center" wrapText="1"/>
      <protection locked="0"/>
    </xf>
    <xf numFmtId="2" fontId="3" fillId="6" borderId="34" xfId="4" applyNumberFormat="1" applyFill="1" applyBorder="1" applyAlignment="1" applyProtection="1">
      <alignment horizontal="center" wrapText="1"/>
      <protection locked="0"/>
    </xf>
    <xf numFmtId="0" fontId="2" fillId="0" borderId="0" xfId="0" applyFont="1" applyAlignment="1" applyProtection="1">
      <alignment horizontal="center"/>
      <protection locked="0"/>
    </xf>
    <xf numFmtId="1" fontId="2" fillId="0" borderId="0" xfId="0" applyNumberFormat="1" applyFont="1" applyAlignment="1" applyProtection="1">
      <alignment horizontal="center"/>
      <protection locked="0"/>
    </xf>
    <xf numFmtId="2" fontId="2" fillId="0" borderId="0" xfId="0" applyNumberFormat="1" applyFont="1" applyProtection="1">
      <protection locked="0"/>
    </xf>
    <xf numFmtId="0" fontId="3" fillId="7" borderId="0" xfId="3" applyFill="1" applyProtection="1">
      <protection locked="0"/>
    </xf>
    <xf numFmtId="166" fontId="3" fillId="7" borderId="0" xfId="3" applyNumberFormat="1" applyFill="1" applyAlignment="1" applyProtection="1">
      <alignment horizontal="center" wrapText="1"/>
      <protection locked="0"/>
    </xf>
    <xf numFmtId="0" fontId="3" fillId="7" borderId="4" xfId="3" applyFill="1" applyBorder="1" applyProtection="1">
      <protection locked="0"/>
    </xf>
    <xf numFmtId="0" fontId="3" fillId="7" borderId="5" xfId="3" applyFill="1" applyBorder="1" applyProtection="1">
      <protection locked="0"/>
    </xf>
    <xf numFmtId="0" fontId="3" fillId="7" borderId="6" xfId="3" applyFill="1" applyBorder="1" applyProtection="1">
      <protection locked="0"/>
    </xf>
    <xf numFmtId="0" fontId="3" fillId="7" borderId="7" xfId="3" applyFill="1" applyBorder="1" applyProtection="1">
      <protection locked="0"/>
    </xf>
    <xf numFmtId="0" fontId="3" fillId="7" borderId="8" xfId="3" applyFill="1" applyBorder="1" applyProtection="1">
      <protection locked="0"/>
    </xf>
    <xf numFmtId="166" fontId="3" fillId="7" borderId="9" xfId="3" applyNumberFormat="1" applyFill="1" applyBorder="1" applyAlignment="1" applyProtection="1">
      <alignment horizontal="center" wrapText="1"/>
      <protection locked="0"/>
    </xf>
    <xf numFmtId="166" fontId="3" fillId="7" borderId="10" xfId="3" applyNumberFormat="1" applyFill="1" applyBorder="1" applyAlignment="1" applyProtection="1">
      <alignment horizontal="center" wrapText="1"/>
      <protection locked="0"/>
    </xf>
    <xf numFmtId="166" fontId="3" fillId="7" borderId="10" xfId="3" applyNumberFormat="1" applyFill="1" applyBorder="1" applyAlignment="1" applyProtection="1">
      <alignment horizontal="left"/>
      <protection locked="0"/>
    </xf>
    <xf numFmtId="0" fontId="3" fillId="7" borderId="11" xfId="3" applyFill="1" applyBorder="1" applyAlignment="1" applyProtection="1">
      <alignment wrapText="1"/>
      <protection locked="0"/>
    </xf>
    <xf numFmtId="0" fontId="7" fillId="11" borderId="0" xfId="3" applyFont="1" applyFill="1" applyProtection="1">
      <protection locked="0"/>
    </xf>
    <xf numFmtId="166" fontId="3" fillId="7" borderId="7" xfId="3" applyNumberFormat="1" applyFill="1" applyBorder="1" applyAlignment="1" applyProtection="1">
      <alignment horizontal="center" wrapText="1"/>
      <protection locked="0"/>
    </xf>
    <xf numFmtId="0" fontId="3" fillId="7" borderId="10" xfId="3" applyFill="1" applyBorder="1" applyProtection="1">
      <protection locked="0"/>
    </xf>
    <xf numFmtId="0" fontId="3" fillId="7" borderId="11" xfId="3" applyFill="1" applyBorder="1" applyProtection="1">
      <protection locked="0"/>
    </xf>
    <xf numFmtId="0" fontId="3" fillId="7" borderId="9" xfId="3" applyFill="1" applyBorder="1" applyProtection="1">
      <protection locked="0"/>
    </xf>
    <xf numFmtId="166" fontId="3" fillId="3" borderId="0" xfId="3" applyNumberFormat="1" applyFill="1" applyAlignment="1" applyProtection="1">
      <alignment horizontal="left"/>
      <protection locked="0"/>
    </xf>
    <xf numFmtId="166" fontId="3" fillId="3" borderId="0" xfId="3" applyNumberFormat="1" applyFill="1" applyProtection="1">
      <protection locked="0"/>
    </xf>
    <xf numFmtId="0" fontId="3" fillId="3" borderId="7" xfId="3" applyFill="1" applyBorder="1" applyProtection="1">
      <protection locked="0"/>
    </xf>
    <xf numFmtId="166" fontId="3" fillId="3" borderId="7" xfId="3" applyNumberFormat="1" applyFill="1" applyBorder="1" applyProtection="1">
      <protection locked="0"/>
    </xf>
    <xf numFmtId="0" fontId="3" fillId="3" borderId="13" xfId="3" applyFill="1" applyBorder="1" applyAlignment="1" applyProtection="1">
      <alignment horizontal="left"/>
      <protection locked="0"/>
    </xf>
    <xf numFmtId="166" fontId="3" fillId="9" borderId="9" xfId="3" applyNumberFormat="1" applyFill="1" applyBorder="1" applyAlignment="1" applyProtection="1">
      <alignment horizontal="center" wrapText="1"/>
      <protection locked="0"/>
    </xf>
    <xf numFmtId="166" fontId="3" fillId="3" borderId="2" xfId="3" applyNumberFormat="1" applyFill="1" applyBorder="1" applyProtection="1">
      <protection locked="0"/>
    </xf>
    <xf numFmtId="165" fontId="3" fillId="11" borderId="0" xfId="3" applyNumberFormat="1" applyFill="1" applyProtection="1">
      <protection locked="0"/>
    </xf>
    <xf numFmtId="166" fontId="3" fillId="6" borderId="10" xfId="3" applyNumberFormat="1" applyFill="1" applyBorder="1" applyAlignment="1" applyProtection="1">
      <alignment horizontal="center" wrapText="1"/>
      <protection locked="0"/>
    </xf>
    <xf numFmtId="166" fontId="3" fillId="6" borderId="11" xfId="3" applyNumberFormat="1" applyFill="1" applyBorder="1" applyAlignment="1" applyProtection="1">
      <alignment horizontal="center" wrapText="1"/>
      <protection locked="0"/>
    </xf>
    <xf numFmtId="0" fontId="3" fillId="6" borderId="2" xfId="3" applyFill="1" applyBorder="1" applyProtection="1">
      <protection locked="0"/>
    </xf>
    <xf numFmtId="166" fontId="3" fillId="6" borderId="10" xfId="3" applyNumberFormat="1" applyFill="1" applyBorder="1" applyProtection="1">
      <protection locked="0"/>
    </xf>
    <xf numFmtId="166" fontId="3" fillId="6" borderId="11" xfId="3" applyNumberFormat="1" applyFill="1" applyBorder="1" applyProtection="1">
      <protection locked="0"/>
    </xf>
    <xf numFmtId="0" fontId="7" fillId="2" borderId="0" xfId="3" applyFont="1" applyFill="1" applyAlignment="1" applyProtection="1">
      <alignment horizontal="center"/>
      <protection locked="0"/>
    </xf>
    <xf numFmtId="2" fontId="5" fillId="0" borderId="0" xfId="6" applyNumberFormat="1" applyFont="1" applyAlignment="1" applyProtection="1">
      <alignment wrapText="1"/>
      <protection locked="0"/>
    </xf>
    <xf numFmtId="0" fontId="5" fillId="0" borderId="0" xfId="6" applyFont="1" applyProtection="1">
      <protection locked="0"/>
    </xf>
    <xf numFmtId="0" fontId="5" fillId="0" borderId="0" xfId="6" applyFont="1" applyAlignment="1" applyProtection="1">
      <alignment wrapText="1"/>
      <protection locked="0"/>
    </xf>
    <xf numFmtId="0" fontId="5" fillId="9" borderId="13" xfId="6" applyFont="1" applyFill="1" applyBorder="1" applyAlignment="1" applyProtection="1">
      <alignment wrapText="1"/>
      <protection locked="0"/>
    </xf>
    <xf numFmtId="2" fontId="5" fillId="6" borderId="10" xfId="6" applyNumberFormat="1" applyFont="1" applyFill="1" applyBorder="1" applyAlignment="1" applyProtection="1">
      <alignment wrapText="1"/>
      <protection locked="0"/>
    </xf>
    <xf numFmtId="2" fontId="5" fillId="6" borderId="13" xfId="6" applyNumberFormat="1" applyFont="1" applyFill="1" applyBorder="1" applyAlignment="1" applyProtection="1">
      <alignment wrapText="1"/>
      <protection locked="0"/>
    </xf>
    <xf numFmtId="0" fontId="7" fillId="0" borderId="0" xfId="5" applyFont="1" applyAlignment="1" applyProtection="1">
      <alignment horizontal="center"/>
      <protection locked="0"/>
    </xf>
    <xf numFmtId="0" fontId="0" fillId="0" borderId="0" xfId="0" applyProtection="1">
      <protection locked="0"/>
    </xf>
    <xf numFmtId="2" fontId="0" fillId="0" borderId="0" xfId="0" applyNumberFormat="1" applyProtection="1">
      <protection locked="0"/>
    </xf>
    <xf numFmtId="0" fontId="0" fillId="9" borderId="2" xfId="0" applyFill="1" applyBorder="1" applyProtection="1">
      <protection locked="0"/>
    </xf>
    <xf numFmtId="0" fontId="0" fillId="9" borderId="13" xfId="0" applyFill="1" applyBorder="1" applyProtection="1">
      <protection locked="0"/>
    </xf>
    <xf numFmtId="2" fontId="0" fillId="6" borderId="2" xfId="0" applyNumberFormat="1" applyFill="1" applyBorder="1" applyProtection="1">
      <protection locked="0"/>
    </xf>
    <xf numFmtId="0" fontId="0" fillId="6" borderId="1" xfId="0" applyFill="1" applyBorder="1" applyProtection="1">
      <protection locked="0"/>
    </xf>
    <xf numFmtId="0" fontId="0" fillId="6" borderId="2" xfId="0" applyFill="1" applyBorder="1" applyProtection="1">
      <protection locked="0"/>
    </xf>
    <xf numFmtId="0" fontId="3" fillId="0" borderId="0" xfId="3" applyProtection="1">
      <protection locked="0"/>
    </xf>
    <xf numFmtId="166" fontId="3" fillId="0" borderId="0" xfId="3" applyNumberFormat="1" applyAlignment="1" applyProtection="1">
      <alignment horizontal="center" wrapText="1"/>
      <protection locked="0"/>
    </xf>
    <xf numFmtId="0" fontId="3" fillId="0" borderId="0" xfId="3" applyAlignment="1" applyProtection="1">
      <alignment wrapText="1"/>
      <protection locked="0"/>
    </xf>
    <xf numFmtId="0" fontId="3" fillId="3" borderId="3" xfId="3" applyFill="1" applyBorder="1" applyProtection="1">
      <protection locked="0"/>
    </xf>
    <xf numFmtId="0" fontId="3" fillId="9" borderId="2" xfId="3" applyFill="1" applyBorder="1" applyProtection="1">
      <protection locked="0"/>
    </xf>
    <xf numFmtId="0" fontId="3" fillId="6" borderId="4" xfId="3" applyFill="1" applyBorder="1" applyProtection="1">
      <protection locked="0"/>
    </xf>
    <xf numFmtId="0" fontId="3" fillId="6" borderId="6" xfId="3" applyFill="1" applyBorder="1" applyProtection="1">
      <protection locked="0"/>
    </xf>
    <xf numFmtId="0" fontId="5" fillId="0" borderId="0" xfId="5" applyFont="1" applyAlignment="1" applyProtection="1">
      <alignment horizontal="center"/>
      <protection locked="0"/>
    </xf>
    <xf numFmtId="0" fontId="5" fillId="0" borderId="0" xfId="5" applyFont="1" applyProtection="1">
      <protection locked="0"/>
    </xf>
    <xf numFmtId="2" fontId="5" fillId="0" borderId="0" xfId="5" applyNumberFormat="1" applyFont="1" applyAlignment="1" applyProtection="1">
      <alignment horizontal="center"/>
      <protection locked="0"/>
    </xf>
    <xf numFmtId="1" fontId="5" fillId="0" borderId="0" xfId="5" applyNumberFormat="1" applyFont="1" applyAlignment="1" applyProtection="1">
      <alignment horizontal="center"/>
      <protection locked="0"/>
    </xf>
    <xf numFmtId="2" fontId="5" fillId="6" borderId="1" xfId="5" applyNumberFormat="1" applyFont="1" applyFill="1" applyBorder="1" applyAlignment="1" applyProtection="1">
      <alignment horizontal="center"/>
      <protection locked="0"/>
    </xf>
    <xf numFmtId="2" fontId="5" fillId="6" borderId="7" xfId="5" applyNumberFormat="1" applyFont="1" applyFill="1" applyBorder="1" applyAlignment="1" applyProtection="1">
      <alignment horizontal="center"/>
      <protection locked="0"/>
    </xf>
    <xf numFmtId="2" fontId="5" fillId="6" borderId="9" xfId="5" applyNumberFormat="1" applyFont="1" applyFill="1" applyBorder="1" applyAlignment="1" applyProtection="1">
      <alignment horizontal="center"/>
      <protection locked="0"/>
    </xf>
    <xf numFmtId="2" fontId="5" fillId="6" borderId="14" xfId="5" applyNumberFormat="1" applyFont="1" applyFill="1" applyBorder="1" applyAlignment="1" applyProtection="1">
      <alignment horizontal="center"/>
      <protection locked="0"/>
    </xf>
    <xf numFmtId="0" fontId="5" fillId="9" borderId="12" xfId="5" applyFont="1" applyFill="1" applyBorder="1" applyAlignment="1" applyProtection="1">
      <alignment horizontal="center"/>
      <protection locked="0"/>
    </xf>
    <xf numFmtId="0" fontId="5" fillId="9" borderId="2" xfId="5" applyFont="1" applyFill="1" applyBorder="1" applyAlignment="1" applyProtection="1">
      <alignment horizontal="center"/>
      <protection locked="0"/>
    </xf>
    <xf numFmtId="0" fontId="5" fillId="3" borderId="1" xfId="5" applyFont="1" applyFill="1" applyBorder="1" applyAlignment="1" applyProtection="1">
      <alignment horizontal="left"/>
      <protection locked="0"/>
    </xf>
    <xf numFmtId="0" fontId="5" fillId="6" borderId="4" xfId="5" applyFont="1" applyFill="1" applyBorder="1" applyAlignment="1" applyProtection="1">
      <alignment horizontal="center"/>
      <protection locked="0"/>
    </xf>
    <xf numFmtId="0" fontId="5" fillId="6" borderId="6" xfId="5" applyFont="1" applyFill="1" applyBorder="1" applyProtection="1">
      <protection locked="0"/>
    </xf>
    <xf numFmtId="0" fontId="5" fillId="6" borderId="7" xfId="5" applyFont="1" applyFill="1" applyBorder="1" applyAlignment="1" applyProtection="1">
      <alignment horizontal="center"/>
      <protection locked="0"/>
    </xf>
    <xf numFmtId="0" fontId="5" fillId="6" borderId="8" xfId="5" applyFont="1" applyFill="1" applyBorder="1" applyProtection="1">
      <protection locked="0"/>
    </xf>
    <xf numFmtId="0" fontId="2" fillId="6" borderId="5" xfId="0" applyFont="1" applyFill="1" applyBorder="1" applyProtection="1">
      <protection locked="0"/>
    </xf>
    <xf numFmtId="0" fontId="2" fillId="6" borderId="6" xfId="0" applyFont="1" applyFill="1" applyBorder="1" applyProtection="1">
      <protection locked="0"/>
    </xf>
    <xf numFmtId="0" fontId="2" fillId="6" borderId="0" xfId="0" applyFont="1" applyFill="1" applyProtection="1">
      <protection locked="0"/>
    </xf>
    <xf numFmtId="0" fontId="2" fillId="6" borderId="8" xfId="0" applyFont="1" applyFill="1" applyBorder="1" applyProtection="1">
      <protection locked="0"/>
    </xf>
    <xf numFmtId="0" fontId="2" fillId="8" borderId="4" xfId="0" applyFont="1" applyFill="1" applyBorder="1" applyProtection="1">
      <protection locked="0"/>
    </xf>
    <xf numFmtId="0" fontId="2" fillId="8" borderId="9" xfId="0" applyFont="1" applyFill="1" applyBorder="1" applyProtection="1">
      <protection locked="0"/>
    </xf>
    <xf numFmtId="0" fontId="2" fillId="8" borderId="10" xfId="0" applyFont="1" applyFill="1" applyBorder="1" applyProtection="1">
      <protection locked="0"/>
    </xf>
    <xf numFmtId="0" fontId="2" fillId="8" borderId="11" xfId="0" applyFont="1" applyFill="1" applyBorder="1" applyProtection="1">
      <protection locked="0"/>
    </xf>
    <xf numFmtId="0" fontId="2" fillId="6" borderId="9" xfId="0" applyFont="1" applyFill="1" applyBorder="1" applyProtection="1">
      <protection locked="0"/>
    </xf>
    <xf numFmtId="0" fontId="2" fillId="6" borderId="10" xfId="0" applyFont="1" applyFill="1" applyBorder="1" applyProtection="1">
      <protection locked="0"/>
    </xf>
    <xf numFmtId="0" fontId="2" fillId="6" borderId="11" xfId="0" applyFont="1" applyFill="1" applyBorder="1" applyProtection="1">
      <protection locked="0"/>
    </xf>
    <xf numFmtId="0" fontId="20" fillId="12" borderId="3" xfId="0" applyFont="1" applyFill="1" applyBorder="1" applyProtection="1">
      <protection hidden="1"/>
    </xf>
    <xf numFmtId="0" fontId="20" fillId="0" borderId="0" xfId="0" applyFont="1" applyProtection="1">
      <protection hidden="1"/>
    </xf>
    <xf numFmtId="0" fontId="22" fillId="0" borderId="0" xfId="0" applyFont="1" applyProtection="1">
      <protection hidden="1"/>
    </xf>
    <xf numFmtId="0" fontId="22" fillId="0" borderId="0" xfId="0" applyFont="1"/>
    <xf numFmtId="0" fontId="22" fillId="11" borderId="7" xfId="0" applyFont="1" applyFill="1" applyBorder="1" applyAlignment="1" applyProtection="1">
      <alignment horizontal="left" vertical="top"/>
      <protection hidden="1"/>
    </xf>
    <xf numFmtId="0" fontId="22" fillId="11" borderId="8" xfId="0" applyFont="1" applyFill="1" applyBorder="1" applyAlignment="1" applyProtection="1">
      <alignment horizontal="left" vertical="top"/>
      <protection hidden="1"/>
    </xf>
    <xf numFmtId="0" fontId="22" fillId="0" borderId="0" xfId="0" applyFont="1" applyAlignment="1" applyProtection="1">
      <alignment horizontal="left" vertical="top"/>
      <protection hidden="1"/>
    </xf>
    <xf numFmtId="0" fontId="22" fillId="0" borderId="0" xfId="0" applyFont="1" applyAlignment="1" applyProtection="1">
      <alignment horizontal="justify" vertical="top"/>
      <protection hidden="1"/>
    </xf>
    <xf numFmtId="0" fontId="26" fillId="12" borderId="3" xfId="0" applyFont="1" applyFill="1" applyBorder="1" applyProtection="1">
      <protection hidden="1"/>
    </xf>
    <xf numFmtId="0" fontId="26" fillId="0" borderId="0" xfId="0" applyFont="1" applyProtection="1">
      <protection hidden="1"/>
    </xf>
    <xf numFmtId="0" fontId="27" fillId="12" borderId="3" xfId="0" applyFont="1" applyFill="1" applyBorder="1" applyProtection="1">
      <protection hidden="1"/>
    </xf>
    <xf numFmtId="0" fontId="27" fillId="12" borderId="3" xfId="0" applyFont="1" applyFill="1" applyBorder="1" applyAlignment="1" applyProtection="1">
      <alignment horizontal="right"/>
      <protection hidden="1"/>
    </xf>
    <xf numFmtId="0" fontId="27" fillId="12" borderId="2" xfId="0" applyFont="1" applyFill="1" applyBorder="1" applyProtection="1">
      <protection hidden="1"/>
    </xf>
    <xf numFmtId="0" fontId="27" fillId="0" borderId="0" xfId="0" applyFont="1" applyProtection="1">
      <protection hidden="1"/>
    </xf>
    <xf numFmtId="0" fontId="14" fillId="0" borderId="0" xfId="0" applyFont="1" applyProtection="1">
      <protection hidden="1"/>
    </xf>
    <xf numFmtId="0" fontId="27" fillId="12" borderId="3" xfId="0" applyFont="1" applyFill="1" applyBorder="1" applyAlignment="1" applyProtection="1">
      <alignment horizontal="left"/>
      <protection hidden="1"/>
    </xf>
    <xf numFmtId="2" fontId="27" fillId="12" borderId="3" xfId="0" applyNumberFormat="1" applyFont="1" applyFill="1" applyBorder="1" applyProtection="1">
      <protection hidden="1"/>
    </xf>
    <xf numFmtId="0" fontId="27" fillId="12" borderId="3" xfId="0" applyFont="1" applyFill="1" applyBorder="1" applyAlignment="1" applyProtection="1">
      <alignment horizontal="center"/>
      <protection hidden="1"/>
    </xf>
    <xf numFmtId="2" fontId="27" fillId="12" borderId="3" xfId="0" applyNumberFormat="1" applyFont="1" applyFill="1" applyBorder="1" applyAlignment="1" applyProtection="1">
      <alignment horizontal="right"/>
      <protection hidden="1"/>
    </xf>
    <xf numFmtId="0" fontId="22" fillId="12" borderId="3" xfId="0" applyFont="1" applyFill="1" applyBorder="1" applyProtection="1">
      <protection hidden="1"/>
    </xf>
    <xf numFmtId="0" fontId="2" fillId="9" borderId="10" xfId="0" applyFont="1" applyFill="1" applyBorder="1" applyAlignment="1" applyProtection="1">
      <alignment horizontal="right"/>
      <protection locked="0"/>
    </xf>
    <xf numFmtId="0" fontId="2" fillId="9" borderId="11" xfId="0" applyFont="1" applyFill="1" applyBorder="1" applyAlignment="1" applyProtection="1">
      <alignment horizontal="right"/>
      <protection locked="0"/>
    </xf>
    <xf numFmtId="0" fontId="2" fillId="11" borderId="0" xfId="0" applyFont="1" applyFill="1" applyProtection="1">
      <protection locked="0"/>
    </xf>
    <xf numFmtId="0" fontId="2" fillId="13" borderId="0" xfId="0" applyFont="1" applyFill="1" applyAlignment="1" applyProtection="1">
      <alignment horizontal="center"/>
      <protection locked="0"/>
    </xf>
    <xf numFmtId="166" fontId="2" fillId="3" borderId="0" xfId="0" applyNumberFormat="1" applyFont="1" applyFill="1" applyProtection="1">
      <protection locked="0"/>
    </xf>
    <xf numFmtId="0" fontId="0" fillId="0" borderId="5" xfId="0" applyBorder="1" applyProtection="1">
      <protection locked="0"/>
    </xf>
    <xf numFmtId="0" fontId="0" fillId="0" borderId="7" xfId="0" applyBorder="1" applyProtection="1">
      <protection locked="0"/>
    </xf>
    <xf numFmtId="0" fontId="2" fillId="3" borderId="0" xfId="0" applyFont="1" applyFill="1" applyAlignment="1" applyProtection="1">
      <alignment horizontal="center"/>
      <protection locked="0"/>
    </xf>
    <xf numFmtId="0" fontId="2" fillId="9" borderId="10" xfId="0" applyFont="1" applyFill="1" applyBorder="1" applyAlignment="1" applyProtection="1">
      <alignment horizontal="center"/>
      <protection locked="0"/>
    </xf>
    <xf numFmtId="0" fontId="2" fillId="3" borderId="0" xfId="0" applyFont="1" applyFill="1" applyAlignment="1" applyProtection="1">
      <alignment horizontal="left"/>
      <protection locked="0"/>
    </xf>
    <xf numFmtId="0" fontId="2" fillId="9" borderId="0" xfId="0" applyFont="1" applyFill="1" applyAlignment="1" applyProtection="1">
      <alignment horizontal="left"/>
      <protection locked="0"/>
    </xf>
    <xf numFmtId="0" fontId="2" fillId="9" borderId="10" xfId="0" applyFont="1" applyFill="1" applyBorder="1" applyAlignment="1" applyProtection="1">
      <alignment horizontal="left"/>
      <protection locked="0"/>
    </xf>
    <xf numFmtId="0" fontId="0" fillId="3" borderId="8"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0" borderId="0" xfId="0" applyAlignment="1" applyProtection="1">
      <alignment horizontal="center"/>
      <protection locked="0"/>
    </xf>
    <xf numFmtId="0" fontId="0" fillId="3" borderId="0" xfId="0" applyFill="1" applyAlignment="1" applyProtection="1">
      <alignment horizontal="center"/>
      <protection locked="0"/>
    </xf>
    <xf numFmtId="0" fontId="0" fillId="3" borderId="0" xfId="0" applyFill="1" applyAlignment="1" applyProtection="1">
      <alignment horizontal="left"/>
      <protection locked="0"/>
    </xf>
    <xf numFmtId="0" fontId="0" fillId="3" borderId="10"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9" xfId="0" applyFill="1" applyBorder="1" applyAlignment="1" applyProtection="1">
      <alignment horizontal="center"/>
      <protection locked="0"/>
    </xf>
    <xf numFmtId="2" fontId="0" fillId="9" borderId="6" xfId="0" applyNumberFormat="1" applyFill="1" applyBorder="1" applyAlignment="1" applyProtection="1">
      <alignment horizontal="center"/>
      <protection locked="0"/>
    </xf>
    <xf numFmtId="2" fontId="0" fillId="9" borderId="8" xfId="0" applyNumberFormat="1" applyFill="1" applyBorder="1" applyAlignment="1" applyProtection="1">
      <alignment horizontal="center"/>
      <protection locked="0"/>
    </xf>
    <xf numFmtId="0" fontId="0" fillId="9" borderId="8" xfId="0" applyFill="1" applyBorder="1" applyAlignment="1" applyProtection="1">
      <alignment horizontal="center"/>
      <protection locked="0"/>
    </xf>
    <xf numFmtId="0" fontId="0" fillId="9" borderId="11" xfId="0" applyFill="1" applyBorder="1" applyAlignment="1" applyProtection="1">
      <alignment horizontal="center"/>
      <protection locked="0"/>
    </xf>
    <xf numFmtId="0" fontId="0" fillId="6" borderId="11" xfId="0" applyFill="1" applyBorder="1" applyProtection="1">
      <protection locked="0"/>
    </xf>
    <xf numFmtId="0" fontId="0" fillId="9"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0" fillId="9" borderId="15" xfId="0" applyFill="1" applyBorder="1" applyAlignment="1" applyProtection="1">
      <alignment horizontal="center"/>
      <protection locked="0"/>
    </xf>
    <xf numFmtId="0" fontId="0" fillId="9" borderId="12" xfId="0" applyFill="1" applyBorder="1" applyAlignment="1" applyProtection="1">
      <alignment horizontal="center"/>
      <protection locked="0"/>
    </xf>
    <xf numFmtId="0" fontId="0" fillId="9" borderId="13" xfId="0" applyFill="1" applyBorder="1" applyAlignment="1" applyProtection="1">
      <alignment horizontal="center"/>
      <protection locked="0"/>
    </xf>
    <xf numFmtId="0" fontId="0" fillId="9" borderId="6" xfId="0" applyFill="1" applyBorder="1" applyProtection="1">
      <protection locked="0"/>
    </xf>
    <xf numFmtId="0" fontId="0" fillId="9" borderId="8" xfId="0" applyFill="1" applyBorder="1" applyProtection="1">
      <protection locked="0"/>
    </xf>
    <xf numFmtId="0" fontId="0" fillId="9" borderId="11" xfId="0" applyFill="1" applyBorder="1" applyProtection="1">
      <protection locked="0"/>
    </xf>
    <xf numFmtId="0" fontId="0" fillId="6" borderId="11" xfId="0" applyFill="1" applyBorder="1" applyAlignment="1" applyProtection="1">
      <alignment horizontal="center"/>
      <protection locked="0"/>
    </xf>
    <xf numFmtId="0" fontId="0" fillId="6" borderId="10" xfId="0" applyFill="1" applyBorder="1" applyProtection="1">
      <protection locked="0"/>
    </xf>
    <xf numFmtId="0" fontId="17" fillId="2" borderId="0" xfId="8" applyFont="1" applyFill="1" applyProtection="1">
      <protection locked="0"/>
    </xf>
    <xf numFmtId="0" fontId="12" fillId="0" borderId="0" xfId="8" applyFont="1" applyProtection="1">
      <protection locked="0"/>
    </xf>
    <xf numFmtId="0" fontId="12" fillId="3" borderId="1" xfId="8" applyFont="1" applyFill="1" applyBorder="1" applyProtection="1">
      <protection locked="0"/>
    </xf>
    <xf numFmtId="0" fontId="12" fillId="3" borderId="3" xfId="8" applyFont="1" applyFill="1" applyBorder="1" applyProtection="1">
      <protection locked="0"/>
    </xf>
    <xf numFmtId="0" fontId="12" fillId="9" borderId="2" xfId="8" applyFont="1" applyFill="1" applyBorder="1" applyProtection="1">
      <protection locked="0"/>
    </xf>
    <xf numFmtId="0" fontId="12" fillId="3" borderId="2" xfId="8" applyFont="1" applyFill="1" applyBorder="1" applyProtection="1">
      <protection locked="0"/>
    </xf>
    <xf numFmtId="0" fontId="12" fillId="9" borderId="14" xfId="8" applyFont="1" applyFill="1" applyBorder="1" applyProtection="1">
      <protection locked="0"/>
    </xf>
    <xf numFmtId="0" fontId="12" fillId="3" borderId="14" xfId="8" applyFont="1" applyFill="1" applyBorder="1" applyProtection="1">
      <protection locked="0"/>
    </xf>
    <xf numFmtId="0" fontId="12" fillId="3" borderId="4" xfId="8" applyFont="1" applyFill="1" applyBorder="1" applyProtection="1">
      <protection locked="0"/>
    </xf>
    <xf numFmtId="0" fontId="12" fillId="3" borderId="5" xfId="8" applyFont="1" applyFill="1" applyBorder="1" applyProtection="1">
      <protection locked="0"/>
    </xf>
    <xf numFmtId="0" fontId="14" fillId="3" borderId="5" xfId="8" applyFont="1" applyFill="1" applyBorder="1" applyAlignment="1" applyProtection="1">
      <alignment horizontal="center"/>
      <protection locked="0"/>
    </xf>
    <xf numFmtId="0" fontId="12" fillId="3" borderId="6" xfId="8" applyFont="1" applyFill="1" applyBorder="1" applyProtection="1">
      <protection locked="0"/>
    </xf>
    <xf numFmtId="0" fontId="14" fillId="3" borderId="4" xfId="8" applyFont="1" applyFill="1" applyBorder="1" applyAlignment="1" applyProtection="1">
      <alignment horizontal="center"/>
      <protection locked="0"/>
    </xf>
    <xf numFmtId="0" fontId="14" fillId="3" borderId="45" xfId="8" applyFont="1" applyFill="1" applyBorder="1" applyAlignment="1" applyProtection="1">
      <alignment horizontal="center"/>
      <protection locked="0"/>
    </xf>
    <xf numFmtId="0" fontId="12" fillId="3" borderId="16" xfId="8" applyFont="1" applyFill="1" applyBorder="1" applyProtection="1">
      <protection locked="0"/>
    </xf>
    <xf numFmtId="0" fontId="14" fillId="3" borderId="15" xfId="8" applyFont="1" applyFill="1" applyBorder="1" applyAlignment="1" applyProtection="1">
      <alignment horizontal="center"/>
      <protection locked="0"/>
    </xf>
    <xf numFmtId="0" fontId="14" fillId="3" borderId="4" xfId="8" applyFont="1" applyFill="1" applyBorder="1" applyAlignment="1" applyProtection="1">
      <alignment horizontal="left"/>
      <protection locked="0"/>
    </xf>
    <xf numFmtId="0" fontId="14" fillId="3" borderId="7" xfId="8" applyFont="1" applyFill="1" applyBorder="1" applyAlignment="1" applyProtection="1">
      <alignment horizontal="center"/>
      <protection locked="0"/>
    </xf>
    <xf numFmtId="0" fontId="14" fillId="3" borderId="46" xfId="8" applyFont="1" applyFill="1" applyBorder="1" applyAlignment="1" applyProtection="1">
      <alignment horizontal="center"/>
      <protection locked="0"/>
    </xf>
    <xf numFmtId="0" fontId="12" fillId="3" borderId="17" xfId="8" applyFont="1" applyFill="1" applyBorder="1" applyProtection="1">
      <protection locked="0"/>
    </xf>
    <xf numFmtId="0" fontId="12" fillId="3" borderId="0" xfId="8" applyFont="1" applyFill="1" applyProtection="1">
      <protection locked="0"/>
    </xf>
    <xf numFmtId="0" fontId="12" fillId="3" borderId="7" xfId="8" applyFont="1" applyFill="1" applyBorder="1" applyProtection="1">
      <protection locked="0"/>
    </xf>
    <xf numFmtId="0" fontId="12" fillId="3" borderId="8" xfId="8" applyFont="1" applyFill="1" applyBorder="1" applyProtection="1">
      <protection locked="0"/>
    </xf>
    <xf numFmtId="0" fontId="14" fillId="3" borderId="12" xfId="8" applyFont="1" applyFill="1" applyBorder="1" applyAlignment="1" applyProtection="1">
      <alignment horizontal="center"/>
      <protection locked="0"/>
    </xf>
    <xf numFmtId="0" fontId="12" fillId="3" borderId="46" xfId="8" applyFont="1" applyFill="1" applyBorder="1" applyProtection="1">
      <protection locked="0"/>
    </xf>
    <xf numFmtId="0" fontId="12" fillId="3" borderId="47" xfId="8" applyFont="1" applyFill="1" applyBorder="1" applyProtection="1">
      <protection locked="0"/>
    </xf>
    <xf numFmtId="0" fontId="12" fillId="3" borderId="48" xfId="8" applyFont="1" applyFill="1" applyBorder="1" applyProtection="1">
      <protection locked="0"/>
    </xf>
    <xf numFmtId="0" fontId="12" fillId="3" borderId="7" xfId="8" applyFont="1" applyFill="1" applyBorder="1" applyAlignment="1" applyProtection="1">
      <alignment horizontal="center"/>
      <protection locked="0"/>
    </xf>
    <xf numFmtId="0" fontId="12" fillId="3" borderId="0" xfId="8" applyFont="1" applyFill="1" applyAlignment="1" applyProtection="1">
      <alignment horizontal="center"/>
      <protection locked="0"/>
    </xf>
    <xf numFmtId="0" fontId="12" fillId="3" borderId="8" xfId="8" applyFont="1" applyFill="1" applyBorder="1" applyAlignment="1" applyProtection="1">
      <alignment horizontal="center"/>
      <protection locked="0"/>
    </xf>
    <xf numFmtId="0" fontId="14" fillId="3" borderId="9" xfId="8" applyFont="1" applyFill="1" applyBorder="1" applyAlignment="1" applyProtection="1">
      <alignment horizontal="center"/>
      <protection locked="0"/>
    </xf>
    <xf numFmtId="0" fontId="12" fillId="3" borderId="27" xfId="8" applyFont="1" applyFill="1" applyBorder="1" applyAlignment="1" applyProtection="1">
      <alignment horizontal="center"/>
      <protection locked="0"/>
    </xf>
    <xf numFmtId="0" fontId="12" fillId="3" borderId="28" xfId="8" applyFont="1" applyFill="1" applyBorder="1" applyProtection="1">
      <protection locked="0"/>
    </xf>
    <xf numFmtId="0" fontId="12" fillId="3" borderId="29" xfId="8" applyFont="1" applyFill="1" applyBorder="1" applyProtection="1">
      <protection locked="0"/>
    </xf>
    <xf numFmtId="0" fontId="12" fillId="3" borderId="27" xfId="8" applyFont="1" applyFill="1" applyBorder="1" applyProtection="1">
      <protection locked="0"/>
    </xf>
    <xf numFmtId="3" fontId="14" fillId="9" borderId="9" xfId="8" applyNumberFormat="1" applyFont="1" applyFill="1" applyBorder="1" applyAlignment="1" applyProtection="1">
      <alignment horizontal="center"/>
      <protection locked="0"/>
    </xf>
    <xf numFmtId="165" fontId="14" fillId="3" borderId="49" xfId="8" applyNumberFormat="1" applyFont="1" applyFill="1" applyBorder="1" applyAlignment="1" applyProtection="1">
      <alignment horizontal="center"/>
      <protection locked="0"/>
    </xf>
    <xf numFmtId="165" fontId="12" fillId="9" borderId="28" xfId="8" applyNumberFormat="1" applyFont="1" applyFill="1" applyBorder="1" applyAlignment="1" applyProtection="1">
      <alignment horizontal="center"/>
      <protection locked="0"/>
    </xf>
    <xf numFmtId="165" fontId="12" fillId="9" borderId="27" xfId="8" applyNumberFormat="1" applyFont="1" applyFill="1" applyBorder="1" applyAlignment="1" applyProtection="1">
      <alignment horizontal="center"/>
      <protection locked="0"/>
    </xf>
    <xf numFmtId="3" fontId="14" fillId="3" borderId="9" xfId="8" applyNumberFormat="1" applyFont="1" applyFill="1" applyBorder="1" applyAlignment="1" applyProtection="1">
      <alignment horizontal="center"/>
      <protection locked="0"/>
    </xf>
    <xf numFmtId="3" fontId="12" fillId="3" borderId="1" xfId="8" applyNumberFormat="1" applyFont="1" applyFill="1" applyBorder="1" applyAlignment="1" applyProtection="1">
      <alignment horizontal="center"/>
      <protection locked="0"/>
    </xf>
    <xf numFmtId="3" fontId="12" fillId="3" borderId="3" xfId="8" applyNumberFormat="1" applyFont="1" applyFill="1" applyBorder="1" applyAlignment="1" applyProtection="1">
      <alignment horizontal="center"/>
      <protection locked="0"/>
    </xf>
    <xf numFmtId="3" fontId="12" fillId="3" borderId="2" xfId="8" applyNumberFormat="1" applyFont="1" applyFill="1" applyBorder="1" applyAlignment="1" applyProtection="1">
      <alignment horizontal="center"/>
      <protection locked="0"/>
    </xf>
    <xf numFmtId="0" fontId="12" fillId="3" borderId="5" xfId="8" applyFont="1" applyFill="1" applyBorder="1" applyAlignment="1" applyProtection="1">
      <alignment horizontal="center"/>
      <protection locked="0"/>
    </xf>
    <xf numFmtId="0" fontId="12" fillId="3" borderId="6" xfId="8" applyFont="1" applyFill="1" applyBorder="1" applyAlignment="1" applyProtection="1">
      <alignment horizontal="center"/>
      <protection locked="0"/>
    </xf>
    <xf numFmtId="0" fontId="12" fillId="0" borderId="0" xfId="8" applyFont="1" applyAlignment="1" applyProtection="1">
      <alignment horizontal="center"/>
      <protection locked="0"/>
    </xf>
    <xf numFmtId="0" fontId="14" fillId="3" borderId="16" xfId="8" applyFont="1" applyFill="1" applyBorder="1" applyAlignment="1" applyProtection="1">
      <alignment horizontal="center"/>
      <protection locked="0"/>
    </xf>
    <xf numFmtId="0" fontId="12" fillId="3" borderId="17" xfId="8" applyFont="1" applyFill="1" applyBorder="1" applyAlignment="1" applyProtection="1">
      <alignment horizontal="center" wrapText="1"/>
      <protection locked="0"/>
    </xf>
    <xf numFmtId="0" fontId="12" fillId="3" borderId="48" xfId="8" applyFont="1" applyFill="1" applyBorder="1" applyAlignment="1" applyProtection="1">
      <alignment horizontal="center" wrapText="1"/>
      <protection locked="0"/>
    </xf>
    <xf numFmtId="0" fontId="12" fillId="0" borderId="0" xfId="8" applyFont="1" applyAlignment="1" applyProtection="1">
      <alignment horizontal="center" wrapText="1"/>
      <protection locked="0"/>
    </xf>
    <xf numFmtId="0" fontId="14" fillId="0" borderId="0" xfId="8" applyFont="1" applyAlignment="1" applyProtection="1">
      <alignment horizontal="center"/>
      <protection locked="0"/>
    </xf>
    <xf numFmtId="0" fontId="12" fillId="3" borderId="47" xfId="8" applyFont="1" applyFill="1" applyBorder="1" applyAlignment="1" applyProtection="1">
      <alignment horizontal="center" wrapText="1"/>
      <protection locked="0"/>
    </xf>
    <xf numFmtId="0" fontId="14" fillId="3" borderId="0" xfId="8" applyFont="1" applyFill="1" applyAlignment="1" applyProtection="1">
      <alignment horizontal="center" wrapText="1"/>
      <protection locked="0"/>
    </xf>
    <xf numFmtId="0" fontId="12" fillId="3" borderId="50" xfId="8" applyFont="1" applyFill="1" applyBorder="1" applyAlignment="1" applyProtection="1">
      <alignment horizontal="center"/>
      <protection locked="0"/>
    </xf>
    <xf numFmtId="0" fontId="14" fillId="3" borderId="17" xfId="8" applyFont="1" applyFill="1" applyBorder="1" applyAlignment="1" applyProtection="1">
      <alignment horizontal="center" wrapText="1"/>
      <protection locked="0"/>
    </xf>
    <xf numFmtId="0" fontId="12" fillId="3" borderId="17" xfId="8" applyFont="1" applyFill="1" applyBorder="1" applyAlignment="1" applyProtection="1">
      <alignment horizontal="center"/>
      <protection locked="0"/>
    </xf>
    <xf numFmtId="0" fontId="12" fillId="3" borderId="48" xfId="8" applyFont="1" applyFill="1" applyBorder="1" applyAlignment="1" applyProtection="1">
      <alignment horizontal="center"/>
      <protection locked="0"/>
    </xf>
    <xf numFmtId="0" fontId="12" fillId="3" borderId="47" xfId="8" applyFont="1" applyFill="1" applyBorder="1" applyAlignment="1" applyProtection="1">
      <alignment horizontal="center"/>
      <protection locked="0"/>
    </xf>
    <xf numFmtId="0" fontId="12" fillId="3" borderId="9" xfId="8" applyFont="1" applyFill="1" applyBorder="1" applyAlignment="1" applyProtection="1">
      <alignment horizontal="center"/>
      <protection locked="0"/>
    </xf>
    <xf numFmtId="0" fontId="12" fillId="3" borderId="51" xfId="8" applyFont="1" applyFill="1" applyBorder="1" applyAlignment="1" applyProtection="1">
      <alignment horizontal="center"/>
      <protection locked="0"/>
    </xf>
    <xf numFmtId="0" fontId="12" fillId="3" borderId="29" xfId="8" applyFont="1" applyFill="1" applyBorder="1" applyAlignment="1" applyProtection="1">
      <alignment horizontal="center"/>
      <protection locked="0"/>
    </xf>
    <xf numFmtId="0" fontId="14" fillId="3" borderId="27" xfId="8" applyFont="1" applyFill="1" applyBorder="1" applyAlignment="1" applyProtection="1">
      <alignment horizontal="center"/>
      <protection locked="0"/>
    </xf>
    <xf numFmtId="0" fontId="12" fillId="3" borderId="28" xfId="8" applyFont="1" applyFill="1" applyBorder="1" applyAlignment="1" applyProtection="1">
      <alignment horizontal="center"/>
      <protection locked="0"/>
    </xf>
    <xf numFmtId="0" fontId="12" fillId="3" borderId="52" xfId="8" applyFont="1" applyFill="1" applyBorder="1" applyAlignment="1" applyProtection="1">
      <alignment horizontal="center"/>
      <protection locked="0"/>
    </xf>
    <xf numFmtId="0" fontId="15" fillId="3" borderId="7" xfId="8" applyFont="1" applyFill="1" applyBorder="1" applyAlignment="1" applyProtection="1">
      <alignment horizontal="center"/>
      <protection locked="0"/>
    </xf>
    <xf numFmtId="3" fontId="14" fillId="3" borderId="27" xfId="8" applyNumberFormat="1" applyFont="1" applyFill="1" applyBorder="1" applyAlignment="1" applyProtection="1">
      <alignment horizontal="center"/>
      <protection locked="0"/>
    </xf>
    <xf numFmtId="2" fontId="12" fillId="3" borderId="28" xfId="8" applyNumberFormat="1" applyFont="1" applyFill="1" applyBorder="1" applyAlignment="1" applyProtection="1">
      <alignment horizontal="center"/>
      <protection locked="0"/>
    </xf>
    <xf numFmtId="2" fontId="12" fillId="3" borderId="29" xfId="8" applyNumberFormat="1" applyFont="1" applyFill="1" applyBorder="1" applyAlignment="1" applyProtection="1">
      <alignment horizontal="center"/>
      <protection locked="0"/>
    </xf>
    <xf numFmtId="3" fontId="12" fillId="3" borderId="52" xfId="8" applyNumberFormat="1" applyFont="1" applyFill="1" applyBorder="1" applyAlignment="1" applyProtection="1">
      <alignment horizontal="center"/>
      <protection locked="0"/>
    </xf>
    <xf numFmtId="3" fontId="12" fillId="3" borderId="28" xfId="8" applyNumberFormat="1" applyFont="1" applyFill="1" applyBorder="1" applyAlignment="1" applyProtection="1">
      <alignment horizontal="center"/>
      <protection locked="0"/>
    </xf>
    <xf numFmtId="3" fontId="12" fillId="3" borderId="29" xfId="8" applyNumberFormat="1" applyFont="1" applyFill="1" applyBorder="1" applyAlignment="1" applyProtection="1">
      <alignment horizontal="center"/>
      <protection locked="0"/>
    </xf>
    <xf numFmtId="2" fontId="12" fillId="3" borderId="17" xfId="8" applyNumberFormat="1" applyFont="1" applyFill="1" applyBorder="1" applyAlignment="1" applyProtection="1">
      <alignment horizontal="center"/>
      <protection locked="0"/>
    </xf>
    <xf numFmtId="2" fontId="12" fillId="3" borderId="48" xfId="8" applyNumberFormat="1" applyFont="1" applyFill="1" applyBorder="1" applyAlignment="1" applyProtection="1">
      <alignment horizontal="center"/>
      <protection locked="0"/>
    </xf>
    <xf numFmtId="3" fontId="14" fillId="0" borderId="0" xfId="8" applyNumberFormat="1" applyFont="1" applyAlignment="1" applyProtection="1">
      <alignment horizontal="center"/>
      <protection locked="0"/>
    </xf>
    <xf numFmtId="2" fontId="12" fillId="0" borderId="0" xfId="8" applyNumberFormat="1" applyFont="1" applyAlignment="1" applyProtection="1">
      <alignment horizontal="center"/>
      <protection locked="0"/>
    </xf>
    <xf numFmtId="3" fontId="12" fillId="0" borderId="0" xfId="8" applyNumberFormat="1" applyFont="1" applyAlignment="1" applyProtection="1">
      <alignment horizontal="center"/>
      <protection locked="0"/>
    </xf>
    <xf numFmtId="166" fontId="12" fillId="3" borderId="48" xfId="8" applyNumberFormat="1" applyFont="1" applyFill="1" applyBorder="1" applyAlignment="1" applyProtection="1">
      <alignment horizontal="center"/>
      <protection locked="0"/>
    </xf>
    <xf numFmtId="2" fontId="12" fillId="3" borderId="51" xfId="8" applyNumberFormat="1" applyFont="1" applyFill="1" applyBorder="1" applyAlignment="1" applyProtection="1">
      <alignment horizontal="center"/>
      <protection locked="0"/>
    </xf>
    <xf numFmtId="0" fontId="14" fillId="3" borderId="1" xfId="8" applyFont="1" applyFill="1" applyBorder="1" applyAlignment="1" applyProtection="1">
      <alignment horizontal="center" vertical="center"/>
      <protection locked="0"/>
    </xf>
    <xf numFmtId="0" fontId="12" fillId="3" borderId="2" xfId="8" applyFont="1" applyFill="1" applyBorder="1" applyAlignment="1" applyProtection="1">
      <alignment horizontal="center" vertical="center"/>
      <protection locked="0"/>
    </xf>
    <xf numFmtId="0" fontId="14" fillId="3" borderId="53" xfId="8" applyFont="1" applyFill="1" applyBorder="1" applyAlignment="1" applyProtection="1">
      <alignment horizontal="center"/>
      <protection locked="0"/>
    </xf>
    <xf numFmtId="0" fontId="14" fillId="3" borderId="48" xfId="8" applyFont="1" applyFill="1" applyBorder="1" applyAlignment="1" applyProtection="1">
      <alignment horizontal="center"/>
      <protection locked="0"/>
    </xf>
    <xf numFmtId="0" fontId="14" fillId="3" borderId="17" xfId="8" applyFont="1" applyFill="1" applyBorder="1" applyAlignment="1" applyProtection="1">
      <alignment horizontal="left"/>
      <protection locked="0"/>
    </xf>
    <xf numFmtId="0" fontId="14" fillId="3" borderId="0" xfId="8" applyFont="1" applyFill="1" applyAlignment="1" applyProtection="1">
      <alignment horizontal="left"/>
      <protection locked="0"/>
    </xf>
    <xf numFmtId="0" fontId="12" fillId="3" borderId="0" xfId="8" applyFont="1" applyFill="1" applyAlignment="1" applyProtection="1">
      <alignment horizontal="left"/>
      <protection locked="0"/>
    </xf>
    <xf numFmtId="0" fontId="12" fillId="3" borderId="8" xfId="8" applyFont="1" applyFill="1" applyBorder="1" applyAlignment="1" applyProtection="1">
      <alignment horizontal="center" wrapText="1"/>
      <protection locked="0"/>
    </xf>
    <xf numFmtId="0" fontId="12" fillId="3" borderId="11" xfId="8" applyFont="1" applyFill="1" applyBorder="1" applyAlignment="1" applyProtection="1">
      <alignment horizontal="center"/>
      <protection locked="0"/>
    </xf>
    <xf numFmtId="0" fontId="12" fillId="3" borderId="10" xfId="8" applyFont="1" applyFill="1" applyBorder="1" applyAlignment="1" applyProtection="1">
      <alignment horizontal="center"/>
      <protection locked="0"/>
    </xf>
    <xf numFmtId="3" fontId="12" fillId="3" borderId="14" xfId="8" applyNumberFormat="1" applyFont="1" applyFill="1" applyBorder="1" applyAlignment="1" applyProtection="1">
      <alignment horizontal="center"/>
      <protection locked="0"/>
    </xf>
    <xf numFmtId="2" fontId="12" fillId="3" borderId="54" xfId="8" applyNumberFormat="1" applyFont="1" applyFill="1" applyBorder="1" applyAlignment="1" applyProtection="1">
      <alignment horizontal="center"/>
      <protection locked="0"/>
    </xf>
    <xf numFmtId="2" fontId="12" fillId="3" borderId="55" xfId="8" applyNumberFormat="1" applyFont="1" applyFill="1" applyBorder="1" applyAlignment="1" applyProtection="1">
      <alignment horizontal="center"/>
      <protection locked="0"/>
    </xf>
    <xf numFmtId="2" fontId="12" fillId="3" borderId="49" xfId="8" applyNumberFormat="1" applyFont="1" applyFill="1" applyBorder="1" applyAlignment="1" applyProtection="1">
      <alignment horizontal="center"/>
      <protection locked="0"/>
    </xf>
    <xf numFmtId="2" fontId="12" fillId="3" borderId="56" xfId="8" applyNumberFormat="1" applyFont="1" applyFill="1" applyBorder="1" applyAlignment="1" applyProtection="1">
      <alignment horizontal="center"/>
      <protection locked="0"/>
    </xf>
    <xf numFmtId="0" fontId="14" fillId="0" borderId="7" xfId="8" applyFont="1" applyBorder="1" applyAlignment="1" applyProtection="1">
      <alignment horizontal="center"/>
      <protection locked="0"/>
    </xf>
    <xf numFmtId="0" fontId="12" fillId="0" borderId="7" xfId="8" applyFont="1" applyBorder="1" applyAlignment="1" applyProtection="1">
      <alignment horizontal="center"/>
      <protection locked="0"/>
    </xf>
    <xf numFmtId="0" fontId="14" fillId="0" borderId="0" xfId="8" applyFont="1" applyAlignment="1" applyProtection="1">
      <alignment horizontal="left"/>
      <protection locked="0"/>
    </xf>
    <xf numFmtId="0" fontId="12" fillId="0" borderId="0" xfId="8" applyFont="1" applyAlignment="1" applyProtection="1">
      <alignment horizontal="left"/>
      <protection locked="0"/>
    </xf>
    <xf numFmtId="3" fontId="14" fillId="3" borderId="49" xfId="8" applyNumberFormat="1" applyFont="1" applyFill="1" applyBorder="1" applyAlignment="1" applyProtection="1">
      <alignment horizontal="center"/>
      <protection locked="0"/>
    </xf>
    <xf numFmtId="166" fontId="12" fillId="3" borderId="54" xfId="8" applyNumberFormat="1" applyFont="1" applyFill="1" applyBorder="1" applyAlignment="1" applyProtection="1">
      <alignment horizontal="center"/>
      <protection locked="0"/>
    </xf>
    <xf numFmtId="166" fontId="12" fillId="3" borderId="55" xfId="8" applyNumberFormat="1" applyFont="1" applyFill="1" applyBorder="1" applyAlignment="1" applyProtection="1">
      <alignment horizontal="center"/>
      <protection locked="0"/>
    </xf>
    <xf numFmtId="166" fontId="12" fillId="3" borderId="49" xfId="8" applyNumberFormat="1" applyFont="1" applyFill="1" applyBorder="1" applyAlignment="1" applyProtection="1">
      <alignment horizontal="center"/>
      <protection locked="0"/>
    </xf>
    <xf numFmtId="166" fontId="12" fillId="3" borderId="56" xfId="8" applyNumberFormat="1" applyFont="1" applyFill="1" applyBorder="1" applyAlignment="1" applyProtection="1">
      <alignment horizontal="center"/>
      <protection locked="0"/>
    </xf>
    <xf numFmtId="0" fontId="12" fillId="3" borderId="4" xfId="8" applyFont="1" applyFill="1" applyBorder="1" applyAlignment="1" applyProtection="1">
      <alignment horizontal="center"/>
      <protection locked="0"/>
    </xf>
    <xf numFmtId="0" fontId="12" fillId="3" borderId="57" xfId="8" applyFont="1" applyFill="1" applyBorder="1" applyAlignment="1" applyProtection="1">
      <alignment horizontal="left"/>
      <protection locked="0"/>
    </xf>
    <xf numFmtId="0" fontId="12" fillId="3" borderId="53" xfId="8" applyFont="1" applyFill="1" applyBorder="1" applyAlignment="1" applyProtection="1">
      <alignment horizontal="center"/>
      <protection locked="0"/>
    </xf>
    <xf numFmtId="0" fontId="12" fillId="3" borderId="47" xfId="8" applyFont="1" applyFill="1" applyBorder="1" applyAlignment="1" applyProtection="1">
      <alignment horizontal="left"/>
      <protection locked="0"/>
    </xf>
    <xf numFmtId="0" fontId="14" fillId="3" borderId="9" xfId="8" applyFont="1" applyFill="1" applyBorder="1" applyAlignment="1" applyProtection="1">
      <alignment horizontal="center" vertical="center"/>
      <protection locked="0"/>
    </xf>
    <xf numFmtId="2" fontId="12" fillId="3" borderId="28" xfId="8" applyNumberFormat="1" applyFont="1" applyFill="1" applyBorder="1" applyAlignment="1" applyProtection="1">
      <alignment horizontal="center" vertical="center"/>
      <protection locked="0"/>
    </xf>
    <xf numFmtId="2" fontId="12" fillId="3" borderId="29" xfId="8" applyNumberFormat="1" applyFont="1" applyFill="1" applyBorder="1" applyAlignment="1" applyProtection="1">
      <alignment horizontal="center" vertical="center"/>
      <protection locked="0"/>
    </xf>
    <xf numFmtId="2" fontId="12" fillId="3" borderId="56" xfId="8" applyNumberFormat="1" applyFont="1" applyFill="1" applyBorder="1" applyAlignment="1" applyProtection="1">
      <alignment horizontal="center" vertical="center"/>
      <protection locked="0"/>
    </xf>
    <xf numFmtId="0" fontId="12" fillId="3" borderId="1" xfId="8" applyFont="1" applyFill="1" applyBorder="1" applyAlignment="1" applyProtection="1">
      <alignment horizontal="center"/>
      <protection locked="0"/>
    </xf>
    <xf numFmtId="0" fontId="12" fillId="3" borderId="54" xfId="8" applyFont="1" applyFill="1" applyBorder="1" applyAlignment="1" applyProtection="1">
      <alignment horizontal="left"/>
      <protection locked="0"/>
    </xf>
    <xf numFmtId="0" fontId="12" fillId="3" borderId="56" xfId="8" applyFont="1" applyFill="1" applyBorder="1" applyAlignment="1" applyProtection="1">
      <alignment horizontal="left"/>
      <protection locked="0"/>
    </xf>
    <xf numFmtId="2" fontId="12" fillId="0" borderId="0" xfId="8" applyNumberFormat="1" applyFont="1" applyAlignment="1" applyProtection="1">
      <alignment horizontal="center" vertical="center"/>
      <protection locked="0"/>
    </xf>
    <xf numFmtId="0" fontId="14" fillId="0" borderId="0" xfId="8" applyFont="1" applyAlignment="1" applyProtection="1">
      <alignment horizontal="right"/>
      <protection locked="0"/>
    </xf>
    <xf numFmtId="0" fontId="12" fillId="3" borderId="46" xfId="8" applyFont="1" applyFill="1" applyBorder="1" applyAlignment="1" applyProtection="1">
      <alignment horizontal="center"/>
      <protection locked="0"/>
    </xf>
    <xf numFmtId="3" fontId="14" fillId="3" borderId="1" xfId="8" applyNumberFormat="1" applyFont="1" applyFill="1" applyBorder="1" applyAlignment="1" applyProtection="1">
      <alignment horizontal="center"/>
      <protection locked="0"/>
    </xf>
    <xf numFmtId="3" fontId="12" fillId="3" borderId="54" xfId="8" applyNumberFormat="1" applyFont="1" applyFill="1" applyBorder="1" applyAlignment="1" applyProtection="1">
      <alignment horizontal="center"/>
      <protection locked="0"/>
    </xf>
    <xf numFmtId="3" fontId="12" fillId="3" borderId="55" xfId="8" applyNumberFormat="1" applyFont="1" applyFill="1" applyBorder="1" applyAlignment="1" applyProtection="1">
      <alignment horizontal="center"/>
      <protection locked="0"/>
    </xf>
    <xf numFmtId="3" fontId="12" fillId="3" borderId="49" xfId="8" applyNumberFormat="1" applyFont="1" applyFill="1" applyBorder="1" applyAlignment="1" applyProtection="1">
      <alignment horizontal="center"/>
      <protection locked="0"/>
    </xf>
    <xf numFmtId="3" fontId="12" fillId="3" borderId="56" xfId="8" applyNumberFormat="1" applyFont="1" applyFill="1" applyBorder="1" applyAlignment="1" applyProtection="1">
      <alignment horizontal="center"/>
      <protection locked="0"/>
    </xf>
    <xf numFmtId="0" fontId="15" fillId="0" borderId="0" xfId="8" applyFont="1" applyAlignment="1" applyProtection="1">
      <alignment horizontal="right"/>
      <protection locked="0"/>
    </xf>
    <xf numFmtId="2" fontId="12" fillId="6" borderId="54" xfId="8" applyNumberFormat="1" applyFont="1" applyFill="1" applyBorder="1" applyAlignment="1" applyProtection="1">
      <alignment horizontal="center"/>
      <protection locked="0"/>
    </xf>
    <xf numFmtId="0" fontId="0" fillId="3" borderId="6" xfId="0" applyFill="1" applyBorder="1" applyAlignment="1" applyProtection="1">
      <alignment horizontal="right"/>
      <protection locked="0"/>
    </xf>
    <xf numFmtId="49" fontId="0" fillId="0" borderId="0" xfId="0" applyNumberFormat="1" applyProtection="1">
      <protection locked="0"/>
    </xf>
    <xf numFmtId="0" fontId="25" fillId="12" borderId="58" xfId="0" applyFont="1" applyFill="1" applyBorder="1" applyAlignment="1">
      <alignment horizontal="left"/>
    </xf>
    <xf numFmtId="0" fontId="25" fillId="12" borderId="59" xfId="0" applyFont="1" applyFill="1" applyBorder="1" applyAlignment="1">
      <alignment horizontal="left"/>
    </xf>
    <xf numFmtId="0" fontId="2" fillId="0" borderId="0" xfId="0" applyFont="1" applyAlignment="1" applyProtection="1">
      <alignment horizontal="left"/>
      <protection locked="0"/>
    </xf>
    <xf numFmtId="0" fontId="33" fillId="12" borderId="3" xfId="0" applyFont="1" applyFill="1" applyBorder="1" applyProtection="1">
      <protection hidden="1"/>
    </xf>
    <xf numFmtId="0" fontId="10" fillId="0" borderId="0" xfId="0" applyFont="1" applyProtection="1">
      <protection hidden="1"/>
    </xf>
    <xf numFmtId="0" fontId="3" fillId="6" borderId="11" xfId="3" applyFill="1" applyBorder="1" applyProtection="1">
      <protection locked="0"/>
    </xf>
    <xf numFmtId="165" fontId="3" fillId="3" borderId="0" xfId="3" applyNumberFormat="1" applyFill="1" applyProtection="1">
      <protection locked="0"/>
    </xf>
    <xf numFmtId="165" fontId="3" fillId="3" borderId="10" xfId="3" applyNumberFormat="1" applyFill="1" applyBorder="1" applyProtection="1">
      <protection locked="0"/>
    </xf>
    <xf numFmtId="0" fontId="1" fillId="0" borderId="0" xfId="7"/>
    <xf numFmtId="0" fontId="35" fillId="0" borderId="0" xfId="7" applyFont="1"/>
    <xf numFmtId="0" fontId="5" fillId="3" borderId="4" xfId="6" applyFont="1" applyFill="1" applyBorder="1" applyProtection="1">
      <protection locked="0"/>
    </xf>
    <xf numFmtId="0" fontId="5" fillId="3" borderId="5" xfId="6" applyFont="1" applyFill="1" applyBorder="1" applyProtection="1">
      <protection locked="0"/>
    </xf>
    <xf numFmtId="0" fontId="5" fillId="9" borderId="10" xfId="6" applyFont="1" applyFill="1" applyBorder="1" applyProtection="1">
      <protection locked="0"/>
    </xf>
    <xf numFmtId="14" fontId="0" fillId="0" borderId="0" xfId="0" applyNumberFormat="1" applyProtection="1">
      <protection locked="0"/>
    </xf>
    <xf numFmtId="0" fontId="2" fillId="10" borderId="0" xfId="0" applyFont="1" applyFill="1" applyAlignment="1" applyProtection="1">
      <alignment horizontal="center"/>
      <protection locked="0"/>
    </xf>
    <xf numFmtId="0" fontId="2" fillId="10" borderId="8" xfId="0" applyFont="1" applyFill="1" applyBorder="1" applyAlignment="1" applyProtection="1">
      <alignment horizontal="center"/>
      <protection locked="0"/>
    </xf>
    <xf numFmtId="0" fontId="2" fillId="9" borderId="11" xfId="0" applyFont="1" applyFill="1" applyBorder="1" applyAlignment="1" applyProtection="1">
      <alignment horizontal="center"/>
      <protection locked="0"/>
    </xf>
    <xf numFmtId="0" fontId="5" fillId="3" borderId="4" xfId="5" applyFont="1" applyFill="1" applyBorder="1" applyAlignment="1" applyProtection="1">
      <alignment horizontal="left"/>
      <protection locked="0"/>
    </xf>
    <xf numFmtId="0" fontId="5" fillId="0" borderId="0" xfId="5" applyFont="1" applyAlignment="1" applyProtection="1">
      <alignment horizontal="left"/>
      <protection locked="0"/>
    </xf>
    <xf numFmtId="0" fontId="5" fillId="9" borderId="7" xfId="5" applyFont="1" applyFill="1" applyBorder="1" applyAlignment="1" applyProtection="1">
      <alignment horizontal="center"/>
      <protection locked="0"/>
    </xf>
    <xf numFmtId="0" fontId="5" fillId="9" borderId="8" xfId="5" applyFont="1" applyFill="1" applyBorder="1" applyAlignment="1" applyProtection="1">
      <alignment horizontal="center"/>
      <protection locked="0"/>
    </xf>
    <xf numFmtId="2" fontId="0" fillId="6" borderId="11" xfId="0" applyNumberFormat="1" applyFill="1" applyBorder="1" applyProtection="1">
      <protection locked="0"/>
    </xf>
    <xf numFmtId="0" fontId="5" fillId="3" borderId="6" xfId="5" applyFont="1" applyFill="1" applyBorder="1" applyAlignment="1" applyProtection="1">
      <alignment horizontal="left"/>
      <protection locked="0"/>
    </xf>
    <xf numFmtId="0" fontId="5" fillId="3" borderId="0" xfId="5" applyFont="1" applyFill="1" applyAlignment="1" applyProtection="1">
      <alignment horizontal="left"/>
      <protection locked="0"/>
    </xf>
    <xf numFmtId="0" fontId="5" fillId="3" borderId="8" xfId="5" applyFont="1" applyFill="1" applyBorder="1" applyAlignment="1" applyProtection="1">
      <alignment horizontal="left"/>
      <protection locked="0"/>
    </xf>
    <xf numFmtId="0" fontId="5" fillId="3" borderId="10" xfId="5" applyFont="1" applyFill="1" applyBorder="1" applyAlignment="1" applyProtection="1">
      <alignment horizontal="left"/>
      <protection locked="0"/>
    </xf>
    <xf numFmtId="0" fontId="5" fillId="3" borderId="11" xfId="5" applyFont="1" applyFill="1" applyBorder="1" applyAlignment="1" applyProtection="1">
      <alignment horizontal="left"/>
      <protection locked="0"/>
    </xf>
    <xf numFmtId="0" fontId="5" fillId="9" borderId="0" xfId="6" applyFont="1" applyFill="1" applyProtection="1">
      <protection locked="0"/>
    </xf>
    <xf numFmtId="0" fontId="2" fillId="10" borderId="7" xfId="0" quotePrefix="1" applyFont="1" applyFill="1" applyBorder="1" applyProtection="1">
      <protection locked="0"/>
    </xf>
    <xf numFmtId="0" fontId="36" fillId="14" borderId="0" xfId="0" applyFont="1" applyFill="1" applyAlignment="1" applyProtection="1">
      <alignment horizontal="left"/>
      <protection hidden="1"/>
    </xf>
    <xf numFmtId="0" fontId="37" fillId="14" borderId="0" xfId="0" applyFont="1" applyFill="1" applyProtection="1">
      <protection hidden="1"/>
    </xf>
    <xf numFmtId="0" fontId="31" fillId="12" borderId="3" xfId="0" applyFont="1" applyFill="1" applyBorder="1" applyProtection="1">
      <protection hidden="1"/>
    </xf>
    <xf numFmtId="0" fontId="20" fillId="12" borderId="3" xfId="0" applyFont="1" applyFill="1" applyBorder="1" applyAlignment="1" applyProtection="1">
      <alignment horizontal="right"/>
      <protection hidden="1"/>
    </xf>
    <xf numFmtId="0" fontId="32" fillId="12" borderId="3" xfId="0" applyFont="1" applyFill="1" applyBorder="1" applyAlignment="1" applyProtection="1">
      <alignment horizontal="right"/>
      <protection hidden="1"/>
    </xf>
    <xf numFmtId="0" fontId="20" fillId="12" borderId="2" xfId="0" applyFont="1" applyFill="1" applyBorder="1" applyAlignment="1" applyProtection="1">
      <alignment horizontal="right"/>
      <protection hidden="1"/>
    </xf>
    <xf numFmtId="0" fontId="41" fillId="12" borderId="1" xfId="0" applyFont="1" applyFill="1" applyBorder="1" applyProtection="1">
      <protection hidden="1"/>
    </xf>
    <xf numFmtId="0" fontId="31" fillId="12" borderId="3" xfId="0" applyFont="1" applyFill="1" applyBorder="1" applyAlignment="1" applyProtection="1">
      <alignment horizontal="center" vertical="center"/>
      <protection hidden="1"/>
    </xf>
    <xf numFmtId="0" fontId="41" fillId="12" borderId="2" xfId="0" applyFont="1" applyFill="1" applyBorder="1" applyAlignment="1" applyProtection="1">
      <alignment horizontal="right"/>
      <protection hidden="1"/>
    </xf>
    <xf numFmtId="0" fontId="43" fillId="12" borderId="41" xfId="0" applyFont="1" applyFill="1" applyBorder="1" applyAlignment="1" applyProtection="1">
      <alignment horizontal="left"/>
      <protection hidden="1"/>
    </xf>
    <xf numFmtId="0" fontId="14" fillId="0" borderId="0" xfId="0" applyFont="1" applyAlignment="1" applyProtection="1">
      <alignment horizontal="right"/>
      <protection hidden="1"/>
    </xf>
    <xf numFmtId="0" fontId="5" fillId="0" borderId="5" xfId="0" applyFont="1" applyBorder="1" applyProtection="1">
      <protection hidden="1"/>
    </xf>
    <xf numFmtId="0" fontId="39" fillId="0" borderId="7" xfId="0" applyFont="1" applyBorder="1" applyProtection="1">
      <protection hidden="1"/>
    </xf>
    <xf numFmtId="0" fontId="22" fillId="0" borderId="20" xfId="0" applyFont="1" applyBorder="1" applyProtection="1">
      <protection hidden="1"/>
    </xf>
    <xf numFmtId="0" fontId="22" fillId="0" borderId="60" xfId="0" applyFont="1" applyBorder="1" applyProtection="1">
      <protection hidden="1"/>
    </xf>
    <xf numFmtId="0" fontId="22" fillId="0" borderId="61" xfId="0" applyFont="1" applyBorder="1" applyProtection="1">
      <protection hidden="1"/>
    </xf>
    <xf numFmtId="0" fontId="5" fillId="0" borderId="0" xfId="0" applyFont="1" applyProtection="1">
      <protection hidden="1"/>
    </xf>
    <xf numFmtId="0" fontId="22" fillId="0" borderId="7" xfId="0" applyFont="1" applyBorder="1" applyProtection="1">
      <protection hidden="1"/>
    </xf>
    <xf numFmtId="0" fontId="5" fillId="0" borderId="8" xfId="0" applyFont="1" applyBorder="1" applyProtection="1">
      <protection hidden="1"/>
    </xf>
    <xf numFmtId="0" fontId="5" fillId="0" borderId="10" xfId="0" applyFont="1" applyBorder="1" applyProtection="1">
      <protection hidden="1"/>
    </xf>
    <xf numFmtId="0" fontId="22" fillId="14" borderId="0" xfId="0" applyFont="1" applyFill="1" applyProtection="1">
      <protection hidden="1"/>
    </xf>
    <xf numFmtId="0" fontId="10" fillId="14" borderId="0" xfId="0" applyFont="1" applyFill="1" applyProtection="1">
      <protection hidden="1"/>
    </xf>
    <xf numFmtId="0" fontId="39" fillId="0" borderId="0" xfId="0" applyFont="1" applyProtection="1">
      <protection hidden="1"/>
    </xf>
    <xf numFmtId="0" fontId="14" fillId="0" borderId="8" xfId="0" applyFont="1" applyBorder="1" applyProtection="1">
      <protection hidden="1"/>
    </xf>
    <xf numFmtId="0" fontId="22" fillId="0" borderId="0" xfId="0" applyFont="1" applyAlignment="1" applyProtection="1">
      <alignment horizontal="right"/>
      <protection hidden="1"/>
    </xf>
    <xf numFmtId="0" fontId="22" fillId="0" borderId="8" xfId="0" applyFont="1" applyBorder="1" applyProtection="1">
      <protection hidden="1"/>
    </xf>
    <xf numFmtId="0" fontId="39" fillId="0" borderId="18" xfId="0" applyFont="1" applyBorder="1" applyProtection="1">
      <protection hidden="1"/>
    </xf>
    <xf numFmtId="0" fontId="39" fillId="0" borderId="62" xfId="0" applyFont="1" applyBorder="1" applyProtection="1">
      <protection hidden="1"/>
    </xf>
    <xf numFmtId="0" fontId="14" fillId="0" borderId="62" xfId="0" applyFont="1" applyBorder="1" applyProtection="1">
      <protection hidden="1"/>
    </xf>
    <xf numFmtId="0" fontId="14" fillId="0" borderId="62" xfId="0" applyFont="1" applyBorder="1" applyAlignment="1" applyProtection="1">
      <alignment horizontal="right"/>
      <protection hidden="1"/>
    </xf>
    <xf numFmtId="0" fontId="14" fillId="0" borderId="19" xfId="0" applyFont="1" applyBorder="1" applyProtection="1">
      <protection hidden="1"/>
    </xf>
    <xf numFmtId="0" fontId="22" fillId="0" borderId="60" xfId="0" applyFont="1" applyBorder="1" applyAlignment="1" applyProtection="1">
      <alignment horizontal="right"/>
      <protection hidden="1"/>
    </xf>
    <xf numFmtId="0" fontId="42" fillId="0" borderId="0" xfId="0" applyFont="1" applyProtection="1">
      <protection hidden="1"/>
    </xf>
    <xf numFmtId="0" fontId="45" fillId="12" borderId="3" xfId="0" applyFont="1" applyFill="1" applyBorder="1" applyAlignment="1" applyProtection="1">
      <alignment horizontal="left" vertical="center"/>
      <protection hidden="1"/>
    </xf>
    <xf numFmtId="2" fontId="38" fillId="12" borderId="3" xfId="0" applyNumberFormat="1" applyFont="1" applyFill="1" applyBorder="1" applyAlignment="1" applyProtection="1">
      <alignment horizontal="right" vertical="center"/>
      <protection hidden="1"/>
    </xf>
    <xf numFmtId="0" fontId="31" fillId="0" borderId="0" xfId="0" applyFont="1" applyAlignment="1" applyProtection="1">
      <alignment horizontal="center" vertical="center"/>
      <protection hidden="1"/>
    </xf>
    <xf numFmtId="2" fontId="31" fillId="0" borderId="8" xfId="0" applyNumberFormat="1"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7" fillId="12" borderId="3" xfId="0" applyFont="1" applyFill="1" applyBorder="1" applyAlignment="1" applyProtection="1">
      <alignment horizontal="center" vertical="center"/>
      <protection hidden="1"/>
    </xf>
    <xf numFmtId="16" fontId="7" fillId="12" borderId="3" xfId="0" applyNumberFormat="1" applyFont="1" applyFill="1" applyBorder="1" applyAlignment="1" applyProtection="1">
      <alignment horizontal="left"/>
      <protection hidden="1"/>
    </xf>
    <xf numFmtId="0" fontId="43" fillId="12" borderId="3" xfId="0" applyFont="1" applyFill="1" applyBorder="1" applyAlignment="1" applyProtection="1">
      <alignment vertical="center"/>
      <protection hidden="1"/>
    </xf>
    <xf numFmtId="0" fontId="45" fillId="12" borderId="3" xfId="0" applyFont="1" applyFill="1" applyBorder="1" applyAlignment="1" applyProtection="1">
      <alignment vertical="center"/>
      <protection hidden="1"/>
    </xf>
    <xf numFmtId="2" fontId="41" fillId="12" borderId="3" xfId="0" applyNumberFormat="1" applyFont="1" applyFill="1" applyBorder="1" applyAlignment="1" applyProtection="1">
      <alignment horizontal="right"/>
      <protection hidden="1"/>
    </xf>
    <xf numFmtId="0" fontId="22" fillId="0" borderId="4" xfId="0" applyFont="1" applyBorder="1" applyProtection="1">
      <protection hidden="1"/>
    </xf>
    <xf numFmtId="0" fontId="22" fillId="0" borderId="5" xfId="0" applyFont="1" applyBorder="1" applyProtection="1">
      <protection hidden="1"/>
    </xf>
    <xf numFmtId="0" fontId="22" fillId="0" borderId="6" xfId="0" applyFont="1" applyBorder="1" applyProtection="1">
      <protection hidden="1"/>
    </xf>
    <xf numFmtId="0" fontId="22" fillId="0" borderId="9" xfId="0" applyFont="1" applyBorder="1" applyProtection="1">
      <protection hidden="1"/>
    </xf>
    <xf numFmtId="0" fontId="22" fillId="0" borderId="10" xfId="0" applyFont="1" applyBorder="1" applyProtection="1">
      <protection hidden="1"/>
    </xf>
    <xf numFmtId="0" fontId="22" fillId="0" borderId="11" xfId="0" applyFont="1" applyBorder="1" applyProtection="1">
      <protection hidden="1"/>
    </xf>
    <xf numFmtId="0" fontId="2" fillId="8" borderId="40" xfId="0" applyFont="1" applyFill="1" applyBorder="1" applyProtection="1">
      <protection locked="0"/>
    </xf>
    <xf numFmtId="0" fontId="2" fillId="8" borderId="26" xfId="0" applyFont="1" applyFill="1" applyBorder="1" applyProtection="1">
      <protection locked="0"/>
    </xf>
    <xf numFmtId="0" fontId="2" fillId="6" borderId="23" xfId="0" applyFont="1" applyFill="1" applyBorder="1" applyProtection="1">
      <protection locked="0"/>
    </xf>
    <xf numFmtId="0" fontId="2" fillId="6" borderId="63" xfId="0" applyFont="1" applyFill="1" applyBorder="1" applyProtection="1">
      <protection locked="0"/>
    </xf>
    <xf numFmtId="0" fontId="2" fillId="6" borderId="39" xfId="0" applyFont="1" applyFill="1" applyBorder="1" applyProtection="1">
      <protection locked="0"/>
    </xf>
    <xf numFmtId="0" fontId="2" fillId="6" borderId="64" xfId="0" applyFont="1" applyFill="1" applyBorder="1" applyProtection="1">
      <protection locked="0"/>
    </xf>
    <xf numFmtId="0" fontId="2" fillId="6" borderId="53" xfId="0" applyFont="1" applyFill="1" applyBorder="1" applyProtection="1">
      <protection locked="0"/>
    </xf>
    <xf numFmtId="0" fontId="2" fillId="8" borderId="41" xfId="0" applyFont="1" applyFill="1" applyBorder="1" applyProtection="1">
      <protection locked="0"/>
    </xf>
    <xf numFmtId="0" fontId="2" fillId="8" borderId="58" xfId="0" applyFont="1" applyFill="1" applyBorder="1" applyProtection="1">
      <protection locked="0"/>
    </xf>
    <xf numFmtId="0" fontId="2" fillId="6" borderId="35" xfId="0" applyFont="1" applyFill="1" applyBorder="1" applyProtection="1">
      <protection locked="0"/>
    </xf>
    <xf numFmtId="0" fontId="2" fillId="6" borderId="26" xfId="0" applyFont="1" applyFill="1" applyBorder="1" applyProtection="1">
      <protection locked="0"/>
    </xf>
    <xf numFmtId="0" fontId="2" fillId="6" borderId="42" xfId="0" applyFont="1" applyFill="1" applyBorder="1" applyProtection="1">
      <protection locked="0"/>
    </xf>
    <xf numFmtId="0" fontId="2" fillId="6" borderId="40" xfId="0" applyFont="1" applyFill="1" applyBorder="1" applyProtection="1">
      <protection locked="0"/>
    </xf>
    <xf numFmtId="0" fontId="20" fillId="15" borderId="1" xfId="0" applyFont="1" applyFill="1" applyBorder="1" applyAlignment="1" applyProtection="1">
      <alignment horizontal="left" vertical="center"/>
      <protection hidden="1"/>
    </xf>
    <xf numFmtId="0" fontId="11" fillId="15" borderId="3" xfId="0" applyFont="1" applyFill="1" applyBorder="1" applyAlignment="1" applyProtection="1">
      <alignment horizontal="left"/>
      <protection hidden="1"/>
    </xf>
    <xf numFmtId="0" fontId="8" fillId="0" borderId="5" xfId="0" applyFont="1" applyBorder="1" applyAlignment="1" applyProtection="1">
      <alignment horizontal="center"/>
      <protection hidden="1"/>
    </xf>
    <xf numFmtId="0" fontId="8" fillId="0" borderId="6" xfId="0" applyFont="1" applyBorder="1" applyAlignment="1" applyProtection="1">
      <alignment horizontal="center"/>
      <protection hidden="1"/>
    </xf>
    <xf numFmtId="0" fontId="22" fillId="0" borderId="7" xfId="0" applyFont="1" applyBorder="1" applyAlignment="1" applyProtection="1">
      <alignment horizontal="left" vertical="top"/>
      <protection hidden="1"/>
    </xf>
    <xf numFmtId="0" fontId="22" fillId="0" borderId="8" xfId="0" applyFont="1" applyBorder="1" applyAlignment="1" applyProtection="1">
      <alignment horizontal="left" vertical="top"/>
      <protection hidden="1"/>
    </xf>
    <xf numFmtId="0" fontId="31" fillId="12" borderId="1" xfId="0" applyFont="1" applyFill="1" applyBorder="1" applyAlignment="1" applyProtection="1">
      <alignment horizontal="center" vertical="center"/>
      <protection hidden="1"/>
    </xf>
    <xf numFmtId="0" fontId="5" fillId="12" borderId="3" xfId="0" applyFont="1" applyFill="1" applyBorder="1" applyAlignment="1" applyProtection="1">
      <alignment horizontal="center" vertical="center"/>
      <protection hidden="1"/>
    </xf>
    <xf numFmtId="0" fontId="31" fillId="12" borderId="2" xfId="0" applyFont="1" applyFill="1" applyBorder="1" applyAlignment="1" applyProtection="1">
      <alignment horizontal="center" vertical="center"/>
      <protection hidden="1"/>
    </xf>
    <xf numFmtId="0" fontId="5" fillId="0" borderId="7" xfId="0" applyFont="1" applyBorder="1" applyProtection="1">
      <protection hidden="1"/>
    </xf>
    <xf numFmtId="0" fontId="36" fillId="0" borderId="4" xfId="0" applyFont="1" applyBorder="1" applyAlignment="1" applyProtection="1">
      <alignment horizontal="left"/>
      <protection hidden="1"/>
    </xf>
    <xf numFmtId="0" fontId="49" fillId="0" borderId="4" xfId="0" applyFont="1" applyBorder="1" applyAlignment="1" applyProtection="1">
      <alignment horizontal="center"/>
      <protection hidden="1"/>
    </xf>
    <xf numFmtId="0" fontId="10" fillId="0" borderId="0" xfId="0" applyFont="1" applyAlignment="1" applyProtection="1">
      <alignment horizontal="left" vertical="top"/>
      <protection hidden="1"/>
    </xf>
    <xf numFmtId="0" fontId="50" fillId="0" borderId="7" xfId="0" applyFont="1" applyBorder="1" applyAlignment="1" applyProtection="1">
      <alignment horizontal="left" vertical="top"/>
      <protection hidden="1"/>
    </xf>
    <xf numFmtId="0" fontId="10" fillId="11" borderId="0" xfId="0" applyFont="1" applyFill="1" applyAlignment="1" applyProtection="1">
      <alignment horizontal="left" vertical="top"/>
      <protection hidden="1"/>
    </xf>
    <xf numFmtId="0" fontId="22" fillId="11" borderId="0" xfId="0" applyFont="1" applyFill="1" applyAlignment="1" applyProtection="1">
      <alignment horizontal="left" vertical="top"/>
      <protection hidden="1"/>
    </xf>
    <xf numFmtId="0" fontId="7" fillId="12" borderId="5" xfId="0" applyFont="1" applyFill="1" applyBorder="1" applyAlignment="1" applyProtection="1">
      <alignment horizontal="left" vertical="center"/>
      <protection hidden="1"/>
    </xf>
    <xf numFmtId="0" fontId="7" fillId="12" borderId="6" xfId="0" applyFont="1" applyFill="1" applyBorder="1" applyAlignment="1" applyProtection="1">
      <alignment horizontal="left" vertical="center"/>
      <protection hidden="1"/>
    </xf>
    <xf numFmtId="0" fontId="7" fillId="12" borderId="0" xfId="0" applyFont="1" applyFill="1" applyAlignment="1" applyProtection="1">
      <alignment horizontal="left" vertical="center"/>
      <protection hidden="1"/>
    </xf>
    <xf numFmtId="0" fontId="7" fillId="12" borderId="8" xfId="0" applyFont="1" applyFill="1" applyBorder="1" applyAlignment="1" applyProtection="1">
      <alignment horizontal="left" vertical="center"/>
      <protection hidden="1"/>
    </xf>
    <xf numFmtId="0" fontId="7" fillId="12" borderId="10" xfId="0" applyFont="1" applyFill="1" applyBorder="1" applyAlignment="1" applyProtection="1">
      <alignment horizontal="left" vertical="center"/>
      <protection hidden="1"/>
    </xf>
    <xf numFmtId="0" fontId="7" fillId="12" borderId="11" xfId="0" applyFont="1" applyFill="1" applyBorder="1" applyAlignment="1" applyProtection="1">
      <alignment horizontal="left" vertical="center"/>
      <protection hidden="1"/>
    </xf>
    <xf numFmtId="0" fontId="10" fillId="0" borderId="7" xfId="0" applyFont="1" applyBorder="1" applyAlignment="1" applyProtection="1">
      <alignment horizontal="left" indent="1"/>
      <protection hidden="1"/>
    </xf>
    <xf numFmtId="0" fontId="10" fillId="0" borderId="9" xfId="0" applyFont="1" applyBorder="1" applyAlignment="1" applyProtection="1">
      <alignment horizontal="left" vertical="top" indent="1"/>
      <protection hidden="1"/>
    </xf>
    <xf numFmtId="0" fontId="18" fillId="12" borderId="4" xfId="0" applyFont="1" applyFill="1" applyBorder="1" applyAlignment="1" applyProtection="1">
      <alignment horizontal="left" vertical="center" indent="1"/>
      <protection hidden="1"/>
    </xf>
    <xf numFmtId="0" fontId="18" fillId="12" borderId="7" xfId="0" applyFont="1" applyFill="1" applyBorder="1" applyAlignment="1" applyProtection="1">
      <alignment horizontal="left" vertical="center" indent="1"/>
      <protection hidden="1"/>
    </xf>
    <xf numFmtId="0" fontId="18" fillId="12" borderId="9" xfId="0" applyFont="1" applyFill="1" applyBorder="1" applyAlignment="1" applyProtection="1">
      <alignment horizontal="left" vertical="center" indent="1"/>
      <protection hidden="1"/>
    </xf>
    <xf numFmtId="0" fontId="5" fillId="0" borderId="4" xfId="0" applyFont="1" applyBorder="1" applyProtection="1">
      <protection hidden="1"/>
    </xf>
    <xf numFmtId="0" fontId="5" fillId="0" borderId="6" xfId="0" applyFont="1" applyBorder="1" applyProtection="1">
      <protection hidden="1"/>
    </xf>
    <xf numFmtId="0" fontId="5" fillId="0" borderId="9" xfId="0" applyFont="1" applyBorder="1" applyProtection="1">
      <protection hidden="1"/>
    </xf>
    <xf numFmtId="0" fontId="5" fillId="0" borderId="11" xfId="0" applyFont="1" applyBorder="1" applyProtection="1">
      <protection hidden="1"/>
    </xf>
    <xf numFmtId="0" fontId="22" fillId="0" borderId="0" xfId="0" applyFont="1" applyProtection="1">
      <protection locked="0" hidden="1"/>
    </xf>
    <xf numFmtId="0" fontId="22" fillId="0" borderId="0" xfId="0" quotePrefix="1" applyFont="1" applyProtection="1">
      <protection hidden="1"/>
    </xf>
    <xf numFmtId="0" fontId="5" fillId="3" borderId="4" xfId="5" applyFont="1" applyFill="1" applyBorder="1" applyProtection="1">
      <protection locked="0"/>
    </xf>
    <xf numFmtId="0" fontId="5" fillId="3" borderId="5" xfId="5" applyFont="1" applyFill="1" applyBorder="1" applyAlignment="1" applyProtection="1">
      <alignment horizontal="right"/>
      <protection locked="0"/>
    </xf>
    <xf numFmtId="0" fontId="0" fillId="9" borderId="12" xfId="0" applyFill="1" applyBorder="1" applyProtection="1">
      <protection locked="0"/>
    </xf>
    <xf numFmtId="0" fontId="3" fillId="9" borderId="10" xfId="3" applyFill="1" applyBorder="1" applyAlignment="1" applyProtection="1">
      <alignment horizontal="left"/>
      <protection locked="0"/>
    </xf>
    <xf numFmtId="0" fontId="3" fillId="9" borderId="0" xfId="3" applyFill="1" applyAlignment="1" applyProtection="1">
      <alignment horizontal="left" wrapText="1"/>
      <protection locked="0"/>
    </xf>
    <xf numFmtId="0" fontId="5" fillId="9" borderId="0" xfId="5" applyFont="1" applyFill="1" applyProtection="1">
      <protection locked="0"/>
    </xf>
    <xf numFmtId="0" fontId="8" fillId="2" borderId="0" xfId="0" applyFont="1" applyFill="1"/>
    <xf numFmtId="0" fontId="12" fillId="3" borderId="7" xfId="8" applyFont="1" applyFill="1" applyBorder="1" applyAlignment="1" applyProtection="1">
      <alignment horizontal="left"/>
      <protection locked="0"/>
    </xf>
    <xf numFmtId="0" fontId="12" fillId="3" borderId="28" xfId="8" applyFont="1" applyFill="1" applyBorder="1" applyAlignment="1" applyProtection="1">
      <alignment horizontal="left"/>
      <protection locked="0"/>
    </xf>
    <xf numFmtId="2" fontId="12" fillId="6" borderId="49" xfId="8" applyNumberFormat="1" applyFont="1" applyFill="1" applyBorder="1" applyAlignment="1" applyProtection="1">
      <alignment horizontal="center"/>
      <protection locked="0"/>
    </xf>
    <xf numFmtId="0" fontId="8" fillId="16" borderId="0" xfId="0" applyFont="1" applyFill="1"/>
    <xf numFmtId="0" fontId="5" fillId="3" borderId="5" xfId="5" applyFont="1" applyFill="1" applyBorder="1" applyAlignment="1" applyProtection="1">
      <alignment horizontal="left"/>
      <protection locked="0"/>
    </xf>
    <xf numFmtId="0" fontId="5" fillId="9" borderId="4" xfId="5" applyFont="1" applyFill="1" applyBorder="1" applyAlignment="1" applyProtection="1">
      <alignment horizontal="center"/>
      <protection locked="0"/>
    </xf>
    <xf numFmtId="0" fontId="5" fillId="9" borderId="5" xfId="5" applyFont="1" applyFill="1" applyBorder="1" applyAlignment="1" applyProtection="1">
      <alignment horizontal="center"/>
      <protection locked="0"/>
    </xf>
    <xf numFmtId="0" fontId="5" fillId="9" borderId="6" xfId="5" applyFont="1" applyFill="1" applyBorder="1" applyAlignment="1" applyProtection="1">
      <alignment horizontal="center"/>
      <protection locked="0"/>
    </xf>
    <xf numFmtId="165" fontId="5" fillId="6" borderId="14" xfId="5" applyNumberFormat="1" applyFont="1" applyFill="1" applyBorder="1" applyAlignment="1" applyProtection="1">
      <alignment horizontal="center"/>
      <protection locked="0"/>
    </xf>
    <xf numFmtId="0" fontId="0" fillId="6" borderId="14" xfId="0" applyFill="1" applyBorder="1" applyProtection="1">
      <protection locked="0"/>
    </xf>
    <xf numFmtId="0" fontId="5" fillId="3" borderId="7" xfId="5" applyFont="1" applyFill="1" applyBorder="1" applyAlignment="1" applyProtection="1">
      <alignment horizontal="right"/>
      <protection locked="0"/>
    </xf>
    <xf numFmtId="0" fontId="5" fillId="3" borderId="8" xfId="5" applyFont="1" applyFill="1" applyBorder="1" applyProtection="1">
      <protection locked="0"/>
    </xf>
    <xf numFmtId="0" fontId="5" fillId="3" borderId="9" xfId="5" applyFont="1" applyFill="1" applyBorder="1" applyAlignment="1" applyProtection="1">
      <alignment horizontal="right"/>
      <protection locked="0"/>
    </xf>
    <xf numFmtId="0" fontId="5" fillId="6" borderId="10" xfId="5" applyFont="1" applyFill="1" applyBorder="1" applyProtection="1">
      <protection locked="0"/>
    </xf>
    <xf numFmtId="0" fontId="5" fillId="6" borderId="11" xfId="5" applyFont="1" applyFill="1" applyBorder="1" applyProtection="1">
      <protection locked="0"/>
    </xf>
    <xf numFmtId="0" fontId="5" fillId="3" borderId="10" xfId="5" applyFont="1" applyFill="1" applyBorder="1" applyAlignment="1" applyProtection="1">
      <alignment horizontal="right"/>
      <protection locked="0"/>
    </xf>
    <xf numFmtId="0" fontId="19" fillId="3" borderId="14" xfId="0" applyFont="1" applyFill="1" applyBorder="1" applyAlignment="1" applyProtection="1">
      <alignment horizontal="center"/>
      <protection locked="0"/>
    </xf>
    <xf numFmtId="0" fontId="19" fillId="3" borderId="0" xfId="0" applyFont="1" applyFill="1" applyProtection="1">
      <protection locked="0"/>
    </xf>
    <xf numFmtId="0" fontId="19" fillId="3" borderId="0" xfId="0" applyFont="1" applyFill="1" applyAlignment="1" applyProtection="1">
      <alignment horizontal="center"/>
      <protection locked="0"/>
    </xf>
    <xf numFmtId="0" fontId="19" fillId="3" borderId="10" xfId="0" applyFont="1" applyFill="1" applyBorder="1" applyAlignment="1" applyProtection="1">
      <alignment horizontal="center"/>
      <protection locked="0"/>
    </xf>
    <xf numFmtId="0" fontId="0" fillId="3" borderId="0" xfId="0" quotePrefix="1" applyFill="1" applyAlignment="1" applyProtection="1">
      <alignment horizontal="center"/>
      <protection locked="0"/>
    </xf>
    <xf numFmtId="0" fontId="2" fillId="0" borderId="7" xfId="0" applyFont="1" applyBorder="1" applyProtection="1">
      <protection locked="0"/>
    </xf>
    <xf numFmtId="2" fontId="5" fillId="3" borderId="4" xfId="6" applyNumberFormat="1" applyFont="1" applyFill="1" applyBorder="1" applyAlignment="1" applyProtection="1">
      <alignment wrapText="1"/>
      <protection locked="0"/>
    </xf>
    <xf numFmtId="2" fontId="5" fillId="3" borderId="7" xfId="6" applyNumberFormat="1" applyFont="1" applyFill="1" applyBorder="1" applyAlignment="1" applyProtection="1">
      <alignment wrapText="1"/>
      <protection locked="0"/>
    </xf>
    <xf numFmtId="2" fontId="5" fillId="6" borderId="9" xfId="6" applyNumberFormat="1" applyFont="1" applyFill="1" applyBorder="1" applyAlignment="1" applyProtection="1">
      <alignment wrapText="1"/>
      <protection locked="0"/>
    </xf>
    <xf numFmtId="2" fontId="5" fillId="6" borderId="11" xfId="6" applyNumberFormat="1" applyFont="1" applyFill="1" applyBorder="1" applyAlignment="1" applyProtection="1">
      <alignment wrapText="1"/>
      <protection locked="0"/>
    </xf>
    <xf numFmtId="2" fontId="5" fillId="6" borderId="7" xfId="6" applyNumberFormat="1" applyFont="1" applyFill="1" applyBorder="1" applyAlignment="1" applyProtection="1">
      <alignment wrapText="1"/>
      <protection locked="0"/>
    </xf>
    <xf numFmtId="2" fontId="5" fillId="6" borderId="8" xfId="6" applyNumberFormat="1" applyFont="1" applyFill="1" applyBorder="1" applyAlignment="1" applyProtection="1">
      <alignment wrapText="1"/>
      <protection locked="0"/>
    </xf>
    <xf numFmtId="2" fontId="5" fillId="6" borderId="3" xfId="5" applyNumberFormat="1" applyFont="1" applyFill="1" applyBorder="1" applyAlignment="1" applyProtection="1">
      <alignment horizontal="center"/>
      <protection locked="0"/>
    </xf>
    <xf numFmtId="2" fontId="5" fillId="6" borderId="14" xfId="6" applyNumberFormat="1" applyFont="1" applyFill="1" applyBorder="1" applyAlignment="1" applyProtection="1">
      <alignment wrapText="1"/>
      <protection locked="0"/>
    </xf>
    <xf numFmtId="2" fontId="5" fillId="6" borderId="15" xfId="6" applyNumberFormat="1" applyFont="1" applyFill="1" applyBorder="1" applyAlignment="1" applyProtection="1">
      <alignment wrapText="1"/>
      <protection locked="0"/>
    </xf>
    <xf numFmtId="2" fontId="5" fillId="3" borderId="13" xfId="6" applyNumberFormat="1" applyFont="1" applyFill="1" applyBorder="1" applyAlignment="1" applyProtection="1">
      <alignment wrapText="1"/>
      <protection locked="0"/>
    </xf>
    <xf numFmtId="0" fontId="23" fillId="3" borderId="9" xfId="3" applyFont="1" applyFill="1" applyBorder="1" applyProtection="1">
      <protection locked="0"/>
    </xf>
    <xf numFmtId="0" fontId="11" fillId="0" borderId="0" xfId="0" applyFont="1"/>
    <xf numFmtId="0" fontId="0" fillId="3" borderId="4" xfId="0" applyFill="1" applyBorder="1"/>
    <xf numFmtId="0" fontId="0" fillId="3" borderId="5" xfId="0" applyFill="1" applyBorder="1"/>
    <xf numFmtId="0" fontId="0" fillId="3" borderId="6" xfId="0" applyFill="1" applyBorder="1"/>
    <xf numFmtId="0" fontId="0" fillId="3" borderId="9" xfId="0" applyFill="1" applyBorder="1"/>
    <xf numFmtId="0" fontId="0" fillId="3" borderId="10" xfId="0" applyFill="1" applyBorder="1"/>
    <xf numFmtId="0" fontId="0" fillId="3" borderId="11" xfId="0" applyFill="1" applyBorder="1"/>
    <xf numFmtId="2" fontId="0" fillId="9" borderId="10" xfId="0" applyNumberFormat="1" applyFill="1" applyBorder="1"/>
    <xf numFmtId="2" fontId="0" fillId="3" borderId="10" xfId="0" applyNumberFormat="1" applyFill="1" applyBorder="1"/>
    <xf numFmtId="2" fontId="0" fillId="3" borderId="11" xfId="0" applyNumberFormat="1" applyFill="1" applyBorder="1"/>
    <xf numFmtId="0" fontId="0" fillId="9" borderId="10" xfId="0" applyFill="1" applyBorder="1"/>
    <xf numFmtId="0" fontId="0" fillId="9" borderId="6" xfId="0" applyFill="1" applyBorder="1"/>
    <xf numFmtId="0" fontId="0" fillId="9" borderId="9" xfId="0" applyFill="1" applyBorder="1"/>
    <xf numFmtId="0" fontId="0" fillId="6" borderId="11" xfId="0" applyFill="1" applyBorder="1"/>
    <xf numFmtId="0" fontId="0" fillId="3" borderId="0" xfId="0" applyFill="1"/>
    <xf numFmtId="2" fontId="0" fillId="0" borderId="0" xfId="0" applyNumberFormat="1"/>
    <xf numFmtId="0" fontId="8" fillId="0" borderId="0" xfId="0" applyFont="1"/>
    <xf numFmtId="0" fontId="0" fillId="3" borderId="15" xfId="0" applyFill="1" applyBorder="1"/>
    <xf numFmtId="0" fontId="0" fillId="3" borderId="7" xfId="0" applyFill="1" applyBorder="1"/>
    <xf numFmtId="0" fontId="0" fillId="3" borderId="8" xfId="0" applyFill="1" applyBorder="1"/>
    <xf numFmtId="0" fontId="0" fillId="6" borderId="10" xfId="0" applyFill="1" applyBorder="1"/>
    <xf numFmtId="0" fontId="0" fillId="3" borderId="13" xfId="0" applyFill="1" applyBorder="1"/>
    <xf numFmtId="0" fontId="2" fillId="3" borderId="4" xfId="0" applyFont="1" applyFill="1" applyBorder="1" applyProtection="1">
      <protection locked="0"/>
    </xf>
    <xf numFmtId="2" fontId="2" fillId="3" borderId="6" xfId="0" applyNumberFormat="1" applyFont="1" applyFill="1" applyBorder="1" applyProtection="1">
      <protection locked="0"/>
    </xf>
    <xf numFmtId="2" fontId="2" fillId="3" borderId="8" xfId="0" applyNumberFormat="1" applyFont="1" applyFill="1" applyBorder="1" applyProtection="1">
      <protection locked="0"/>
    </xf>
    <xf numFmtId="2" fontId="2" fillId="9" borderId="11" xfId="0" applyNumberFormat="1" applyFont="1" applyFill="1" applyBorder="1" applyAlignment="1" applyProtection="1">
      <alignment horizontal="right"/>
      <protection hidden="1"/>
    </xf>
    <xf numFmtId="2" fontId="2" fillId="3" borderId="11" xfId="0" applyNumberFormat="1" applyFont="1" applyFill="1" applyBorder="1" applyProtection="1">
      <protection locked="0"/>
    </xf>
    <xf numFmtId="2" fontId="2" fillId="3" borderId="5" xfId="0" applyNumberFormat="1" applyFont="1" applyFill="1" applyBorder="1" applyAlignment="1" applyProtection="1">
      <alignment horizontal="right"/>
      <protection locked="0"/>
    </xf>
    <xf numFmtId="2" fontId="2" fillId="3" borderId="0" xfId="0" applyNumberFormat="1" applyFont="1" applyFill="1" applyProtection="1">
      <protection locked="0"/>
    </xf>
    <xf numFmtId="0" fontId="2" fillId="9" borderId="15" xfId="0" applyFont="1" applyFill="1" applyBorder="1" applyProtection="1">
      <protection locked="0"/>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0" fillId="3" borderId="8" xfId="0" applyFill="1" applyBorder="1" applyAlignment="1">
      <alignment horizontal="center"/>
    </xf>
    <xf numFmtId="165" fontId="0" fillId="3" borderId="0" xfId="0" applyNumberFormat="1" applyFill="1" applyAlignment="1">
      <alignment horizontal="center"/>
    </xf>
    <xf numFmtId="165" fontId="0" fillId="3" borderId="8" xfId="0" applyNumberFormat="1" applyFill="1" applyBorder="1" applyAlignment="1">
      <alignment horizontal="center"/>
    </xf>
    <xf numFmtId="0" fontId="0" fillId="3" borderId="20" xfId="0" applyFill="1" applyBorder="1" applyAlignment="1">
      <alignment horizontal="center"/>
    </xf>
    <xf numFmtId="0" fontId="0" fillId="3" borderId="9" xfId="0" applyFill="1" applyBorder="1" applyAlignment="1">
      <alignment horizontal="center"/>
    </xf>
    <xf numFmtId="165" fontId="0" fillId="6" borderId="0" xfId="0" applyNumberFormat="1" applyFill="1" applyAlignment="1">
      <alignment horizontal="center"/>
    </xf>
    <xf numFmtId="165" fontId="0" fillId="6" borderId="8" xfId="0" applyNumberFormat="1" applyFill="1" applyBorder="1" applyAlignment="1">
      <alignment horizontal="center"/>
    </xf>
    <xf numFmtId="165" fontId="0" fillId="6" borderId="60" xfId="0" applyNumberFormat="1" applyFill="1" applyBorder="1" applyAlignment="1">
      <alignment horizontal="center"/>
    </xf>
    <xf numFmtId="165" fontId="0" fillId="6" borderId="61" xfId="0" applyNumberFormat="1" applyFill="1" applyBorder="1" applyAlignment="1">
      <alignment horizontal="center"/>
    </xf>
    <xf numFmtId="165" fontId="0" fillId="6" borderId="10" xfId="0" applyNumberFormat="1" applyFill="1" applyBorder="1" applyAlignment="1">
      <alignment horizontal="center"/>
    </xf>
    <xf numFmtId="165" fontId="0" fillId="6" borderId="11" xfId="0" applyNumberFormat="1" applyFill="1" applyBorder="1" applyAlignment="1">
      <alignment horizontal="center"/>
    </xf>
    <xf numFmtId="0" fontId="0" fillId="3" borderId="1" xfId="0" applyFill="1" applyBorder="1"/>
    <xf numFmtId="0" fontId="0" fillId="9" borderId="2" xfId="0" applyFill="1" applyBorder="1"/>
    <xf numFmtId="0" fontId="0" fillId="3" borderId="3" xfId="0" applyFill="1" applyBorder="1"/>
    <xf numFmtId="0" fontId="0" fillId="9" borderId="3" xfId="0" applyFill="1" applyBorder="1"/>
    <xf numFmtId="0" fontId="0" fillId="3" borderId="1" xfId="0" applyFill="1" applyBorder="1" applyAlignment="1">
      <alignment horizontal="right"/>
    </xf>
    <xf numFmtId="0" fontId="0" fillId="3" borderId="2" xfId="0" applyFill="1" applyBorder="1" applyAlignment="1">
      <alignment horizontal="left"/>
    </xf>
    <xf numFmtId="2" fontId="0" fillId="9" borderId="2" xfId="0" applyNumberFormat="1" applyFill="1" applyBorder="1"/>
    <xf numFmtId="0" fontId="0" fillId="9" borderId="1" xfId="0" applyFill="1" applyBorder="1" applyProtection="1">
      <protection locked="0"/>
    </xf>
    <xf numFmtId="0" fontId="3" fillId="6" borderId="15" xfId="4" applyFill="1" applyBorder="1" applyAlignment="1" applyProtection="1">
      <alignment horizontal="center" wrapText="1"/>
      <protection locked="0"/>
    </xf>
    <xf numFmtId="0" fontId="3" fillId="3" borderId="13" xfId="4" applyFill="1" applyBorder="1" applyAlignment="1" applyProtection="1">
      <alignment horizontal="center" wrapText="1"/>
      <protection locked="0"/>
    </xf>
    <xf numFmtId="0" fontId="0" fillId="6" borderId="15" xfId="0" applyFill="1" applyBorder="1" applyProtection="1">
      <protection locked="0"/>
    </xf>
    <xf numFmtId="0" fontId="0" fillId="6" borderId="12" xfId="0" applyFill="1" applyBorder="1" applyProtection="1">
      <protection locked="0"/>
    </xf>
    <xf numFmtId="0" fontId="0" fillId="6" borderId="13" xfId="0" applyFill="1" applyBorder="1" applyProtection="1">
      <protection locked="0"/>
    </xf>
    <xf numFmtId="2" fontId="5" fillId="3" borderId="9" xfId="5" applyNumberFormat="1" applyFont="1" applyFill="1" applyBorder="1" applyAlignment="1" applyProtection="1">
      <alignment horizontal="center"/>
      <protection locked="0"/>
    </xf>
    <xf numFmtId="0" fontId="22" fillId="3" borderId="14" xfId="0" applyFont="1" applyFill="1" applyBorder="1" applyAlignment="1" applyProtection="1">
      <alignment horizontal="center"/>
      <protection locked="0"/>
    </xf>
    <xf numFmtId="166" fontId="2" fillId="7" borderId="0" xfId="0" applyNumberFormat="1" applyFont="1" applyFill="1" applyProtection="1">
      <protection locked="0"/>
    </xf>
    <xf numFmtId="166" fontId="2" fillId="7" borderId="8" xfId="0" applyNumberFormat="1" applyFont="1" applyFill="1" applyBorder="1" applyProtection="1">
      <protection locked="0"/>
    </xf>
    <xf numFmtId="165" fontId="2" fillId="7" borderId="0" xfId="0" applyNumberFormat="1" applyFont="1" applyFill="1" applyProtection="1">
      <protection locked="0"/>
    </xf>
    <xf numFmtId="165" fontId="2" fillId="7" borderId="8" xfId="0" applyNumberFormat="1" applyFont="1" applyFill="1" applyBorder="1" applyProtection="1">
      <protection locked="0"/>
    </xf>
    <xf numFmtId="166" fontId="2" fillId="9" borderId="11" xfId="0" applyNumberFormat="1" applyFont="1" applyFill="1" applyBorder="1" applyProtection="1">
      <protection locked="0"/>
    </xf>
    <xf numFmtId="165" fontId="2" fillId="9" borderId="10" xfId="0" applyNumberFormat="1" applyFont="1" applyFill="1" applyBorder="1" applyProtection="1">
      <protection locked="0"/>
    </xf>
    <xf numFmtId="166" fontId="2" fillId="9" borderId="10" xfId="0" applyNumberFormat="1" applyFont="1" applyFill="1" applyBorder="1" applyProtection="1">
      <protection locked="0"/>
    </xf>
    <xf numFmtId="166" fontId="2" fillId="7" borderId="8" xfId="0" applyNumberFormat="1" applyFont="1" applyFill="1" applyBorder="1" applyAlignment="1" applyProtection="1">
      <alignment horizontal="right"/>
      <protection locked="0"/>
    </xf>
    <xf numFmtId="166" fontId="2" fillId="9" borderId="8" xfId="0" applyNumberFormat="1" applyFont="1" applyFill="1" applyBorder="1" applyProtection="1">
      <protection locked="0"/>
    </xf>
    <xf numFmtId="0" fontId="2" fillId="7" borderId="0" xfId="0" applyFont="1" applyFill="1" applyAlignment="1" applyProtection="1">
      <alignment horizontal="center"/>
      <protection locked="0"/>
    </xf>
    <xf numFmtId="165" fontId="2" fillId="9" borderId="0" xfId="0" applyNumberFormat="1" applyFont="1" applyFill="1" applyProtection="1">
      <protection locked="0"/>
    </xf>
    <xf numFmtId="166" fontId="2" fillId="9" borderId="0" xfId="0" applyNumberFormat="1" applyFont="1" applyFill="1" applyProtection="1">
      <protection locked="0"/>
    </xf>
    <xf numFmtId="165" fontId="2" fillId="3" borderId="0" xfId="0" applyNumberFormat="1" applyFont="1" applyFill="1" applyProtection="1">
      <protection locked="0"/>
    </xf>
    <xf numFmtId="166" fontId="2" fillId="3" borderId="8" xfId="0" applyNumberFormat="1" applyFont="1" applyFill="1" applyBorder="1" applyProtection="1">
      <protection locked="0"/>
    </xf>
    <xf numFmtId="165" fontId="2" fillId="3" borderId="0" xfId="0" applyNumberFormat="1" applyFont="1" applyFill="1" applyAlignment="1" applyProtection="1">
      <alignment horizontal="center"/>
      <protection locked="0"/>
    </xf>
    <xf numFmtId="165" fontId="2" fillId="9" borderId="0" xfId="0" applyNumberFormat="1" applyFont="1" applyFill="1" applyAlignment="1" applyProtection="1">
      <alignment horizontal="center"/>
      <protection locked="0"/>
    </xf>
    <xf numFmtId="166" fontId="2" fillId="9" borderId="0" xfId="0" applyNumberFormat="1" applyFont="1" applyFill="1" applyAlignment="1" applyProtection="1">
      <alignment horizontal="center"/>
      <protection locked="0"/>
    </xf>
    <xf numFmtId="165" fontId="2" fillId="9" borderId="8" xfId="0" applyNumberFormat="1" applyFont="1" applyFill="1" applyBorder="1" applyAlignment="1" applyProtection="1">
      <alignment horizontal="center"/>
      <protection locked="0"/>
    </xf>
    <xf numFmtId="166" fontId="2" fillId="9" borderId="8" xfId="0" applyNumberFormat="1" applyFont="1" applyFill="1" applyBorder="1" applyAlignment="1" applyProtection="1">
      <alignment horizontal="center"/>
      <protection locked="0"/>
    </xf>
    <xf numFmtId="166" fontId="2" fillId="9" borderId="0" xfId="0" applyNumberFormat="1" applyFont="1" applyFill="1" applyAlignment="1" applyProtection="1">
      <alignment horizontal="right"/>
      <protection locked="0"/>
    </xf>
    <xf numFmtId="166" fontId="2" fillId="9" borderId="8" xfId="0" applyNumberFormat="1" applyFont="1" applyFill="1" applyBorder="1" applyAlignment="1" applyProtection="1">
      <alignment horizontal="right"/>
      <protection locked="0"/>
    </xf>
    <xf numFmtId="166" fontId="2" fillId="9" borderId="10" xfId="0" applyNumberFormat="1" applyFont="1" applyFill="1" applyBorder="1" applyAlignment="1" applyProtection="1">
      <alignment horizontal="left"/>
      <protection locked="0"/>
    </xf>
    <xf numFmtId="166" fontId="2" fillId="9" borderId="11" xfId="0" applyNumberFormat="1" applyFont="1" applyFill="1" applyBorder="1" applyAlignment="1" applyProtection="1">
      <alignment horizontal="left"/>
      <protection locked="0"/>
    </xf>
    <xf numFmtId="165" fontId="2" fillId="10" borderId="8" xfId="0" applyNumberFormat="1" applyFont="1" applyFill="1" applyBorder="1" applyProtection="1">
      <protection locked="0"/>
    </xf>
    <xf numFmtId="166" fontId="2" fillId="10" borderId="0" xfId="0" applyNumberFormat="1" applyFont="1" applyFill="1" applyProtection="1">
      <protection locked="0"/>
    </xf>
    <xf numFmtId="166" fontId="2" fillId="10" borderId="8" xfId="0" applyNumberFormat="1" applyFont="1" applyFill="1" applyBorder="1" applyProtection="1">
      <protection locked="0"/>
    </xf>
    <xf numFmtId="165" fontId="2" fillId="10" borderId="0" xfId="0" applyNumberFormat="1" applyFont="1" applyFill="1" applyAlignment="1" applyProtection="1">
      <alignment horizontal="center"/>
      <protection locked="0"/>
    </xf>
    <xf numFmtId="166" fontId="2" fillId="10" borderId="0" xfId="0" applyNumberFormat="1" applyFont="1" applyFill="1" applyAlignment="1" applyProtection="1">
      <alignment horizontal="center"/>
      <protection locked="0"/>
    </xf>
    <xf numFmtId="165" fontId="2" fillId="10" borderId="8" xfId="0" applyNumberFormat="1" applyFont="1" applyFill="1" applyBorder="1" applyAlignment="1" applyProtection="1">
      <alignment horizontal="center"/>
      <protection locked="0"/>
    </xf>
    <xf numFmtId="166" fontId="2" fillId="3" borderId="6" xfId="0" applyNumberFormat="1" applyFont="1" applyFill="1" applyBorder="1" applyProtection="1">
      <protection locked="0"/>
    </xf>
    <xf numFmtId="166" fontId="2" fillId="3" borderId="36" xfId="0" applyNumberFormat="1" applyFont="1" applyFill="1" applyBorder="1" applyProtection="1">
      <protection locked="0"/>
    </xf>
    <xf numFmtId="166" fontId="2" fillId="3" borderId="47" xfId="0" applyNumberFormat="1" applyFont="1" applyFill="1" applyBorder="1" applyProtection="1">
      <protection locked="0"/>
    </xf>
    <xf numFmtId="166" fontId="2" fillId="3" borderId="65" xfId="0" applyNumberFormat="1" applyFont="1" applyFill="1" applyBorder="1" applyProtection="1">
      <protection locked="0"/>
    </xf>
    <xf numFmtId="166" fontId="2" fillId="9" borderId="11" xfId="0" applyNumberFormat="1" applyFont="1" applyFill="1" applyBorder="1" applyAlignment="1" applyProtection="1">
      <alignment horizontal="right"/>
      <protection hidden="1"/>
    </xf>
    <xf numFmtId="166" fontId="2" fillId="9" borderId="8" xfId="0" applyNumberFormat="1" applyFont="1" applyFill="1" applyBorder="1" applyAlignment="1" applyProtection="1">
      <alignment horizontal="right"/>
      <protection hidden="1"/>
    </xf>
    <xf numFmtId="166" fontId="2" fillId="3" borderId="0" xfId="0" applyNumberFormat="1" applyFont="1" applyFill="1" applyAlignment="1" applyProtection="1">
      <alignment horizontal="right"/>
      <protection locked="0"/>
    </xf>
    <xf numFmtId="166" fontId="2" fillId="9" borderId="0" xfId="0" applyNumberFormat="1" applyFont="1" applyFill="1" applyAlignment="1" applyProtection="1">
      <alignment horizontal="right"/>
      <protection hidden="1"/>
    </xf>
    <xf numFmtId="2" fontId="2" fillId="9" borderId="13" xfId="0" applyNumberFormat="1" applyFont="1" applyFill="1" applyBorder="1" applyAlignment="1" applyProtection="1">
      <alignment horizontal="center"/>
      <protection locked="0"/>
    </xf>
    <xf numFmtId="2" fontId="2" fillId="6" borderId="30" xfId="0" applyNumberFormat="1" applyFont="1" applyFill="1" applyBorder="1" applyAlignment="1" applyProtection="1">
      <alignment horizontal="center"/>
      <protection locked="0"/>
    </xf>
    <xf numFmtId="0" fontId="2" fillId="6" borderId="64" xfId="0" applyFont="1" applyFill="1" applyBorder="1" applyAlignment="1" applyProtection="1">
      <alignment horizontal="center"/>
      <protection locked="0"/>
    </xf>
    <xf numFmtId="2" fontId="2" fillId="6" borderId="33" xfId="0" applyNumberFormat="1" applyFont="1" applyFill="1" applyBorder="1" applyAlignment="1" applyProtection="1">
      <alignment horizontal="center"/>
      <protection locked="0"/>
    </xf>
    <xf numFmtId="2" fontId="2" fillId="8" borderId="66" xfId="0" applyNumberFormat="1" applyFont="1" applyFill="1" applyBorder="1" applyAlignment="1" applyProtection="1">
      <alignment horizontal="center"/>
      <protection locked="0"/>
    </xf>
    <xf numFmtId="2" fontId="2" fillId="8" borderId="14" xfId="0" applyNumberFormat="1" applyFont="1" applyFill="1" applyBorder="1" applyAlignment="1" applyProtection="1">
      <alignment horizontal="center"/>
      <protection locked="0"/>
    </xf>
    <xf numFmtId="2" fontId="2" fillId="8" borderId="67" xfId="0" applyNumberFormat="1" applyFont="1" applyFill="1" applyBorder="1" applyAlignment="1" applyProtection="1">
      <alignment horizontal="center"/>
      <protection locked="0"/>
    </xf>
    <xf numFmtId="2" fontId="31" fillId="0" borderId="0" xfId="0" applyNumberFormat="1" applyFont="1" applyAlignment="1" applyProtection="1">
      <alignment horizontal="center" vertical="center"/>
      <protection hidden="1"/>
    </xf>
    <xf numFmtId="0" fontId="54" fillId="0" borderId="0" xfId="0" applyFont="1" applyProtection="1">
      <protection hidden="1"/>
    </xf>
    <xf numFmtId="0" fontId="2" fillId="8" borderId="30" xfId="0" applyFont="1" applyFill="1" applyBorder="1" applyProtection="1">
      <protection locked="0"/>
    </xf>
    <xf numFmtId="0" fontId="2" fillId="3" borderId="7" xfId="0" applyFont="1" applyFill="1" applyBorder="1" applyAlignment="1" applyProtection="1">
      <alignment horizontal="left"/>
      <protection locked="0"/>
    </xf>
    <xf numFmtId="2" fontId="2" fillId="3" borderId="36" xfId="0" applyNumberFormat="1" applyFont="1" applyFill="1" applyBorder="1" applyProtection="1">
      <protection locked="0"/>
    </xf>
    <xf numFmtId="2" fontId="2" fillId="9" borderId="47" xfId="0" applyNumberFormat="1" applyFont="1" applyFill="1" applyBorder="1" applyProtection="1">
      <protection locked="0"/>
    </xf>
    <xf numFmtId="2" fontId="2" fillId="3" borderId="65" xfId="0" applyNumberFormat="1" applyFont="1" applyFill="1" applyBorder="1" applyProtection="1">
      <protection locked="0"/>
    </xf>
    <xf numFmtId="2" fontId="2" fillId="3" borderId="47" xfId="0" applyNumberFormat="1" applyFont="1" applyFill="1" applyBorder="1" applyProtection="1">
      <protection locked="0"/>
    </xf>
    <xf numFmtId="2" fontId="2" fillId="9" borderId="10" xfId="0" applyNumberFormat="1" applyFont="1" applyFill="1" applyBorder="1" applyProtection="1">
      <protection locked="0"/>
    </xf>
    <xf numFmtId="2" fontId="2" fillId="10" borderId="0" xfId="0" applyNumberFormat="1" applyFont="1" applyFill="1" applyProtection="1">
      <protection locked="0"/>
    </xf>
    <xf numFmtId="166" fontId="2" fillId="17" borderId="0" xfId="0" applyNumberFormat="1" applyFont="1" applyFill="1" applyAlignment="1" applyProtection="1">
      <alignment horizontal="center"/>
      <protection locked="0"/>
    </xf>
    <xf numFmtId="165" fontId="2" fillId="17" borderId="0" xfId="0" applyNumberFormat="1" applyFont="1" applyFill="1" applyAlignment="1" applyProtection="1">
      <alignment horizontal="center"/>
      <protection locked="0"/>
    </xf>
    <xf numFmtId="165" fontId="2" fillId="17" borderId="8" xfId="0" applyNumberFormat="1" applyFont="1" applyFill="1" applyBorder="1" applyAlignment="1" applyProtection="1">
      <alignment horizontal="center"/>
      <protection locked="0"/>
    </xf>
    <xf numFmtId="0" fontId="2" fillId="17" borderId="10" xfId="0" applyFont="1" applyFill="1" applyBorder="1" applyAlignment="1" applyProtection="1">
      <alignment horizontal="center"/>
      <protection locked="0"/>
    </xf>
    <xf numFmtId="0" fontId="2" fillId="17" borderId="11" xfId="0" applyFont="1" applyFill="1" applyBorder="1" applyAlignment="1" applyProtection="1">
      <alignment horizontal="center"/>
      <protection locked="0"/>
    </xf>
    <xf numFmtId="0" fontId="2" fillId="17" borderId="10" xfId="0" applyFont="1" applyFill="1" applyBorder="1" applyProtection="1">
      <protection locked="0"/>
    </xf>
    <xf numFmtId="0" fontId="2" fillId="17" borderId="0" xfId="0" applyFont="1" applyFill="1" applyProtection="1">
      <protection locked="0"/>
    </xf>
    <xf numFmtId="166" fontId="2" fillId="17" borderId="0" xfId="0" applyNumberFormat="1" applyFont="1" applyFill="1" applyProtection="1">
      <protection locked="0"/>
    </xf>
    <xf numFmtId="0" fontId="2" fillId="17" borderId="11" xfId="0" applyFont="1" applyFill="1" applyBorder="1" applyProtection="1">
      <protection locked="0"/>
    </xf>
    <xf numFmtId="0" fontId="2" fillId="17" borderId="8" xfId="0" applyFont="1" applyFill="1" applyBorder="1" applyProtection="1">
      <protection locked="0"/>
    </xf>
    <xf numFmtId="166" fontId="2" fillId="17" borderId="10" xfId="0" applyNumberFormat="1" applyFont="1" applyFill="1" applyBorder="1" applyProtection="1">
      <protection locked="0"/>
    </xf>
    <xf numFmtId="2" fontId="2" fillId="17" borderId="10" xfId="0" applyNumberFormat="1" applyFont="1" applyFill="1" applyBorder="1" applyProtection="1">
      <protection locked="0"/>
    </xf>
    <xf numFmtId="2" fontId="2" fillId="17" borderId="11" xfId="0" applyNumberFormat="1" applyFont="1" applyFill="1" applyBorder="1" applyProtection="1">
      <protection locked="0"/>
    </xf>
    <xf numFmtId="2" fontId="2" fillId="7" borderId="8" xfId="0" applyNumberFormat="1" applyFont="1" applyFill="1" applyBorder="1" applyProtection="1">
      <protection locked="0"/>
    </xf>
    <xf numFmtId="2" fontId="2" fillId="7" borderId="0" xfId="0" applyNumberFormat="1" applyFont="1" applyFill="1" applyProtection="1">
      <protection locked="0"/>
    </xf>
    <xf numFmtId="0" fontId="12" fillId="18" borderId="14" xfId="8" applyFont="1" applyFill="1" applyBorder="1" applyProtection="1">
      <protection locked="0"/>
    </xf>
    <xf numFmtId="2" fontId="12" fillId="18" borderId="14" xfId="8" applyNumberFormat="1" applyFont="1" applyFill="1" applyBorder="1" applyAlignment="1" applyProtection="1">
      <alignment horizontal="center"/>
      <protection locked="0"/>
    </xf>
    <xf numFmtId="1" fontId="12" fillId="18" borderId="14" xfId="8" applyNumberFormat="1" applyFont="1" applyFill="1" applyBorder="1" applyAlignment="1" applyProtection="1">
      <alignment horizontal="center"/>
      <protection locked="0"/>
    </xf>
    <xf numFmtId="166" fontId="12" fillId="18" borderId="14" xfId="8" applyNumberFormat="1" applyFont="1" applyFill="1" applyBorder="1" applyAlignment="1" applyProtection="1">
      <alignment horizontal="center"/>
      <protection locked="0"/>
    </xf>
    <xf numFmtId="0" fontId="12" fillId="0" borderId="0" xfId="8" applyFont="1" applyAlignment="1" applyProtection="1">
      <alignment horizontal="right"/>
      <protection locked="0"/>
    </xf>
    <xf numFmtId="0" fontId="5" fillId="18" borderId="14" xfId="6" applyFont="1" applyFill="1" applyBorder="1" applyProtection="1">
      <protection locked="0"/>
    </xf>
    <xf numFmtId="0" fontId="5" fillId="0" borderId="0" xfId="6" applyFont="1" applyAlignment="1" applyProtection="1">
      <alignment horizontal="right"/>
      <protection locked="0"/>
    </xf>
    <xf numFmtId="2" fontId="5" fillId="0" borderId="0" xfId="6" applyNumberFormat="1" applyFont="1" applyAlignment="1" applyProtection="1">
      <alignment horizontal="right" wrapText="1"/>
      <protection locked="0"/>
    </xf>
    <xf numFmtId="2" fontId="5" fillId="18" borderId="14" xfId="6" applyNumberFormat="1" applyFont="1" applyFill="1" applyBorder="1" applyProtection="1">
      <protection locked="0"/>
    </xf>
    <xf numFmtId="2" fontId="2" fillId="17" borderId="8" xfId="0" applyNumberFormat="1" applyFont="1" applyFill="1" applyBorder="1" applyProtection="1">
      <protection locked="0"/>
    </xf>
    <xf numFmtId="2" fontId="2" fillId="17" borderId="0" xfId="0" applyNumberFormat="1" applyFont="1" applyFill="1" applyProtection="1">
      <protection locked="0"/>
    </xf>
    <xf numFmtId="0" fontId="0" fillId="18" borderId="12" xfId="0" applyFill="1" applyBorder="1" applyProtection="1">
      <protection locked="0"/>
    </xf>
    <xf numFmtId="2" fontId="0" fillId="18" borderId="15" xfId="0" applyNumberFormat="1" applyFill="1" applyBorder="1" applyAlignment="1" applyProtection="1">
      <alignment horizontal="center"/>
      <protection locked="0"/>
    </xf>
    <xf numFmtId="0" fontId="0" fillId="0" borderId="0" xfId="0" applyAlignment="1" applyProtection="1">
      <alignment horizontal="right"/>
      <protection locked="0"/>
    </xf>
    <xf numFmtId="0" fontId="0" fillId="18" borderId="14" xfId="0" applyFill="1" applyBorder="1" applyAlignment="1" applyProtection="1">
      <alignment horizontal="center"/>
      <protection locked="0"/>
    </xf>
    <xf numFmtId="168" fontId="0" fillId="18" borderId="13" xfId="0" applyNumberFormat="1" applyFill="1" applyBorder="1" applyProtection="1">
      <protection locked="0"/>
    </xf>
    <xf numFmtId="0" fontId="2" fillId="17" borderId="10" xfId="0" applyFont="1" applyFill="1" applyBorder="1" applyAlignment="1" applyProtection="1">
      <alignment horizontal="right"/>
      <protection locked="0"/>
    </xf>
    <xf numFmtId="2" fontId="2" fillId="17" borderId="0" xfId="0" applyNumberFormat="1" applyFont="1" applyFill="1" applyAlignment="1" applyProtection="1">
      <alignment horizontal="right"/>
      <protection locked="0"/>
    </xf>
    <xf numFmtId="2" fontId="2" fillId="17" borderId="8" xfId="0" applyNumberFormat="1" applyFont="1" applyFill="1" applyBorder="1" applyAlignment="1" applyProtection="1">
      <alignment horizontal="right"/>
      <protection locked="0"/>
    </xf>
    <xf numFmtId="0" fontId="2" fillId="17" borderId="11" xfId="0" applyFont="1" applyFill="1" applyBorder="1" applyAlignment="1" applyProtection="1">
      <alignment horizontal="right"/>
      <protection locked="0"/>
    </xf>
    <xf numFmtId="2" fontId="2" fillId="17" borderId="11" xfId="0" applyNumberFormat="1" applyFont="1" applyFill="1" applyBorder="1" applyAlignment="1" applyProtection="1">
      <alignment horizontal="left"/>
      <protection locked="0"/>
    </xf>
    <xf numFmtId="2" fontId="0" fillId="18" borderId="0" xfId="0" applyNumberFormat="1" applyFill="1" applyProtection="1">
      <protection locked="0"/>
    </xf>
    <xf numFmtId="2" fontId="0" fillId="18" borderId="8" xfId="0" applyNumberFormat="1" applyFill="1" applyBorder="1" applyProtection="1">
      <protection locked="0"/>
    </xf>
    <xf numFmtId="2" fontId="2" fillId="17" borderId="0" xfId="0" applyNumberFormat="1" applyFont="1" applyFill="1" applyAlignment="1" applyProtection="1">
      <alignment horizontal="center"/>
      <protection locked="0"/>
    </xf>
    <xf numFmtId="2" fontId="2" fillId="17" borderId="8" xfId="0" applyNumberFormat="1" applyFont="1" applyFill="1" applyBorder="1" applyAlignment="1" applyProtection="1">
      <alignment horizontal="center"/>
      <protection locked="0"/>
    </xf>
    <xf numFmtId="1" fontId="5" fillId="3" borderId="0" xfId="5" applyNumberFormat="1" applyFont="1" applyFill="1" applyAlignment="1" applyProtection="1">
      <alignment horizontal="center"/>
      <protection locked="0"/>
    </xf>
    <xf numFmtId="0" fontId="5" fillId="9" borderId="10" xfId="5" applyFont="1" applyFill="1" applyBorder="1" applyAlignment="1" applyProtection="1">
      <alignment horizontal="center"/>
      <protection locked="0"/>
    </xf>
    <xf numFmtId="2" fontId="5" fillId="18" borderId="0" xfId="5" applyNumberFormat="1" applyFont="1" applyFill="1" applyAlignment="1" applyProtection="1">
      <alignment horizontal="center"/>
      <protection locked="0"/>
    </xf>
    <xf numFmtId="0" fontId="3" fillId="0" borderId="0" xfId="0" applyFont="1" applyProtection="1">
      <protection hidden="1"/>
    </xf>
    <xf numFmtId="0" fontId="55" fillId="0" borderId="4" xfId="0" applyFont="1" applyBorder="1" applyAlignment="1" applyProtection="1">
      <alignment vertical="top"/>
      <protection hidden="1"/>
    </xf>
    <xf numFmtId="0" fontId="55" fillId="0" borderId="5" xfId="0" applyFont="1" applyBorder="1" applyAlignment="1" applyProtection="1">
      <alignment vertical="top"/>
      <protection hidden="1"/>
    </xf>
    <xf numFmtId="0" fontId="2" fillId="4" borderId="0" xfId="0" applyFont="1" applyFill="1" applyAlignment="1" applyProtection="1">
      <alignment horizontal="center"/>
      <protection locked="0"/>
    </xf>
    <xf numFmtId="0" fontId="2" fillId="7" borderId="5" xfId="0" applyFont="1" applyFill="1" applyBorder="1" applyAlignment="1" applyProtection="1">
      <alignment horizontal="center"/>
      <protection locked="0"/>
    </xf>
    <xf numFmtId="0" fontId="2" fillId="7" borderId="10"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17" borderId="0" xfId="0" applyFont="1" applyFill="1" applyAlignment="1" applyProtection="1">
      <alignment horizontal="center"/>
      <protection locked="0"/>
    </xf>
    <xf numFmtId="2" fontId="2" fillId="17" borderId="10" xfId="0" applyNumberFormat="1" applyFont="1" applyFill="1" applyBorder="1" applyAlignment="1" applyProtection="1">
      <alignment horizontal="center"/>
      <protection locked="0"/>
    </xf>
    <xf numFmtId="0" fontId="2" fillId="10" borderId="5" xfId="0" applyFont="1" applyFill="1" applyBorder="1" applyAlignment="1" applyProtection="1">
      <alignment horizontal="center"/>
      <protection locked="0"/>
    </xf>
    <xf numFmtId="0" fontId="2" fillId="10" borderId="10" xfId="0" applyFont="1" applyFill="1" applyBorder="1" applyAlignment="1" applyProtection="1">
      <alignment horizontal="center"/>
      <protection locked="0"/>
    </xf>
    <xf numFmtId="0" fontId="2" fillId="6" borderId="0" xfId="0" applyFont="1" applyFill="1" applyAlignment="1" applyProtection="1">
      <alignment horizontal="center"/>
      <protection locked="0"/>
    </xf>
    <xf numFmtId="0" fontId="22" fillId="0" borderId="20" xfId="0" applyFont="1" applyBorder="1" applyAlignment="1" applyProtection="1">
      <alignment vertical="center"/>
      <protection hidden="1"/>
    </xf>
    <xf numFmtId="0" fontId="2" fillId="9" borderId="0" xfId="0" applyFont="1" applyFill="1" applyAlignment="1" applyProtection="1">
      <alignment horizontal="center"/>
      <protection locked="0"/>
    </xf>
    <xf numFmtId="1" fontId="2" fillId="9" borderId="0" xfId="0" applyNumberFormat="1" applyFont="1" applyFill="1" applyProtection="1">
      <protection locked="0"/>
    </xf>
    <xf numFmtId="0" fontId="2" fillId="19" borderId="7" xfId="0" applyFont="1" applyFill="1" applyBorder="1" applyProtection="1">
      <protection locked="0"/>
    </xf>
    <xf numFmtId="0" fontId="2" fillId="19" borderId="0" xfId="0" applyFont="1" applyFill="1" applyProtection="1">
      <protection locked="0"/>
    </xf>
    <xf numFmtId="0" fontId="2" fillId="19" borderId="9" xfId="0" applyFont="1" applyFill="1" applyBorder="1" applyProtection="1">
      <protection locked="0"/>
    </xf>
    <xf numFmtId="0" fontId="2" fillId="19" borderId="10" xfId="0" applyFont="1" applyFill="1" applyBorder="1" applyProtection="1">
      <protection locked="0"/>
    </xf>
    <xf numFmtId="0" fontId="2" fillId="19" borderId="5" xfId="0" applyFont="1" applyFill="1" applyBorder="1" applyProtection="1">
      <protection locked="0"/>
    </xf>
    <xf numFmtId="0" fontId="2" fillId="19" borderId="6" xfId="0" applyFont="1" applyFill="1" applyBorder="1" applyProtection="1">
      <protection locked="0"/>
    </xf>
    <xf numFmtId="0" fontId="2" fillId="19" borderId="8" xfId="0" applyFont="1" applyFill="1" applyBorder="1" applyProtection="1">
      <protection locked="0"/>
    </xf>
    <xf numFmtId="0" fontId="2" fillId="19" borderId="11" xfId="0" applyFont="1" applyFill="1" applyBorder="1" applyProtection="1">
      <protection locked="0"/>
    </xf>
    <xf numFmtId="0" fontId="2" fillId="13" borderId="10" xfId="0" applyFont="1" applyFill="1" applyBorder="1" applyAlignment="1" applyProtection="1">
      <alignment horizontal="center"/>
      <protection locked="0"/>
    </xf>
    <xf numFmtId="0" fontId="2" fillId="19" borderId="7" xfId="0" applyFont="1" applyFill="1" applyBorder="1" applyAlignment="1" applyProtection="1">
      <alignment horizontal="center"/>
      <protection locked="0"/>
    </xf>
    <xf numFmtId="0" fontId="2" fillId="19" borderId="0" xfId="0" quotePrefix="1" applyFont="1" applyFill="1" applyProtection="1">
      <protection locked="0"/>
    </xf>
    <xf numFmtId="0" fontId="2" fillId="19" borderId="9" xfId="0" applyFont="1" applyFill="1" applyBorder="1" applyAlignment="1" applyProtection="1">
      <alignment horizontal="center"/>
      <protection locked="0"/>
    </xf>
    <xf numFmtId="0" fontId="2" fillId="19" borderId="5" xfId="0" applyFont="1" applyFill="1" applyBorder="1" applyAlignment="1" applyProtection="1">
      <alignment horizontal="center"/>
      <protection locked="0"/>
    </xf>
    <xf numFmtId="0" fontId="2" fillId="19" borderId="0" xfId="0" applyFont="1" applyFill="1" applyAlignment="1" applyProtection="1">
      <alignment horizontal="center"/>
      <protection locked="0"/>
    </xf>
    <xf numFmtId="0" fontId="56" fillId="19" borderId="0" xfId="0" applyFont="1" applyFill="1" applyAlignment="1" applyProtection="1">
      <alignment horizontal="center" wrapText="1"/>
      <protection locked="0"/>
    </xf>
    <xf numFmtId="0" fontId="2" fillId="19" borderId="10" xfId="0" applyFont="1" applyFill="1" applyBorder="1" applyAlignment="1" applyProtection="1">
      <alignment horizontal="center"/>
      <protection locked="0"/>
    </xf>
    <xf numFmtId="0" fontId="2" fillId="13" borderId="30" xfId="0" applyFont="1" applyFill="1" applyBorder="1" applyAlignment="1" applyProtection="1">
      <alignment horizontal="center"/>
      <protection locked="0"/>
    </xf>
    <xf numFmtId="0" fontId="58" fillId="0" borderId="0" xfId="0" applyFont="1" applyAlignment="1" applyProtection="1">
      <alignment horizontal="center"/>
      <protection locked="0"/>
    </xf>
    <xf numFmtId="0" fontId="59" fillId="13" borderId="25" xfId="0" applyFont="1" applyFill="1" applyBorder="1" applyAlignment="1">
      <alignment horizontal="center"/>
    </xf>
    <xf numFmtId="0" fontId="59" fillId="13" borderId="68" xfId="0" applyFont="1" applyFill="1" applyBorder="1" applyAlignment="1">
      <alignment horizontal="center"/>
    </xf>
    <xf numFmtId="0" fontId="59" fillId="13" borderId="69" xfId="0" applyFont="1" applyFill="1" applyBorder="1" applyAlignment="1">
      <alignment horizontal="center"/>
    </xf>
    <xf numFmtId="0" fontId="59" fillId="13" borderId="70" xfId="0" applyFont="1" applyFill="1" applyBorder="1" applyAlignment="1">
      <alignment horizontal="center"/>
    </xf>
    <xf numFmtId="0" fontId="59" fillId="13" borderId="71" xfId="0" applyFont="1" applyFill="1" applyBorder="1" applyAlignment="1">
      <alignment horizontal="center"/>
    </xf>
    <xf numFmtId="0" fontId="59" fillId="13" borderId="72" xfId="0" applyFont="1" applyFill="1" applyBorder="1" applyAlignment="1">
      <alignment horizontal="center"/>
    </xf>
    <xf numFmtId="0" fontId="59" fillId="13" borderId="21" xfId="0" applyFont="1" applyFill="1" applyBorder="1" applyAlignment="1">
      <alignment horizontal="center"/>
    </xf>
    <xf numFmtId="0" fontId="59" fillId="13" borderId="73" xfId="0" applyFont="1" applyFill="1" applyBorder="1" applyAlignment="1">
      <alignment horizontal="center"/>
    </xf>
    <xf numFmtId="0" fontId="59" fillId="13" borderId="74" xfId="0" applyFont="1" applyFill="1" applyBorder="1" applyAlignment="1">
      <alignment horizontal="center"/>
    </xf>
    <xf numFmtId="0" fontId="59" fillId="13" borderId="17" xfId="0" applyFont="1" applyFill="1" applyBorder="1" applyAlignment="1">
      <alignment horizontal="center"/>
    </xf>
    <xf numFmtId="165" fontId="59" fillId="13" borderId="21" xfId="0" applyNumberFormat="1" applyFont="1" applyFill="1" applyBorder="1" applyAlignment="1">
      <alignment horizontal="center"/>
    </xf>
    <xf numFmtId="165" fontId="59" fillId="13" borderId="73" xfId="0" applyNumberFormat="1" applyFont="1" applyFill="1" applyBorder="1" applyAlignment="1">
      <alignment horizontal="center"/>
    </xf>
    <xf numFmtId="0" fontId="59" fillId="13" borderId="75" xfId="0" applyFont="1" applyFill="1" applyBorder="1" applyAlignment="1">
      <alignment horizontal="center"/>
    </xf>
    <xf numFmtId="165" fontId="59" fillId="13" borderId="74" xfId="0" applyNumberFormat="1" applyFont="1" applyFill="1" applyBorder="1" applyAlignment="1">
      <alignment horizontal="center"/>
    </xf>
    <xf numFmtId="1" fontId="59" fillId="13" borderId="21" xfId="0" applyNumberFormat="1" applyFont="1" applyFill="1" applyBorder="1" applyAlignment="1">
      <alignment horizontal="center"/>
    </xf>
    <xf numFmtId="1" fontId="59" fillId="13" borderId="73" xfId="0" applyNumberFormat="1" applyFont="1" applyFill="1" applyBorder="1" applyAlignment="1">
      <alignment horizontal="center"/>
    </xf>
    <xf numFmtId="1" fontId="59" fillId="13" borderId="75" xfId="0" applyNumberFormat="1" applyFont="1" applyFill="1" applyBorder="1" applyAlignment="1">
      <alignment horizontal="center"/>
    </xf>
    <xf numFmtId="1" fontId="59" fillId="13" borderId="74" xfId="0" applyNumberFormat="1" applyFont="1" applyFill="1" applyBorder="1" applyAlignment="1">
      <alignment horizontal="center"/>
    </xf>
    <xf numFmtId="0" fontId="59" fillId="19" borderId="0" xfId="0" applyFont="1" applyFill="1"/>
    <xf numFmtId="0" fontId="2" fillId="9" borderId="8" xfId="0" applyFont="1" applyFill="1" applyBorder="1" applyAlignment="1" applyProtection="1">
      <alignment horizontal="center"/>
      <protection locked="0"/>
    </xf>
    <xf numFmtId="0" fontId="2" fillId="19" borderId="8" xfId="0" applyFont="1" applyFill="1" applyBorder="1" applyAlignment="1" applyProtection="1">
      <alignment horizontal="center"/>
      <protection locked="0"/>
    </xf>
    <xf numFmtId="0" fontId="2" fillId="19" borderId="11" xfId="0" applyFont="1" applyFill="1" applyBorder="1" applyAlignment="1" applyProtection="1">
      <alignment horizontal="center"/>
      <protection locked="0"/>
    </xf>
    <xf numFmtId="0" fontId="2" fillId="6" borderId="50" xfId="0" applyFont="1" applyFill="1" applyBorder="1" applyAlignment="1" applyProtection="1">
      <alignment horizontal="center"/>
      <protection locked="0"/>
    </xf>
    <xf numFmtId="0" fontId="2" fillId="9" borderId="60" xfId="0" applyFont="1" applyFill="1" applyBorder="1" applyAlignment="1" applyProtection="1">
      <alignment horizontal="center"/>
      <protection locked="0"/>
    </xf>
    <xf numFmtId="165" fontId="2" fillId="9" borderId="50" xfId="0" applyNumberFormat="1" applyFont="1" applyFill="1" applyBorder="1" applyAlignment="1" applyProtection="1">
      <alignment horizontal="center"/>
      <protection locked="0"/>
    </xf>
    <xf numFmtId="0" fontId="2" fillId="19" borderId="20" xfId="0" applyFont="1" applyFill="1" applyBorder="1" applyAlignment="1" applyProtection="1">
      <alignment horizontal="center"/>
      <protection locked="0"/>
    </xf>
    <xf numFmtId="0" fontId="2" fillId="19" borderId="76" xfId="0" applyFont="1" applyFill="1" applyBorder="1" applyProtection="1">
      <protection locked="0"/>
    </xf>
    <xf numFmtId="0" fontId="2" fillId="19" borderId="16" xfId="0" applyFont="1" applyFill="1" applyBorder="1" applyAlignment="1" applyProtection="1">
      <alignment horizontal="center"/>
      <protection locked="0"/>
    </xf>
    <xf numFmtId="0" fontId="2" fillId="19" borderId="50" xfId="0" applyFont="1" applyFill="1" applyBorder="1" applyAlignment="1" applyProtection="1">
      <alignment horizontal="center"/>
      <protection locked="0"/>
    </xf>
    <xf numFmtId="0" fontId="56" fillId="19" borderId="17" xfId="0" applyFont="1" applyFill="1" applyBorder="1" applyAlignment="1" applyProtection="1">
      <alignment horizontal="center" wrapText="1"/>
      <protection locked="0"/>
    </xf>
    <xf numFmtId="0" fontId="2" fillId="19" borderId="17" xfId="0" applyFont="1" applyFill="1" applyBorder="1" applyAlignment="1" applyProtection="1">
      <alignment horizontal="center"/>
      <protection locked="0"/>
    </xf>
    <xf numFmtId="2" fontId="2" fillId="19" borderId="0" xfId="0" applyNumberFormat="1" applyFont="1" applyFill="1" applyAlignment="1" applyProtection="1">
      <alignment horizontal="center"/>
      <protection locked="0"/>
    </xf>
    <xf numFmtId="0" fontId="2" fillId="19" borderId="21" xfId="0" applyFont="1" applyFill="1" applyBorder="1" applyProtection="1">
      <protection locked="0"/>
    </xf>
    <xf numFmtId="0" fontId="2" fillId="19" borderId="60" xfId="0" applyFont="1" applyFill="1" applyBorder="1" applyProtection="1">
      <protection locked="0"/>
    </xf>
    <xf numFmtId="0" fontId="2" fillId="19" borderId="77" xfId="0" applyFont="1" applyFill="1" applyBorder="1" applyProtection="1">
      <protection locked="0"/>
    </xf>
    <xf numFmtId="0" fontId="2" fillId="19" borderId="60" xfId="0" applyFont="1" applyFill="1" applyBorder="1" applyAlignment="1" applyProtection="1">
      <alignment horizontal="right"/>
      <protection locked="0"/>
    </xf>
    <xf numFmtId="165" fontId="2" fillId="19" borderId="77" xfId="0" applyNumberFormat="1" applyFont="1" applyFill="1" applyBorder="1" applyAlignment="1" applyProtection="1">
      <alignment horizontal="center"/>
      <protection locked="0"/>
    </xf>
    <xf numFmtId="0" fontId="2" fillId="19" borderId="61" xfId="0" applyFont="1" applyFill="1" applyBorder="1" applyAlignment="1" applyProtection="1">
      <alignment horizontal="center"/>
      <protection locked="0"/>
    </xf>
    <xf numFmtId="0" fontId="56" fillId="19" borderId="78" xfId="0" applyFont="1" applyFill="1" applyBorder="1" applyProtection="1">
      <protection locked="0"/>
    </xf>
    <xf numFmtId="0" fontId="2" fillId="19" borderId="62" xfId="0" applyFont="1" applyFill="1" applyBorder="1" applyAlignment="1" applyProtection="1">
      <alignment horizontal="center"/>
      <protection locked="0"/>
    </xf>
    <xf numFmtId="0" fontId="2" fillId="19" borderId="79" xfId="0" applyFont="1" applyFill="1" applyBorder="1" applyProtection="1">
      <protection locked="0"/>
    </xf>
    <xf numFmtId="165" fontId="2" fillId="19" borderId="0" xfId="0" applyNumberFormat="1" applyFont="1" applyFill="1" applyAlignment="1" applyProtection="1">
      <alignment horizontal="center"/>
      <protection locked="0"/>
    </xf>
    <xf numFmtId="165" fontId="2" fillId="19" borderId="0" xfId="0" applyNumberFormat="1" applyFont="1" applyFill="1" applyProtection="1">
      <protection locked="0"/>
    </xf>
    <xf numFmtId="0" fontId="2" fillId="19" borderId="17" xfId="0" applyFont="1" applyFill="1" applyBorder="1" applyProtection="1">
      <protection locked="0"/>
    </xf>
    <xf numFmtId="0" fontId="2" fillId="19" borderId="51" xfId="0" applyFont="1" applyFill="1" applyBorder="1" applyProtection="1">
      <protection locked="0"/>
    </xf>
    <xf numFmtId="0" fontId="2" fillId="19" borderId="52" xfId="0" applyFont="1" applyFill="1" applyBorder="1" applyAlignment="1" applyProtection="1">
      <alignment horizontal="center"/>
      <protection locked="0"/>
    </xf>
    <xf numFmtId="0" fontId="2" fillId="19" borderId="16" xfId="0" applyFont="1" applyFill="1" applyBorder="1" applyProtection="1">
      <protection locked="0"/>
    </xf>
    <xf numFmtId="0" fontId="2" fillId="19" borderId="21" xfId="0" applyFont="1" applyFill="1" applyBorder="1" applyAlignment="1" applyProtection="1">
      <alignment horizontal="center"/>
      <protection locked="0"/>
    </xf>
    <xf numFmtId="0" fontId="2" fillId="19" borderId="6" xfId="0" applyFont="1" applyFill="1" applyBorder="1" applyAlignment="1" applyProtection="1">
      <alignment horizontal="center"/>
      <protection locked="0"/>
    </xf>
    <xf numFmtId="0" fontId="56" fillId="19" borderId="8" xfId="0" applyFont="1" applyFill="1" applyBorder="1" applyAlignment="1" applyProtection="1">
      <alignment horizontal="center" wrapText="1"/>
      <protection locked="0"/>
    </xf>
    <xf numFmtId="165" fontId="2" fillId="19" borderId="8" xfId="0" applyNumberFormat="1" applyFont="1" applyFill="1" applyBorder="1" applyAlignment="1" applyProtection="1">
      <alignment horizontal="center"/>
      <protection locked="0"/>
    </xf>
    <xf numFmtId="0" fontId="2" fillId="19" borderId="17" xfId="0" applyFont="1" applyFill="1" applyBorder="1" applyAlignment="1" applyProtection="1">
      <alignment horizontal="left"/>
      <protection locked="0"/>
    </xf>
    <xf numFmtId="1" fontId="2" fillId="19" borderId="78" xfId="0" applyNumberFormat="1" applyFont="1" applyFill="1" applyBorder="1" applyAlignment="1" applyProtection="1">
      <alignment horizontal="center"/>
      <protection locked="0"/>
    </xf>
    <xf numFmtId="1" fontId="2" fillId="19" borderId="62" xfId="0" applyNumberFormat="1" applyFont="1" applyFill="1" applyBorder="1" applyAlignment="1" applyProtection="1">
      <alignment horizontal="center"/>
      <protection locked="0"/>
    </xf>
    <xf numFmtId="1" fontId="2" fillId="19" borderId="19" xfId="0" applyNumberFormat="1" applyFont="1" applyFill="1" applyBorder="1" applyAlignment="1" applyProtection="1">
      <alignment horizontal="center"/>
      <protection locked="0"/>
    </xf>
    <xf numFmtId="1" fontId="2" fillId="19" borderId="17" xfId="0" applyNumberFormat="1" applyFont="1" applyFill="1" applyBorder="1" applyAlignment="1" applyProtection="1">
      <alignment horizontal="center"/>
      <protection locked="0"/>
    </xf>
    <xf numFmtId="1" fontId="2" fillId="19" borderId="0" xfId="0" applyNumberFormat="1" applyFont="1" applyFill="1" applyAlignment="1" applyProtection="1">
      <alignment horizontal="center"/>
      <protection locked="0"/>
    </xf>
    <xf numFmtId="1" fontId="2" fillId="19" borderId="8" xfId="0" applyNumberFormat="1" applyFont="1" applyFill="1" applyBorder="1" applyAlignment="1" applyProtection="1">
      <alignment horizontal="center"/>
      <protection locked="0"/>
    </xf>
    <xf numFmtId="1" fontId="2" fillId="19" borderId="21" xfId="0" applyNumberFormat="1" applyFont="1" applyFill="1" applyBorder="1" applyAlignment="1" applyProtection="1">
      <alignment horizontal="center"/>
      <protection locked="0"/>
    </xf>
    <xf numFmtId="1" fontId="2" fillId="19" borderId="60" xfId="0" applyNumberFormat="1" applyFont="1" applyFill="1" applyBorder="1" applyAlignment="1" applyProtection="1">
      <alignment horizontal="center"/>
      <protection locked="0"/>
    </xf>
    <xf numFmtId="1" fontId="2" fillId="19" borderId="61" xfId="0" applyNumberFormat="1" applyFont="1" applyFill="1" applyBorder="1" applyAlignment="1" applyProtection="1">
      <alignment horizontal="center"/>
      <protection locked="0"/>
    </xf>
    <xf numFmtId="1" fontId="2" fillId="9" borderId="0" xfId="0" applyNumberFormat="1" applyFont="1" applyFill="1" applyAlignment="1" applyProtection="1">
      <alignment horizontal="center"/>
      <protection locked="0"/>
    </xf>
    <xf numFmtId="1" fontId="2" fillId="9" borderId="8" xfId="0" applyNumberFormat="1" applyFont="1" applyFill="1" applyBorder="1" applyAlignment="1" applyProtection="1">
      <alignment horizontal="center"/>
      <protection locked="0"/>
    </xf>
    <xf numFmtId="1" fontId="2" fillId="9" borderId="10" xfId="0" applyNumberFormat="1" applyFont="1" applyFill="1" applyBorder="1" applyAlignment="1" applyProtection="1">
      <alignment horizontal="center"/>
      <protection locked="0"/>
    </xf>
    <xf numFmtId="1" fontId="2" fillId="9" borderId="11" xfId="0" applyNumberFormat="1" applyFont="1" applyFill="1" applyBorder="1" applyAlignment="1" applyProtection="1">
      <alignment horizontal="center"/>
      <protection locked="0"/>
    </xf>
    <xf numFmtId="0" fontId="2" fillId="6" borderId="7" xfId="0" applyFont="1" applyFill="1" applyBorder="1" applyAlignment="1" applyProtection="1">
      <alignment horizontal="center"/>
      <protection locked="0"/>
    </xf>
    <xf numFmtId="0" fontId="2" fillId="19" borderId="78" xfId="0" applyFont="1" applyFill="1" applyBorder="1" applyProtection="1">
      <protection locked="0"/>
    </xf>
    <xf numFmtId="0" fontId="2" fillId="19" borderId="62" xfId="0" applyFont="1" applyFill="1" applyBorder="1" applyProtection="1">
      <protection locked="0"/>
    </xf>
    <xf numFmtId="0" fontId="2" fillId="19" borderId="50" xfId="0" applyFont="1" applyFill="1" applyBorder="1" applyProtection="1">
      <protection locked="0"/>
    </xf>
    <xf numFmtId="165" fontId="2" fillId="19" borderId="60" xfId="0" applyNumberFormat="1" applyFont="1" applyFill="1" applyBorder="1" applyProtection="1">
      <protection locked="0"/>
    </xf>
    <xf numFmtId="2" fontId="2" fillId="19" borderId="78" xfId="0" applyNumberFormat="1" applyFont="1" applyFill="1" applyBorder="1" applyAlignment="1" applyProtection="1">
      <alignment horizontal="center"/>
      <protection locked="0"/>
    </xf>
    <xf numFmtId="2" fontId="2" fillId="19" borderId="62" xfId="0" applyNumberFormat="1" applyFont="1" applyFill="1" applyBorder="1" applyAlignment="1" applyProtection="1">
      <alignment horizontal="center"/>
      <protection locked="0"/>
    </xf>
    <xf numFmtId="2" fontId="2" fillId="19" borderId="79" xfId="0" applyNumberFormat="1" applyFont="1" applyFill="1" applyBorder="1" applyAlignment="1" applyProtection="1">
      <alignment horizontal="center"/>
      <protection locked="0"/>
    </xf>
    <xf numFmtId="2" fontId="2" fillId="19" borderId="17" xfId="0" applyNumberFormat="1" applyFont="1" applyFill="1" applyBorder="1" applyAlignment="1" applyProtection="1">
      <alignment horizontal="center"/>
      <protection locked="0"/>
    </xf>
    <xf numFmtId="2" fontId="2" fillId="19" borderId="50" xfId="0" applyNumberFormat="1" applyFont="1" applyFill="1" applyBorder="1" applyAlignment="1" applyProtection="1">
      <alignment horizontal="center"/>
      <protection locked="0"/>
    </xf>
    <xf numFmtId="2" fontId="2" fillId="19" borderId="21" xfId="0" applyNumberFormat="1" applyFont="1" applyFill="1" applyBorder="1" applyAlignment="1" applyProtection="1">
      <alignment horizontal="center"/>
      <protection locked="0"/>
    </xf>
    <xf numFmtId="2" fontId="2" fillId="19" borderId="60" xfId="0" applyNumberFormat="1" applyFont="1" applyFill="1" applyBorder="1" applyAlignment="1" applyProtection="1">
      <alignment horizontal="center"/>
      <protection locked="0"/>
    </xf>
    <xf numFmtId="2" fontId="2" fillId="19" borderId="77" xfId="0" applyNumberFormat="1" applyFont="1" applyFill="1" applyBorder="1" applyAlignment="1" applyProtection="1">
      <alignment horizontal="center"/>
      <protection locked="0"/>
    </xf>
    <xf numFmtId="165" fontId="2" fillId="19" borderId="5" xfId="0" applyNumberFormat="1" applyFont="1" applyFill="1" applyBorder="1" applyProtection="1">
      <protection locked="0"/>
    </xf>
    <xf numFmtId="0" fontId="2" fillId="19" borderId="61" xfId="0" applyFont="1" applyFill="1" applyBorder="1" applyProtection="1">
      <protection locked="0"/>
    </xf>
    <xf numFmtId="0" fontId="2" fillId="19" borderId="5" xfId="0" applyFont="1" applyFill="1" applyBorder="1" applyAlignment="1" applyProtection="1">
      <alignment horizontal="left"/>
      <protection locked="0"/>
    </xf>
    <xf numFmtId="0" fontId="2" fillId="19" borderId="16" xfId="0" applyFont="1" applyFill="1" applyBorder="1" applyAlignment="1" applyProtection="1">
      <alignment horizontal="left"/>
      <protection locked="0"/>
    </xf>
    <xf numFmtId="0" fontId="2" fillId="19" borderId="0" xfId="0" applyFont="1" applyFill="1" applyAlignment="1" applyProtection="1">
      <alignment horizontal="left"/>
      <protection locked="0"/>
    </xf>
    <xf numFmtId="0" fontId="2" fillId="19" borderId="10" xfId="0" applyFont="1" applyFill="1" applyBorder="1" applyAlignment="1" applyProtection="1">
      <alignment horizontal="left"/>
      <protection locked="0"/>
    </xf>
    <xf numFmtId="0" fontId="2" fillId="19" borderId="51" xfId="0" applyFont="1" applyFill="1" applyBorder="1" applyAlignment="1" applyProtection="1">
      <alignment horizontal="left"/>
      <protection locked="0"/>
    </xf>
    <xf numFmtId="167" fontId="2" fillId="19" borderId="8" xfId="2" applyNumberFormat="1" applyFont="1" applyFill="1" applyBorder="1" applyProtection="1">
      <protection locked="0"/>
    </xf>
    <xf numFmtId="1" fontId="2" fillId="19" borderId="78" xfId="0" applyNumberFormat="1" applyFont="1" applyFill="1" applyBorder="1" applyProtection="1">
      <protection locked="0"/>
    </xf>
    <xf numFmtId="1" fontId="2" fillId="19" borderId="62" xfId="0" applyNumberFormat="1" applyFont="1" applyFill="1" applyBorder="1" applyProtection="1">
      <protection locked="0"/>
    </xf>
    <xf numFmtId="1" fontId="2" fillId="19" borderId="79" xfId="0" applyNumberFormat="1" applyFont="1" applyFill="1" applyBorder="1" applyProtection="1">
      <protection locked="0"/>
    </xf>
    <xf numFmtId="1" fontId="2" fillId="19" borderId="17" xfId="0" applyNumberFormat="1" applyFont="1" applyFill="1" applyBorder="1" applyProtection="1">
      <protection locked="0"/>
    </xf>
    <xf numFmtId="1" fontId="2" fillId="19" borderId="0" xfId="0" applyNumberFormat="1" applyFont="1" applyFill="1" applyProtection="1">
      <protection locked="0"/>
    </xf>
    <xf numFmtId="1" fontId="2" fillId="19" borderId="50" xfId="0" applyNumberFormat="1" applyFont="1" applyFill="1" applyBorder="1" applyProtection="1">
      <protection locked="0"/>
    </xf>
    <xf numFmtId="1" fontId="2" fillId="19" borderId="21" xfId="0" applyNumberFormat="1" applyFont="1" applyFill="1" applyBorder="1" applyProtection="1">
      <protection locked="0"/>
    </xf>
    <xf numFmtId="1" fontId="2" fillId="19" borderId="60" xfId="0" applyNumberFormat="1" applyFont="1" applyFill="1" applyBorder="1" applyProtection="1">
      <protection locked="0"/>
    </xf>
    <xf numFmtId="1" fontId="2" fillId="19" borderId="77" xfId="0" applyNumberFormat="1" applyFont="1" applyFill="1" applyBorder="1" applyProtection="1">
      <protection locked="0"/>
    </xf>
    <xf numFmtId="166" fontId="2" fillId="19" borderId="78" xfId="0" applyNumberFormat="1" applyFont="1" applyFill="1" applyBorder="1" applyProtection="1">
      <protection locked="0"/>
    </xf>
    <xf numFmtId="166" fontId="2" fillId="19" borderId="62" xfId="0" applyNumberFormat="1" applyFont="1" applyFill="1" applyBorder="1" applyProtection="1">
      <protection locked="0"/>
    </xf>
    <xf numFmtId="166" fontId="2" fillId="19" borderId="21" xfId="0" applyNumberFormat="1" applyFont="1" applyFill="1" applyBorder="1" applyProtection="1">
      <protection locked="0"/>
    </xf>
    <xf numFmtId="166" fontId="2" fillId="19" borderId="60" xfId="0" applyNumberFormat="1" applyFont="1" applyFill="1" applyBorder="1" applyProtection="1">
      <protection locked="0"/>
    </xf>
    <xf numFmtId="2" fontId="2" fillId="19" borderId="77" xfId="0" applyNumberFormat="1" applyFont="1" applyFill="1" applyBorder="1" applyProtection="1">
      <protection locked="0"/>
    </xf>
    <xf numFmtId="0" fontId="2" fillId="17" borderId="8" xfId="0" applyFont="1" applyFill="1" applyBorder="1" applyAlignment="1" applyProtection="1">
      <alignment horizontal="center"/>
      <protection locked="0"/>
    </xf>
    <xf numFmtId="165" fontId="2" fillId="19" borderId="61" xfId="0" applyNumberFormat="1" applyFont="1" applyFill="1" applyBorder="1" applyAlignment="1" applyProtection="1">
      <alignment horizontal="center"/>
      <protection locked="0"/>
    </xf>
    <xf numFmtId="0" fontId="2" fillId="6" borderId="15" xfId="0" applyFont="1" applyFill="1" applyBorder="1" applyProtection="1">
      <protection locked="0"/>
    </xf>
    <xf numFmtId="0" fontId="2" fillId="19" borderId="13" xfId="0" applyFont="1" applyFill="1" applyBorder="1" applyProtection="1">
      <protection locked="0"/>
    </xf>
    <xf numFmtId="0" fontId="2" fillId="19" borderId="13" xfId="0" applyFont="1" applyFill="1" applyBorder="1" applyAlignment="1" applyProtection="1">
      <alignment horizontal="center"/>
      <protection locked="0"/>
    </xf>
    <xf numFmtId="1" fontId="2" fillId="17" borderId="0" xfId="0" applyNumberFormat="1" applyFont="1" applyFill="1" applyAlignment="1" applyProtection="1">
      <alignment horizontal="center"/>
      <protection locked="0"/>
    </xf>
    <xf numFmtId="1" fontId="2" fillId="17" borderId="8" xfId="0" applyNumberFormat="1" applyFont="1" applyFill="1" applyBorder="1" applyAlignment="1" applyProtection="1">
      <alignment horizontal="center"/>
      <protection locked="0"/>
    </xf>
    <xf numFmtId="1" fontId="2" fillId="17" borderId="10" xfId="0" applyNumberFormat="1" applyFont="1" applyFill="1" applyBorder="1" applyAlignment="1" applyProtection="1">
      <alignment horizontal="center"/>
      <protection locked="0"/>
    </xf>
    <xf numFmtId="1" fontId="2" fillId="17" borderId="11" xfId="0" applyNumberFormat="1" applyFont="1" applyFill="1" applyBorder="1" applyAlignment="1" applyProtection="1">
      <alignment horizontal="center"/>
      <protection locked="0"/>
    </xf>
    <xf numFmtId="1" fontId="2" fillId="17" borderId="0" xfId="0" applyNumberFormat="1" applyFont="1" applyFill="1" applyProtection="1">
      <protection locked="0"/>
    </xf>
    <xf numFmtId="165" fontId="2" fillId="17" borderId="10" xfId="0" applyNumberFormat="1" applyFont="1" applyFill="1" applyBorder="1" applyProtection="1">
      <protection locked="0"/>
    </xf>
    <xf numFmtId="165" fontId="0" fillId="9" borderId="6" xfId="0" applyNumberFormat="1" applyFill="1" applyBorder="1" applyProtection="1">
      <protection locked="0"/>
    </xf>
    <xf numFmtId="0" fontId="10" fillId="0" borderId="0" xfId="0" applyFont="1" applyAlignment="1" applyProtection="1">
      <alignment horizontal="right" vertical="center" wrapText="1"/>
      <protection hidden="1"/>
    </xf>
    <xf numFmtId="1" fontId="22" fillId="0" borderId="20" xfId="0" applyNumberFormat="1" applyFont="1" applyBorder="1" applyAlignment="1" applyProtection="1">
      <alignment horizontal="right" vertical="center"/>
      <protection hidden="1"/>
    </xf>
    <xf numFmtId="0" fontId="22" fillId="0" borderId="60" xfId="0" applyFont="1" applyBorder="1" applyAlignment="1" applyProtection="1">
      <alignment vertical="center"/>
      <protection hidden="1"/>
    </xf>
    <xf numFmtId="0" fontId="22" fillId="0" borderId="60" xfId="0" applyFont="1" applyBorder="1" applyAlignment="1" applyProtection="1">
      <alignment horizontal="right" vertical="center"/>
      <protection hidden="1"/>
    </xf>
    <xf numFmtId="0" fontId="22" fillId="0" borderId="60" xfId="0" applyFont="1" applyBorder="1" applyAlignment="1" applyProtection="1">
      <alignment horizontal="left" vertical="center"/>
      <protection hidden="1"/>
    </xf>
    <xf numFmtId="0" fontId="22" fillId="0" borderId="4" xfId="0" applyFont="1" applyBorder="1" applyAlignment="1" applyProtection="1">
      <alignment horizontal="left" vertical="center"/>
      <protection hidden="1"/>
    </xf>
    <xf numFmtId="0" fontId="22" fillId="0" borderId="5" xfId="0" applyFont="1" applyBorder="1" applyAlignment="1" applyProtection="1">
      <alignment horizontal="left" vertical="center"/>
      <protection hidden="1"/>
    </xf>
    <xf numFmtId="0" fontId="22" fillId="0" borderId="5" xfId="0" applyFont="1" applyBorder="1" applyAlignment="1" applyProtection="1">
      <alignment horizontal="center" vertical="center"/>
      <protection hidden="1"/>
    </xf>
    <xf numFmtId="0" fontId="22" fillId="0" borderId="7"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164" fontId="22" fillId="0" borderId="7" xfId="9" applyFont="1" applyFill="1" applyBorder="1" applyAlignment="1" applyProtection="1">
      <alignment horizontal="left" vertical="center"/>
      <protection hidden="1"/>
    </xf>
    <xf numFmtId="164" fontId="22" fillId="0" borderId="0" xfId="9" applyFont="1" applyFill="1" applyBorder="1" applyAlignment="1" applyProtection="1">
      <alignment horizontal="left" vertical="center"/>
      <protection hidden="1"/>
    </xf>
    <xf numFmtId="164" fontId="22" fillId="0" borderId="9" xfId="9" applyFont="1" applyFill="1" applyBorder="1" applyAlignment="1" applyProtection="1">
      <alignment horizontal="right" vertical="center"/>
      <protection hidden="1"/>
    </xf>
    <xf numFmtId="164" fontId="22" fillId="0" borderId="10" xfId="9" applyFont="1" applyFill="1" applyBorder="1" applyAlignment="1" applyProtection="1">
      <alignment horizontal="right" vertical="center"/>
      <protection hidden="1"/>
    </xf>
    <xf numFmtId="0" fontId="22" fillId="0" borderId="10" xfId="0" applyFont="1" applyBorder="1" applyAlignment="1" applyProtection="1">
      <alignment horizontal="center" vertical="center"/>
      <protection hidden="1"/>
    </xf>
    <xf numFmtId="1" fontId="22" fillId="0" borderId="62" xfId="0" applyNumberFormat="1" applyFont="1" applyBorder="1" applyAlignment="1" applyProtection="1">
      <alignment horizontal="right" vertical="center"/>
      <protection hidden="1"/>
    </xf>
    <xf numFmtId="1" fontId="22" fillId="0" borderId="60" xfId="0" applyNumberFormat="1" applyFont="1" applyBorder="1" applyAlignment="1" applyProtection="1">
      <alignment horizontal="right" vertical="center"/>
      <protection hidden="1"/>
    </xf>
    <xf numFmtId="1" fontId="22" fillId="0" borderId="60" xfId="0" applyNumberFormat="1" applyFont="1" applyBorder="1" applyAlignment="1" applyProtection="1">
      <alignment horizontal="left" vertical="center"/>
      <protection hidden="1"/>
    </xf>
    <xf numFmtId="1" fontId="22" fillId="0" borderId="61" xfId="0" applyNumberFormat="1" applyFont="1" applyBorder="1" applyAlignment="1" applyProtection="1">
      <alignment horizontal="right" vertical="center"/>
      <protection hidden="1"/>
    </xf>
    <xf numFmtId="0" fontId="10" fillId="0" borderId="0" xfId="0" applyFont="1" applyAlignment="1" applyProtection="1">
      <alignment horizontal="left" vertical="center" wrapText="1"/>
      <protection hidden="1"/>
    </xf>
    <xf numFmtId="0" fontId="10" fillId="0" borderId="0" xfId="0" applyFont="1" applyAlignment="1">
      <alignment vertical="center" wrapText="1"/>
    </xf>
    <xf numFmtId="2" fontId="38" fillId="12" borderId="5" xfId="0" applyNumberFormat="1" applyFont="1" applyFill="1" applyBorder="1" applyAlignment="1" applyProtection="1">
      <alignment horizontal="right" vertical="center"/>
      <protection hidden="1"/>
    </xf>
    <xf numFmtId="0" fontId="44" fillId="12" borderId="1" xfId="0" applyFont="1" applyFill="1" applyBorder="1" applyAlignment="1" applyProtection="1">
      <alignment vertical="center"/>
      <protection hidden="1"/>
    </xf>
    <xf numFmtId="0" fontId="44" fillId="12" borderId="3" xfId="0" applyFont="1" applyFill="1" applyBorder="1" applyAlignment="1" applyProtection="1">
      <alignment vertical="center"/>
      <protection hidden="1"/>
    </xf>
    <xf numFmtId="0" fontId="27" fillId="12" borderId="3" xfId="0" applyFont="1" applyFill="1" applyBorder="1" applyAlignment="1" applyProtection="1">
      <alignment horizontal="left" vertical="center"/>
      <protection hidden="1"/>
    </xf>
    <xf numFmtId="2" fontId="27" fillId="12" borderId="3" xfId="0" applyNumberFormat="1" applyFont="1" applyFill="1" applyBorder="1" applyAlignment="1" applyProtection="1">
      <alignment horizontal="right" vertical="center"/>
      <protection hidden="1"/>
    </xf>
    <xf numFmtId="0" fontId="44" fillId="0" borderId="0" xfId="0" applyFont="1" applyAlignment="1" applyProtection="1">
      <alignment horizontal="right" vertical="center"/>
      <protection hidden="1"/>
    </xf>
    <xf numFmtId="0" fontId="28" fillId="0" borderId="0" xfId="0" applyFont="1" applyAlignment="1" applyProtection="1">
      <alignment vertical="center"/>
      <protection hidden="1"/>
    </xf>
    <xf numFmtId="2" fontId="22" fillId="0" borderId="23" xfId="0" applyNumberFormat="1" applyFont="1" applyBorder="1" applyAlignment="1" applyProtection="1">
      <alignment vertical="center"/>
      <protection hidden="1"/>
    </xf>
    <xf numFmtId="2" fontId="22" fillId="0" borderId="63" xfId="0" applyNumberFormat="1" applyFont="1" applyBorder="1" applyAlignment="1" applyProtection="1">
      <alignment vertical="center"/>
      <protection hidden="1"/>
    </xf>
    <xf numFmtId="1" fontId="22" fillId="0" borderId="63" xfId="0" applyNumberFormat="1" applyFont="1" applyBorder="1" applyAlignment="1" applyProtection="1">
      <alignment horizontal="left" vertical="center"/>
      <protection hidden="1"/>
    </xf>
    <xf numFmtId="1" fontId="22" fillId="0" borderId="63" xfId="0" applyNumberFormat="1" applyFont="1" applyBorder="1" applyAlignment="1" applyProtection="1">
      <alignment horizontal="right" vertical="center"/>
      <protection hidden="1"/>
    </xf>
    <xf numFmtId="0" fontId="22" fillId="0" borderId="24" xfId="0" applyFont="1" applyBorder="1" applyAlignment="1" applyProtection="1">
      <alignment horizontal="left" vertical="center"/>
      <protection hidden="1"/>
    </xf>
    <xf numFmtId="0" fontId="22" fillId="0" borderId="6" xfId="0" applyFont="1" applyBorder="1" applyAlignment="1" applyProtection="1">
      <alignment horizontal="center" vertical="center"/>
      <protection hidden="1"/>
    </xf>
    <xf numFmtId="0" fontId="22" fillId="0" borderId="0" xfId="0" applyFont="1" applyAlignment="1" applyProtection="1">
      <alignment vertical="center"/>
      <protection hidden="1"/>
    </xf>
    <xf numFmtId="2" fontId="22" fillId="0" borderId="40" xfId="0" applyNumberFormat="1" applyFont="1" applyBorder="1" applyAlignment="1" applyProtection="1">
      <alignment vertical="center"/>
      <protection hidden="1"/>
    </xf>
    <xf numFmtId="2" fontId="22" fillId="0" borderId="26" xfId="0" applyNumberFormat="1" applyFont="1" applyBorder="1" applyAlignment="1" applyProtection="1">
      <alignment vertical="center"/>
      <protection hidden="1"/>
    </xf>
    <xf numFmtId="1" fontId="22" fillId="0" borderId="26" xfId="0" applyNumberFormat="1" applyFont="1" applyBorder="1" applyAlignment="1" applyProtection="1">
      <alignment horizontal="left" vertical="center"/>
      <protection hidden="1"/>
    </xf>
    <xf numFmtId="1" fontId="22" fillId="0" borderId="26" xfId="0" applyNumberFormat="1" applyFont="1" applyBorder="1" applyAlignment="1" applyProtection="1">
      <alignment horizontal="right" vertical="center"/>
      <protection hidden="1"/>
    </xf>
    <xf numFmtId="0" fontId="22" fillId="0" borderId="80" xfId="0" applyFont="1" applyBorder="1" applyAlignment="1" applyProtection="1">
      <alignment horizontal="left" vertical="center"/>
      <protection hidden="1"/>
    </xf>
    <xf numFmtId="0" fontId="22" fillId="0" borderId="8" xfId="0" applyFont="1" applyBorder="1" applyAlignment="1" applyProtection="1">
      <alignment horizontal="center" vertical="center"/>
      <protection hidden="1"/>
    </xf>
    <xf numFmtId="0" fontId="22" fillId="0" borderId="40" xfId="2" applyNumberFormat="1" applyFont="1" applyFill="1" applyBorder="1" applyAlignment="1" applyProtection="1">
      <alignment vertical="center"/>
      <protection hidden="1"/>
    </xf>
    <xf numFmtId="0" fontId="22" fillId="0" borderId="26" xfId="2" applyNumberFormat="1" applyFont="1" applyFill="1" applyBorder="1" applyAlignment="1" applyProtection="1">
      <alignment vertical="center"/>
      <protection hidden="1"/>
    </xf>
    <xf numFmtId="0" fontId="22" fillId="0" borderId="26" xfId="0" applyFont="1" applyBorder="1" applyAlignment="1" applyProtection="1">
      <alignment horizontal="left" vertical="center"/>
      <protection hidden="1"/>
    </xf>
    <xf numFmtId="0" fontId="22" fillId="0" borderId="26" xfId="0" applyFont="1" applyBorder="1" applyAlignment="1" applyProtection="1">
      <alignment horizontal="right" vertical="center"/>
      <protection hidden="1"/>
    </xf>
    <xf numFmtId="164" fontId="22" fillId="0" borderId="80" xfId="9" applyFont="1" applyFill="1" applyBorder="1" applyAlignment="1" applyProtection="1">
      <alignment horizontal="left" vertical="center"/>
      <protection hidden="1"/>
    </xf>
    <xf numFmtId="0" fontId="22" fillId="0" borderId="18" xfId="2" applyNumberFormat="1" applyFont="1" applyFill="1" applyBorder="1" applyAlignment="1" applyProtection="1">
      <alignment vertical="center"/>
      <protection hidden="1"/>
    </xf>
    <xf numFmtId="0" fontId="22" fillId="0" borderId="62" xfId="2" applyNumberFormat="1" applyFont="1" applyFill="1" applyBorder="1" applyAlignment="1" applyProtection="1">
      <alignment vertical="center"/>
      <protection hidden="1"/>
    </xf>
    <xf numFmtId="0" fontId="22" fillId="0" borderId="62" xfId="0" applyFont="1" applyBorder="1" applyAlignment="1" applyProtection="1">
      <alignment horizontal="left" vertical="center"/>
      <protection hidden="1"/>
    </xf>
    <xf numFmtId="0" fontId="22" fillId="0" borderId="62" xfId="0" applyFont="1" applyBorder="1" applyAlignment="1" applyProtection="1">
      <alignment horizontal="right" vertical="center"/>
      <protection hidden="1"/>
    </xf>
    <xf numFmtId="164" fontId="22" fillId="0" borderId="19" xfId="9" applyFont="1" applyFill="1" applyBorder="1" applyAlignment="1" applyProtection="1">
      <alignment horizontal="left" vertical="center"/>
      <protection hidden="1"/>
    </xf>
    <xf numFmtId="49" fontId="22" fillId="0" borderId="18" xfId="2" applyNumberFormat="1" applyFont="1" applyFill="1" applyBorder="1" applyAlignment="1" applyProtection="1">
      <alignment vertical="center"/>
      <protection hidden="1"/>
    </xf>
    <xf numFmtId="49" fontId="22" fillId="0" borderId="62" xfId="2" applyNumberFormat="1" applyFont="1" applyFill="1" applyBorder="1" applyAlignment="1" applyProtection="1">
      <alignment vertical="center"/>
      <protection hidden="1"/>
    </xf>
    <xf numFmtId="165" fontId="22" fillId="0" borderId="62" xfId="0" applyNumberFormat="1" applyFont="1" applyBorder="1" applyAlignment="1" applyProtection="1">
      <alignment horizontal="left" vertical="center"/>
      <protection hidden="1"/>
    </xf>
    <xf numFmtId="165" fontId="22" fillId="0" borderId="62" xfId="0" applyNumberFormat="1" applyFont="1" applyBorder="1" applyAlignment="1" applyProtection="1">
      <alignment horizontal="right" vertical="center"/>
      <protection hidden="1"/>
    </xf>
    <xf numFmtId="2" fontId="22" fillId="0" borderId="62" xfId="0" applyNumberFormat="1" applyFont="1" applyBorder="1" applyAlignment="1" applyProtection="1">
      <alignment horizontal="right" vertical="center"/>
      <protection hidden="1"/>
    </xf>
    <xf numFmtId="0" fontId="22" fillId="0" borderId="11" xfId="0" applyFont="1" applyBorder="1" applyAlignment="1" applyProtection="1">
      <alignment horizontal="center" vertical="center"/>
      <protection hidden="1"/>
    </xf>
    <xf numFmtId="0" fontId="38" fillId="12" borderId="5" xfId="0" applyFont="1" applyFill="1" applyBorder="1" applyAlignment="1" applyProtection="1">
      <alignment horizontal="left" vertical="center"/>
      <protection hidden="1"/>
    </xf>
    <xf numFmtId="0" fontId="38" fillId="12" borderId="5" xfId="0" applyFont="1" applyFill="1" applyBorder="1" applyAlignment="1" applyProtection="1">
      <alignment vertical="center"/>
      <protection hidden="1"/>
    </xf>
    <xf numFmtId="0" fontId="38" fillId="12" borderId="6" xfId="0" applyFont="1" applyFill="1" applyBorder="1" applyAlignment="1" applyProtection="1">
      <alignment horizontal="left" vertical="center"/>
      <protection hidden="1"/>
    </xf>
    <xf numFmtId="0" fontId="38" fillId="0" borderId="0" xfId="0" applyFont="1" applyAlignment="1" applyProtection="1">
      <alignment horizontal="left" vertical="center"/>
      <protection hidden="1"/>
    </xf>
    <xf numFmtId="0" fontId="38" fillId="0" borderId="0" xfId="0" applyFont="1" applyAlignment="1" applyProtection="1">
      <alignment vertical="center"/>
      <protection hidden="1"/>
    </xf>
    <xf numFmtId="0" fontId="62" fillId="0" borderId="7" xfId="0" applyFont="1" applyBorder="1" applyAlignment="1" applyProtection="1">
      <alignment vertical="center"/>
      <protection hidden="1"/>
    </xf>
    <xf numFmtId="0" fontId="62"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10" fillId="0" borderId="78" xfId="0" applyFont="1" applyBorder="1" applyAlignment="1" applyProtection="1">
      <alignment horizontal="center" vertical="center"/>
      <protection hidden="1"/>
    </xf>
    <xf numFmtId="0" fontId="10" fillId="0" borderId="62" xfId="0" applyFont="1" applyBorder="1" applyAlignment="1" applyProtection="1">
      <alignment horizontal="center" vertical="center"/>
      <protection hidden="1"/>
    </xf>
    <xf numFmtId="0" fontId="10" fillId="0" borderId="79" xfId="0" applyFont="1" applyBorder="1" applyAlignment="1" applyProtection="1">
      <alignment horizontal="center" vertical="center"/>
      <protection hidden="1"/>
    </xf>
    <xf numFmtId="0" fontId="10" fillId="0" borderId="19" xfId="0" applyFont="1" applyBorder="1" applyAlignment="1" applyProtection="1">
      <alignment horizontal="center" vertical="center"/>
      <protection hidden="1"/>
    </xf>
    <xf numFmtId="0" fontId="62" fillId="0" borderId="0" xfId="0" applyFont="1" applyAlignment="1" applyProtection="1">
      <alignment horizontal="center" vertical="center"/>
      <protection hidden="1"/>
    </xf>
    <xf numFmtId="0" fontId="62" fillId="13" borderId="26" xfId="0" applyFont="1" applyFill="1" applyBorder="1" applyAlignment="1" applyProtection="1">
      <alignment vertical="center"/>
      <protection hidden="1"/>
    </xf>
    <xf numFmtId="0" fontId="62" fillId="13" borderId="25" xfId="0" applyFont="1" applyFill="1" applyBorder="1" applyAlignment="1" applyProtection="1">
      <alignment horizontal="center" vertical="center"/>
      <protection hidden="1"/>
    </xf>
    <xf numFmtId="0" fontId="62" fillId="13" borderId="26" xfId="0" applyFont="1" applyFill="1" applyBorder="1" applyAlignment="1" applyProtection="1">
      <alignment horizontal="center" vertical="center"/>
      <protection hidden="1"/>
    </xf>
    <xf numFmtId="2" fontId="62" fillId="13" borderId="35" xfId="0" applyNumberFormat="1" applyFont="1" applyFill="1" applyBorder="1" applyAlignment="1" applyProtection="1">
      <alignment horizontal="center" vertical="center"/>
      <protection hidden="1"/>
    </xf>
    <xf numFmtId="2" fontId="62" fillId="13" borderId="25" xfId="0" applyNumberFormat="1" applyFont="1" applyFill="1" applyBorder="1" applyAlignment="1" applyProtection="1">
      <alignment horizontal="center" vertical="center"/>
      <protection hidden="1"/>
    </xf>
    <xf numFmtId="2" fontId="62" fillId="13" borderId="26" xfId="0" applyNumberFormat="1" applyFont="1" applyFill="1" applyBorder="1" applyAlignment="1" applyProtection="1">
      <alignment horizontal="center" vertical="center"/>
      <protection hidden="1"/>
    </xf>
    <xf numFmtId="0" fontId="62" fillId="13" borderId="35" xfId="0" applyFont="1" applyFill="1" applyBorder="1" applyAlignment="1" applyProtection="1">
      <alignment horizontal="center" vertical="center"/>
      <protection hidden="1"/>
    </xf>
    <xf numFmtId="0" fontId="62" fillId="13" borderId="80" xfId="0"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65" fontId="10" fillId="0" borderId="17" xfId="0" applyNumberFormat="1" applyFont="1" applyBorder="1" applyAlignment="1" applyProtection="1">
      <alignment horizontal="center" vertical="center"/>
      <protection hidden="1"/>
    </xf>
    <xf numFmtId="165" fontId="10" fillId="0" borderId="0" xfId="0" applyNumberFormat="1" applyFont="1" applyAlignment="1" applyProtection="1">
      <alignment horizontal="center" vertical="center"/>
      <protection hidden="1"/>
    </xf>
    <xf numFmtId="165" fontId="10" fillId="0" borderId="50" xfId="0" applyNumberFormat="1" applyFont="1" applyBorder="1" applyAlignment="1" applyProtection="1">
      <alignment horizontal="center" vertical="center"/>
      <protection hidden="1"/>
    </xf>
    <xf numFmtId="165" fontId="10" fillId="0" borderId="8" xfId="0" applyNumberFormat="1" applyFont="1" applyBorder="1" applyAlignment="1" applyProtection="1">
      <alignment horizontal="center" vertical="center"/>
      <protection hidden="1"/>
    </xf>
    <xf numFmtId="0" fontId="63" fillId="0" borderId="0" xfId="0" applyFont="1" applyAlignment="1" applyProtection="1">
      <alignment horizontal="right" vertical="center" wrapText="1"/>
      <protection hidden="1"/>
    </xf>
    <xf numFmtId="165" fontId="10" fillId="0" borderId="21" xfId="0" applyNumberFormat="1" applyFont="1" applyBorder="1" applyAlignment="1" applyProtection="1">
      <alignment horizontal="center" vertical="center"/>
      <protection hidden="1"/>
    </xf>
    <xf numFmtId="0" fontId="62" fillId="0" borderId="0" xfId="0" applyFont="1" applyAlignment="1" applyProtection="1">
      <alignment horizontal="right" vertical="center"/>
      <protection hidden="1"/>
    </xf>
    <xf numFmtId="2" fontId="10" fillId="0" borderId="17" xfId="0" applyNumberFormat="1" applyFont="1" applyBorder="1" applyAlignment="1" applyProtection="1">
      <alignment horizontal="center" vertical="center"/>
      <protection hidden="1"/>
    </xf>
    <xf numFmtId="2" fontId="10" fillId="0" borderId="0" xfId="0" applyNumberFormat="1" applyFont="1" applyAlignment="1" applyProtection="1">
      <alignment horizontal="center" vertical="center"/>
      <protection hidden="1"/>
    </xf>
    <xf numFmtId="2" fontId="10" fillId="0" borderId="50" xfId="0" applyNumberFormat="1" applyFont="1" applyBorder="1" applyAlignment="1" applyProtection="1">
      <alignment horizontal="center" vertical="center"/>
      <protection hidden="1"/>
    </xf>
    <xf numFmtId="2" fontId="10" fillId="0" borderId="8" xfId="0" applyNumberFormat="1" applyFont="1" applyBorder="1" applyAlignment="1" applyProtection="1">
      <alignment horizontal="center" vertical="center"/>
      <protection hidden="1"/>
    </xf>
    <xf numFmtId="2" fontId="62" fillId="0" borderId="0" xfId="0" applyNumberFormat="1" applyFont="1" applyAlignment="1" applyProtection="1">
      <alignment horizontal="right" vertical="center"/>
      <protection hidden="1"/>
    </xf>
    <xf numFmtId="1" fontId="63" fillId="0" borderId="17" xfId="0" applyNumberFormat="1" applyFont="1" applyBorder="1" applyAlignment="1" applyProtection="1">
      <alignment horizontal="center" vertical="center"/>
      <protection hidden="1"/>
    </xf>
    <xf numFmtId="1" fontId="63" fillId="0" borderId="0" xfId="0" applyNumberFormat="1" applyFont="1" applyAlignment="1" applyProtection="1">
      <alignment horizontal="center" vertical="center"/>
      <protection hidden="1"/>
    </xf>
    <xf numFmtId="1" fontId="63" fillId="0" borderId="50" xfId="0" applyNumberFormat="1" applyFont="1" applyBorder="1" applyAlignment="1" applyProtection="1">
      <alignment horizontal="center" vertical="center"/>
      <protection hidden="1"/>
    </xf>
    <xf numFmtId="1" fontId="63" fillId="0" borderId="8" xfId="0" applyNumberFormat="1" applyFont="1" applyBorder="1" applyAlignment="1" applyProtection="1">
      <alignment horizontal="center" vertical="center"/>
      <protection hidden="1"/>
    </xf>
    <xf numFmtId="1" fontId="10" fillId="0" borderId="17" xfId="0" applyNumberFormat="1" applyFont="1" applyBorder="1" applyAlignment="1" applyProtection="1">
      <alignment horizontal="center" vertical="center"/>
      <protection hidden="1"/>
    </xf>
    <xf numFmtId="1" fontId="10" fillId="0" borderId="0" xfId="0" applyNumberFormat="1" applyFont="1" applyAlignment="1" applyProtection="1">
      <alignment horizontal="center" vertical="center"/>
      <protection hidden="1"/>
    </xf>
    <xf numFmtId="1" fontId="10" fillId="0" borderId="50" xfId="0" applyNumberFormat="1" applyFont="1" applyBorder="1" applyAlignment="1" applyProtection="1">
      <alignment horizontal="center" vertical="center"/>
      <protection hidden="1"/>
    </xf>
    <xf numFmtId="1" fontId="10" fillId="0" borderId="8" xfId="0" applyNumberFormat="1" applyFont="1" applyBorder="1" applyAlignment="1" applyProtection="1">
      <alignment horizontal="center" vertical="center"/>
      <protection hidden="1"/>
    </xf>
    <xf numFmtId="2" fontId="62" fillId="0" borderId="0" xfId="0" applyNumberFormat="1" applyFont="1" applyAlignment="1" applyProtection="1">
      <alignment vertical="center"/>
      <protection hidden="1"/>
    </xf>
    <xf numFmtId="0" fontId="14" fillId="0" borderId="7" xfId="0" applyFont="1" applyBorder="1" applyAlignment="1" applyProtection="1">
      <alignment vertical="center"/>
      <protection hidden="1"/>
    </xf>
    <xf numFmtId="0" fontId="14" fillId="0" borderId="0" xfId="0" applyFont="1" applyAlignment="1" applyProtection="1">
      <alignment horizontal="center" vertical="center"/>
      <protection hidden="1"/>
    </xf>
    <xf numFmtId="166" fontId="10" fillId="0" borderId="17" xfId="0" applyNumberFormat="1" applyFont="1" applyBorder="1" applyAlignment="1" applyProtection="1">
      <alignment horizontal="center" vertical="center"/>
      <protection hidden="1"/>
    </xf>
    <xf numFmtId="166" fontId="10" fillId="0" borderId="0" xfId="0" applyNumberFormat="1" applyFont="1" applyAlignment="1" applyProtection="1">
      <alignment horizontal="center" vertical="center"/>
      <protection hidden="1"/>
    </xf>
    <xf numFmtId="166" fontId="10" fillId="0" borderId="50" xfId="0" applyNumberFormat="1" applyFont="1" applyBorder="1" applyAlignment="1" applyProtection="1">
      <alignment horizontal="center" vertical="center"/>
      <protection hidden="1"/>
    </xf>
    <xf numFmtId="166" fontId="10" fillId="0" borderId="8" xfId="0" applyNumberFormat="1" applyFont="1" applyBorder="1" applyAlignment="1" applyProtection="1">
      <alignment horizontal="center" vertical="center"/>
      <protection hidden="1"/>
    </xf>
    <xf numFmtId="0" fontId="62" fillId="0" borderId="26" xfId="0" applyFont="1" applyBorder="1" applyAlignment="1" applyProtection="1">
      <alignment vertical="center"/>
      <protection hidden="1"/>
    </xf>
    <xf numFmtId="1" fontId="10" fillId="0" borderId="21" xfId="0" applyNumberFormat="1" applyFont="1" applyBorder="1" applyAlignment="1" applyProtection="1">
      <alignment horizontal="center" vertical="center"/>
      <protection hidden="1"/>
    </xf>
    <xf numFmtId="1" fontId="10" fillId="0" borderId="60" xfId="0" applyNumberFormat="1" applyFont="1" applyBorder="1" applyAlignment="1" applyProtection="1">
      <alignment horizontal="center" vertical="center"/>
      <protection hidden="1"/>
    </xf>
    <xf numFmtId="1" fontId="10" fillId="0" borderId="77" xfId="0" applyNumberFormat="1" applyFont="1" applyBorder="1" applyAlignment="1" applyProtection="1">
      <alignment horizontal="center" vertical="center"/>
      <protection hidden="1"/>
    </xf>
    <xf numFmtId="1" fontId="10" fillId="0" borderId="61" xfId="0" applyNumberFormat="1" applyFont="1" applyBorder="1" applyAlignment="1" applyProtection="1">
      <alignment horizontal="center" vertical="center"/>
      <protection hidden="1"/>
    </xf>
    <xf numFmtId="0" fontId="38" fillId="12" borderId="3" xfId="0" applyFont="1" applyFill="1" applyBorder="1" applyAlignment="1" applyProtection="1">
      <alignment horizontal="left" vertical="center"/>
      <protection hidden="1"/>
    </xf>
    <xf numFmtId="0" fontId="38" fillId="12" borderId="3" xfId="0" applyFont="1" applyFill="1" applyBorder="1" applyAlignment="1" applyProtection="1">
      <alignment vertical="center"/>
      <protection hidden="1"/>
    </xf>
    <xf numFmtId="0" fontId="38" fillId="12" borderId="2" xfId="0" applyFont="1" applyFill="1" applyBorder="1" applyAlignment="1" applyProtection="1">
      <alignment horizontal="center" vertical="center"/>
      <protection hidden="1"/>
    </xf>
    <xf numFmtId="0" fontId="38" fillId="0" borderId="0" xfId="0" applyFont="1" applyAlignment="1" applyProtection="1">
      <alignment horizontal="center" vertical="center"/>
      <protection hidden="1"/>
    </xf>
    <xf numFmtId="0" fontId="22" fillId="0" borderId="4" xfId="0" applyFont="1" applyBorder="1" applyAlignment="1" applyProtection="1">
      <alignment vertical="center"/>
      <protection hidden="1"/>
    </xf>
    <xf numFmtId="0" fontId="22" fillId="0" borderId="5" xfId="0" applyFont="1" applyBorder="1" applyAlignment="1" applyProtection="1">
      <alignment vertical="center"/>
      <protection hidden="1"/>
    </xf>
    <xf numFmtId="2" fontId="22" fillId="0" borderId="5" xfId="0" applyNumberFormat="1" applyFont="1" applyBorder="1" applyAlignment="1" applyProtection="1">
      <alignment horizontal="right" vertical="center"/>
      <protection hidden="1"/>
    </xf>
    <xf numFmtId="0" fontId="22" fillId="0" borderId="6" xfId="0" applyFont="1" applyBorder="1" applyAlignment="1" applyProtection="1">
      <alignment horizontal="left" vertical="center"/>
      <protection hidden="1"/>
    </xf>
    <xf numFmtId="1" fontId="22" fillId="0" borderId="5" xfId="0" applyNumberFormat="1" applyFont="1" applyBorder="1" applyAlignment="1" applyProtection="1">
      <alignment horizontal="right" vertical="center"/>
      <protection hidden="1"/>
    </xf>
    <xf numFmtId="0" fontId="22" fillId="0" borderId="7" xfId="0" applyFont="1" applyBorder="1" applyAlignment="1" applyProtection="1">
      <alignment vertical="center"/>
      <protection hidden="1"/>
    </xf>
    <xf numFmtId="2" fontId="22" fillId="0" borderId="0" xfId="0" applyNumberFormat="1" applyFont="1" applyAlignment="1" applyProtection="1">
      <alignment horizontal="right" vertical="center"/>
      <protection hidden="1"/>
    </xf>
    <xf numFmtId="1" fontId="22" fillId="0" borderId="0" xfId="0" applyNumberFormat="1" applyFont="1" applyAlignment="1" applyProtection="1">
      <alignment horizontal="right" vertical="center"/>
      <protection hidden="1"/>
    </xf>
    <xf numFmtId="0" fontId="22" fillId="0" borderId="8" xfId="0" applyFont="1" applyBorder="1" applyAlignment="1" applyProtection="1">
      <alignment horizontal="left" vertical="center"/>
      <protection hidden="1"/>
    </xf>
    <xf numFmtId="0" fontId="22" fillId="0" borderId="18" xfId="0" applyFont="1" applyBorder="1" applyAlignment="1" applyProtection="1">
      <alignment vertical="center"/>
      <protection hidden="1"/>
    </xf>
    <xf numFmtId="0" fontId="22" fillId="0" borderId="62" xfId="0" applyFont="1" applyBorder="1" applyAlignment="1" applyProtection="1">
      <alignment vertical="center"/>
      <protection hidden="1"/>
    </xf>
    <xf numFmtId="0" fontId="22" fillId="0" borderId="18" xfId="0" applyFont="1" applyBorder="1" applyAlignment="1" applyProtection="1">
      <alignment horizontal="left" vertical="center"/>
      <protection hidden="1"/>
    </xf>
    <xf numFmtId="0" fontId="22" fillId="0" borderId="19" xfId="0" applyFont="1" applyBorder="1" applyAlignment="1" applyProtection="1">
      <alignment horizontal="left" vertical="center"/>
      <protection hidden="1"/>
    </xf>
    <xf numFmtId="0" fontId="22" fillId="0" borderId="20" xfId="0" applyFont="1" applyBorder="1" applyAlignment="1" applyProtection="1">
      <alignment horizontal="left" vertical="center"/>
      <protection hidden="1"/>
    </xf>
    <xf numFmtId="0" fontId="22" fillId="0" borderId="61" xfId="0" applyFont="1" applyBorder="1" applyAlignment="1" applyProtection="1">
      <alignment horizontal="left" vertical="center"/>
      <protection hidden="1"/>
    </xf>
    <xf numFmtId="0" fontId="22" fillId="0" borderId="9" xfId="0" applyFont="1" applyBorder="1" applyAlignment="1" applyProtection="1">
      <alignment vertical="center"/>
      <protection hidden="1"/>
    </xf>
    <xf numFmtId="0" fontId="22" fillId="0" borderId="10" xfId="0" applyFont="1" applyBorder="1" applyAlignment="1" applyProtection="1">
      <alignment vertical="center"/>
      <protection hidden="1"/>
    </xf>
    <xf numFmtId="0" fontId="22" fillId="0" borderId="10" xfId="0" applyFont="1" applyBorder="1" applyAlignment="1" applyProtection="1">
      <alignment horizontal="left" vertical="center"/>
      <protection hidden="1"/>
    </xf>
    <xf numFmtId="2" fontId="22" fillId="0" borderId="10" xfId="0" applyNumberFormat="1" applyFont="1" applyBorder="1" applyAlignment="1" applyProtection="1">
      <alignment horizontal="right" vertical="center"/>
      <protection hidden="1"/>
    </xf>
    <xf numFmtId="0" fontId="22" fillId="0" borderId="9" xfId="0" applyFont="1" applyBorder="1" applyAlignment="1" applyProtection="1">
      <alignment horizontal="left" vertical="center"/>
      <protection hidden="1"/>
    </xf>
    <xf numFmtId="1" fontId="22" fillId="0" borderId="10" xfId="0" applyNumberFormat="1" applyFont="1" applyBorder="1" applyAlignment="1" applyProtection="1">
      <alignment horizontal="right" vertical="center"/>
      <protection hidden="1"/>
    </xf>
    <xf numFmtId="0" fontId="22" fillId="0" borderId="11" xfId="0" applyFont="1" applyBorder="1" applyAlignment="1" applyProtection="1">
      <alignment horizontal="left" vertical="center"/>
      <protection hidden="1"/>
    </xf>
    <xf numFmtId="1" fontId="22" fillId="0" borderId="0" xfId="0" applyNumberFormat="1" applyFont="1" applyAlignment="1" applyProtection="1">
      <alignment horizontal="left" vertical="center"/>
      <protection hidden="1"/>
    </xf>
    <xf numFmtId="0" fontId="44" fillId="12" borderId="4" xfId="0" applyFont="1" applyFill="1" applyBorder="1" applyAlignment="1" applyProtection="1">
      <alignment vertical="center"/>
      <protection hidden="1"/>
    </xf>
    <xf numFmtId="0" fontId="44" fillId="12" borderId="5" xfId="0" applyFont="1" applyFill="1" applyBorder="1" applyAlignment="1" applyProtection="1">
      <alignment vertical="center"/>
      <protection hidden="1"/>
    </xf>
    <xf numFmtId="2" fontId="28" fillId="12" borderId="5" xfId="0" applyNumberFormat="1" applyFont="1" applyFill="1" applyBorder="1" applyAlignment="1" applyProtection="1">
      <alignment horizontal="right" vertical="center"/>
      <protection hidden="1"/>
    </xf>
    <xf numFmtId="0" fontId="28" fillId="12" borderId="5" xfId="0" applyFont="1" applyFill="1" applyBorder="1" applyAlignment="1" applyProtection="1">
      <alignment horizontal="right" vertical="center"/>
      <protection hidden="1"/>
    </xf>
    <xf numFmtId="2" fontId="28" fillId="12" borderId="5" xfId="0" applyNumberFormat="1" applyFont="1" applyFill="1" applyBorder="1" applyAlignment="1" applyProtection="1">
      <alignment horizontal="left" vertical="center"/>
      <protection hidden="1"/>
    </xf>
    <xf numFmtId="0" fontId="28" fillId="12" borderId="5" xfId="0" applyFont="1" applyFill="1" applyBorder="1" applyAlignment="1" applyProtection="1">
      <alignment horizontal="center" vertical="center"/>
      <protection hidden="1"/>
    </xf>
    <xf numFmtId="0" fontId="44" fillId="0" borderId="0" xfId="0" applyFont="1" applyAlignment="1" applyProtection="1">
      <alignment horizontal="left" vertical="center"/>
      <protection hidden="1"/>
    </xf>
    <xf numFmtId="0" fontId="48" fillId="13" borderId="23" xfId="0" applyFont="1" applyFill="1" applyBorder="1" applyAlignment="1" applyProtection="1">
      <alignment vertical="center"/>
      <protection hidden="1"/>
    </xf>
    <xf numFmtId="0" fontId="48" fillId="13" borderId="63" xfId="0" applyFont="1" applyFill="1" applyBorder="1" applyAlignment="1" applyProtection="1">
      <alignment vertical="center"/>
      <protection hidden="1"/>
    </xf>
    <xf numFmtId="0" fontId="48" fillId="13" borderId="24" xfId="0" applyFont="1" applyFill="1" applyBorder="1" applyAlignment="1" applyProtection="1">
      <alignment vertical="center"/>
      <protection hidden="1"/>
    </xf>
    <xf numFmtId="0" fontId="14" fillId="0" borderId="0" xfId="0" applyFont="1" applyAlignment="1" applyProtection="1">
      <alignment horizontal="left" vertical="center"/>
      <protection hidden="1"/>
    </xf>
    <xf numFmtId="2" fontId="22" fillId="0" borderId="60" xfId="0" applyNumberFormat="1" applyFont="1" applyBorder="1" applyAlignment="1" applyProtection="1">
      <alignment horizontal="right" vertical="center"/>
      <protection hidden="1"/>
    </xf>
    <xf numFmtId="0" fontId="22" fillId="0" borderId="40" xfId="0" applyFont="1" applyBorder="1" applyAlignment="1" applyProtection="1">
      <alignment vertical="center"/>
      <protection hidden="1"/>
    </xf>
    <xf numFmtId="0" fontId="22" fillId="0" borderId="26" xfId="0" applyFont="1" applyBorder="1" applyAlignment="1" applyProtection="1">
      <alignment vertical="center"/>
      <protection hidden="1"/>
    </xf>
    <xf numFmtId="0" fontId="22" fillId="0" borderId="40" xfId="0" applyFont="1" applyBorder="1" applyAlignment="1" applyProtection="1">
      <alignment horizontal="left" vertical="center"/>
      <protection hidden="1"/>
    </xf>
    <xf numFmtId="2" fontId="22" fillId="0" borderId="26" xfId="0" applyNumberFormat="1" applyFont="1" applyBorder="1" applyAlignment="1" applyProtection="1">
      <alignment horizontal="right" vertical="center"/>
      <protection hidden="1"/>
    </xf>
    <xf numFmtId="0" fontId="44" fillId="12" borderId="3" xfId="0" applyFont="1" applyFill="1" applyBorder="1" applyAlignment="1" applyProtection="1">
      <alignment horizontal="left" vertical="center"/>
      <protection hidden="1"/>
    </xf>
    <xf numFmtId="2" fontId="44" fillId="12" borderId="3" xfId="0" applyNumberFormat="1" applyFont="1" applyFill="1" applyBorder="1" applyAlignment="1" applyProtection="1">
      <alignment horizontal="right" vertical="center"/>
      <protection hidden="1"/>
    </xf>
    <xf numFmtId="0" fontId="44" fillId="0" borderId="0" xfId="0" applyFont="1" applyAlignment="1" applyProtection="1">
      <alignment vertical="center"/>
      <protection hidden="1"/>
    </xf>
    <xf numFmtId="0" fontId="14" fillId="13" borderId="4" xfId="0" applyFont="1" applyFill="1" applyBorder="1" applyAlignment="1" applyProtection="1">
      <alignment horizontal="left" vertical="center"/>
      <protection hidden="1"/>
    </xf>
    <xf numFmtId="0" fontId="14" fillId="13" borderId="5" xfId="0" applyFont="1" applyFill="1" applyBorder="1" applyAlignment="1" applyProtection="1">
      <alignment horizontal="left" vertical="center"/>
      <protection hidden="1"/>
    </xf>
    <xf numFmtId="2" fontId="14" fillId="13" borderId="5" xfId="0" applyNumberFormat="1" applyFont="1" applyFill="1" applyBorder="1" applyAlignment="1" applyProtection="1">
      <alignment horizontal="right" vertical="center"/>
      <protection hidden="1"/>
    </xf>
    <xf numFmtId="0" fontId="14" fillId="13" borderId="6" xfId="0" applyFont="1" applyFill="1" applyBorder="1" applyAlignment="1" applyProtection="1">
      <alignment horizontal="left" vertical="center"/>
      <protection hidden="1"/>
    </xf>
    <xf numFmtId="0" fontId="14" fillId="13" borderId="4" xfId="0" applyFont="1" applyFill="1" applyBorder="1" applyAlignment="1" applyProtection="1">
      <alignment vertical="center"/>
      <protection hidden="1"/>
    </xf>
    <xf numFmtId="0" fontId="14" fillId="13" borderId="5" xfId="0" applyFont="1" applyFill="1" applyBorder="1" applyAlignment="1" applyProtection="1">
      <alignment vertical="center"/>
      <protection hidden="1"/>
    </xf>
    <xf numFmtId="0" fontId="17" fillId="13" borderId="23" xfId="0" applyFont="1" applyFill="1" applyBorder="1" applyAlignment="1" applyProtection="1">
      <alignment vertical="center"/>
      <protection hidden="1"/>
    </xf>
    <xf numFmtId="0" fontId="17" fillId="13" borderId="63" xfId="0" applyFont="1" applyFill="1" applyBorder="1" applyAlignment="1" applyProtection="1">
      <alignment vertical="center"/>
      <protection hidden="1"/>
    </xf>
    <xf numFmtId="0" fontId="17" fillId="13" borderId="24" xfId="0" applyFont="1" applyFill="1" applyBorder="1" applyAlignment="1" applyProtection="1">
      <alignment vertical="center"/>
      <protection hidden="1"/>
    </xf>
    <xf numFmtId="0" fontId="22" fillId="0" borderId="40" xfId="0" applyFont="1" applyBorder="1" applyAlignment="1" applyProtection="1">
      <alignment horizontal="center" vertical="center"/>
      <protection hidden="1"/>
    </xf>
    <xf numFmtId="0" fontId="22" fillId="0" borderId="26" xfId="0" applyFont="1" applyBorder="1" applyAlignment="1" applyProtection="1">
      <alignment horizontal="center" vertical="center"/>
      <protection hidden="1"/>
    </xf>
    <xf numFmtId="2" fontId="22" fillId="0" borderId="26" xfId="0" applyNumberFormat="1" applyFont="1" applyBorder="1" applyAlignment="1" applyProtection="1">
      <alignment horizontal="center" vertical="center"/>
      <protection hidden="1"/>
    </xf>
    <xf numFmtId="0" fontId="22" fillId="0" borderId="7" xfId="0" applyFont="1" applyBorder="1" applyAlignment="1" applyProtection="1">
      <alignment horizontal="center" vertical="center"/>
      <protection hidden="1"/>
    </xf>
    <xf numFmtId="2" fontId="22" fillId="0" borderId="0" xfId="0" applyNumberFormat="1" applyFont="1" applyAlignment="1" applyProtection="1">
      <alignment horizontal="center" vertical="center"/>
      <protection hidden="1"/>
    </xf>
    <xf numFmtId="0" fontId="20" fillId="12" borderId="1" xfId="0" applyFont="1" applyFill="1" applyBorder="1" applyAlignment="1" applyProtection="1">
      <alignment horizontal="left" vertical="center"/>
      <protection hidden="1"/>
    </xf>
    <xf numFmtId="0" fontId="20" fillId="12" borderId="3" xfId="0" applyFont="1" applyFill="1" applyBorder="1" applyAlignment="1" applyProtection="1">
      <alignment horizontal="left" vertical="center"/>
      <protection hidden="1"/>
    </xf>
    <xf numFmtId="0" fontId="22" fillId="12" borderId="3" xfId="0" applyFont="1" applyFill="1" applyBorder="1" applyAlignment="1" applyProtection="1">
      <alignment horizontal="center" vertical="center"/>
      <protection hidden="1"/>
    </xf>
    <xf numFmtId="0" fontId="22" fillId="12" borderId="3" xfId="0" applyFont="1" applyFill="1" applyBorder="1" applyAlignment="1" applyProtection="1">
      <alignment horizontal="right" vertical="center"/>
      <protection hidden="1"/>
    </xf>
    <xf numFmtId="0" fontId="22" fillId="12" borderId="3" xfId="0" applyFont="1" applyFill="1" applyBorder="1" applyAlignment="1" applyProtection="1">
      <alignment horizontal="left" vertical="center"/>
      <protection hidden="1"/>
    </xf>
    <xf numFmtId="0" fontId="22" fillId="12" borderId="2" xfId="0" applyFont="1" applyFill="1" applyBorder="1" applyAlignment="1" applyProtection="1">
      <alignment horizontal="left" vertical="center"/>
      <protection hidden="1"/>
    </xf>
    <xf numFmtId="2" fontId="28" fillId="12" borderId="3" xfId="0" applyNumberFormat="1" applyFont="1" applyFill="1" applyBorder="1" applyAlignment="1" applyProtection="1">
      <alignment horizontal="right" vertical="center"/>
      <protection hidden="1"/>
    </xf>
    <xf numFmtId="0" fontId="28" fillId="12" borderId="3" xfId="0" applyFont="1" applyFill="1" applyBorder="1" applyAlignment="1" applyProtection="1">
      <alignment horizontal="right" vertical="center"/>
      <protection hidden="1"/>
    </xf>
    <xf numFmtId="2" fontId="28" fillId="12" borderId="3" xfId="0" applyNumberFormat="1" applyFont="1" applyFill="1" applyBorder="1" applyAlignment="1" applyProtection="1">
      <alignment horizontal="left" vertical="center"/>
      <protection hidden="1"/>
    </xf>
    <xf numFmtId="0" fontId="28" fillId="12" borderId="3" xfId="0" applyFont="1" applyFill="1" applyBorder="1" applyAlignment="1" applyProtection="1">
      <alignment horizontal="center" vertical="center"/>
      <protection hidden="1"/>
    </xf>
    <xf numFmtId="0" fontId="17" fillId="12" borderId="1" xfId="0" applyFont="1" applyFill="1" applyBorder="1" applyAlignment="1" applyProtection="1">
      <alignment vertical="center"/>
      <protection hidden="1"/>
    </xf>
    <xf numFmtId="0" fontId="17" fillId="12" borderId="5" xfId="0" applyFont="1" applyFill="1" applyBorder="1" applyAlignment="1" applyProtection="1">
      <alignment vertical="center"/>
      <protection hidden="1"/>
    </xf>
    <xf numFmtId="0" fontId="14" fillId="13" borderId="6" xfId="0" applyFont="1" applyFill="1" applyBorder="1" applyAlignment="1" applyProtection="1">
      <alignment vertical="center"/>
      <protection hidden="1"/>
    </xf>
    <xf numFmtId="1" fontId="22" fillId="0" borderId="4" xfId="0" applyNumberFormat="1" applyFont="1" applyBorder="1" applyAlignment="1" applyProtection="1">
      <alignment horizontal="right" vertical="center"/>
      <protection hidden="1"/>
    </xf>
    <xf numFmtId="1" fontId="22" fillId="0" borderId="6" xfId="0" applyNumberFormat="1" applyFont="1" applyBorder="1" applyAlignment="1" applyProtection="1">
      <alignment horizontal="right" vertical="center"/>
      <protection hidden="1"/>
    </xf>
    <xf numFmtId="1" fontId="22" fillId="0" borderId="7" xfId="0" applyNumberFormat="1" applyFont="1" applyBorder="1" applyAlignment="1" applyProtection="1">
      <alignment horizontal="right" vertical="center"/>
      <protection hidden="1"/>
    </xf>
    <xf numFmtId="1" fontId="22" fillId="0" borderId="8" xfId="0" applyNumberFormat="1" applyFont="1" applyBorder="1" applyAlignment="1" applyProtection="1">
      <alignment horizontal="right" vertical="center"/>
      <protection hidden="1"/>
    </xf>
    <xf numFmtId="0" fontId="22" fillId="0" borderId="10" xfId="0" applyFont="1" applyBorder="1" applyAlignment="1" applyProtection="1">
      <alignment horizontal="right" vertical="center"/>
      <protection hidden="1"/>
    </xf>
    <xf numFmtId="1" fontId="22" fillId="0" borderId="9" xfId="0" applyNumberFormat="1" applyFont="1" applyBorder="1" applyAlignment="1" applyProtection="1">
      <alignment horizontal="right" vertical="center"/>
      <protection hidden="1"/>
    </xf>
    <xf numFmtId="1" fontId="22" fillId="0" borderId="10" xfId="0" applyNumberFormat="1" applyFont="1" applyBorder="1" applyAlignment="1" applyProtection="1">
      <alignment horizontal="left" vertical="center"/>
      <protection hidden="1"/>
    </xf>
    <xf numFmtId="1" fontId="22" fillId="0" borderId="11" xfId="0" applyNumberFormat="1" applyFont="1" applyBorder="1" applyAlignment="1" applyProtection="1">
      <alignment horizontal="right" vertical="center"/>
      <protection hidden="1"/>
    </xf>
    <xf numFmtId="1" fontId="22" fillId="0" borderId="5" xfId="0" applyNumberFormat="1" applyFont="1" applyBorder="1" applyAlignment="1" applyProtection="1">
      <alignment horizontal="left" vertical="center"/>
      <protection hidden="1"/>
    </xf>
    <xf numFmtId="0" fontId="14" fillId="0" borderId="4" xfId="0" applyFont="1" applyBorder="1" applyAlignment="1" applyProtection="1">
      <alignment vertical="center"/>
      <protection hidden="1"/>
    </xf>
    <xf numFmtId="0" fontId="14" fillId="0" borderId="5" xfId="0" applyFont="1" applyBorder="1" applyAlignment="1" applyProtection="1">
      <alignment vertical="center"/>
      <protection hidden="1"/>
    </xf>
    <xf numFmtId="0" fontId="14" fillId="0" borderId="6" xfId="0" applyFont="1" applyBorder="1" applyAlignment="1" applyProtection="1">
      <alignment vertical="center"/>
      <protection hidden="1"/>
    </xf>
    <xf numFmtId="0" fontId="22" fillId="11" borderId="23" xfId="0" applyFont="1" applyFill="1" applyBorder="1" applyAlignment="1" applyProtection="1">
      <alignment horizontal="left" vertical="center"/>
      <protection hidden="1"/>
    </xf>
    <xf numFmtId="0" fontId="22" fillId="11" borderId="63" xfId="0" applyFont="1" applyFill="1" applyBorder="1" applyAlignment="1" applyProtection="1">
      <alignment horizontal="left" vertical="center"/>
      <protection hidden="1"/>
    </xf>
    <xf numFmtId="165" fontId="22" fillId="11" borderId="23" xfId="0" applyNumberFormat="1" applyFont="1" applyFill="1" applyBorder="1" applyAlignment="1" applyProtection="1">
      <alignment horizontal="right" vertical="center"/>
      <protection hidden="1"/>
    </xf>
    <xf numFmtId="165" fontId="22" fillId="11" borderId="63" xfId="0" applyNumberFormat="1" applyFont="1" applyFill="1" applyBorder="1" applyAlignment="1" applyProtection="1">
      <alignment horizontal="right" vertical="center"/>
      <protection hidden="1"/>
    </xf>
    <xf numFmtId="165" fontId="22" fillId="11" borderId="24" xfId="0" applyNumberFormat="1" applyFont="1" applyFill="1" applyBorder="1" applyAlignment="1" applyProtection="1">
      <alignment horizontal="right" vertical="center"/>
      <protection hidden="1"/>
    </xf>
    <xf numFmtId="0" fontId="22" fillId="11" borderId="0" xfId="0" applyFont="1" applyFill="1" applyAlignment="1" applyProtection="1">
      <alignment horizontal="left" vertical="center"/>
      <protection hidden="1"/>
    </xf>
    <xf numFmtId="165" fontId="22" fillId="11" borderId="0" xfId="0" applyNumberFormat="1" applyFont="1" applyFill="1" applyAlignment="1" applyProtection="1">
      <alignment horizontal="right" vertical="center"/>
      <protection hidden="1"/>
    </xf>
    <xf numFmtId="165" fontId="22" fillId="11" borderId="8" xfId="0" applyNumberFormat="1" applyFont="1" applyFill="1" applyBorder="1" applyAlignment="1" applyProtection="1">
      <alignment horizontal="right" vertical="center"/>
      <protection hidden="1"/>
    </xf>
    <xf numFmtId="0" fontId="22" fillId="11" borderId="3" xfId="0" applyFont="1" applyFill="1" applyBorder="1" applyAlignment="1" applyProtection="1">
      <alignment vertical="center"/>
      <protection hidden="1"/>
    </xf>
    <xf numFmtId="2" fontId="22" fillId="11" borderId="3" xfId="0" applyNumberFormat="1" applyFont="1" applyFill="1" applyBorder="1" applyAlignment="1" applyProtection="1">
      <alignment horizontal="right" vertical="center"/>
      <protection hidden="1"/>
    </xf>
    <xf numFmtId="2" fontId="8" fillId="11" borderId="2" xfId="0" applyNumberFormat="1" applyFont="1" applyFill="1" applyBorder="1" applyAlignment="1" applyProtection="1">
      <alignment horizontal="right" vertical="center"/>
      <protection hidden="1"/>
    </xf>
    <xf numFmtId="2" fontId="43" fillId="0" borderId="0" xfId="0" applyNumberFormat="1" applyFont="1" applyAlignment="1" applyProtection="1">
      <alignment horizontal="left" vertical="center"/>
      <protection hidden="1"/>
    </xf>
    <xf numFmtId="1" fontId="14" fillId="0" borderId="0" xfId="0" applyNumberFormat="1" applyFont="1" applyAlignment="1" applyProtection="1">
      <alignment vertical="center"/>
      <protection hidden="1"/>
    </xf>
    <xf numFmtId="0" fontId="14" fillId="0" borderId="7" xfId="0" applyFont="1" applyBorder="1" applyAlignment="1" applyProtection="1">
      <alignment horizontal="left" vertical="center"/>
      <protection hidden="1"/>
    </xf>
    <xf numFmtId="1" fontId="14" fillId="0" borderId="0" xfId="0" applyNumberFormat="1" applyFont="1" applyAlignment="1" applyProtection="1">
      <alignment horizontal="right" vertical="center"/>
      <protection hidden="1"/>
    </xf>
    <xf numFmtId="1" fontId="14" fillId="0" borderId="0" xfId="0" applyNumberFormat="1" applyFont="1" applyAlignment="1" applyProtection="1">
      <alignment horizontal="left" vertical="center"/>
      <protection hidden="1"/>
    </xf>
    <xf numFmtId="1" fontId="14" fillId="0" borderId="0" xfId="0" applyNumberFormat="1" applyFont="1" applyAlignment="1" applyProtection="1">
      <alignment horizontal="center" vertical="center"/>
      <protection hidden="1"/>
    </xf>
    <xf numFmtId="1" fontId="14" fillId="0" borderId="8" xfId="0" applyNumberFormat="1" applyFont="1" applyBorder="1" applyAlignment="1" applyProtection="1">
      <alignment vertical="center"/>
      <protection hidden="1"/>
    </xf>
    <xf numFmtId="0" fontId="29" fillId="0" borderId="7" xfId="0" applyFont="1" applyBorder="1" applyAlignment="1" applyProtection="1">
      <alignment horizontal="left" vertical="center"/>
      <protection hidden="1"/>
    </xf>
    <xf numFmtId="0" fontId="29" fillId="0" borderId="0" xfId="0" applyFont="1" applyAlignment="1" applyProtection="1">
      <alignment horizontal="left" vertical="center"/>
      <protection hidden="1"/>
    </xf>
    <xf numFmtId="1" fontId="29" fillId="0" borderId="0" xfId="0" applyNumberFormat="1" applyFont="1" applyAlignment="1" applyProtection="1">
      <alignment horizontal="right" vertical="center"/>
      <protection hidden="1"/>
    </xf>
    <xf numFmtId="1" fontId="17" fillId="0" borderId="0" xfId="0" applyNumberFormat="1" applyFont="1" applyAlignment="1" applyProtection="1">
      <alignment horizontal="left" vertical="center"/>
      <protection hidden="1"/>
    </xf>
    <xf numFmtId="0" fontId="14" fillId="0" borderId="8" xfId="0" applyFont="1" applyBorder="1" applyAlignment="1" applyProtection="1">
      <alignment vertical="center"/>
      <protection hidden="1"/>
    </xf>
    <xf numFmtId="1" fontId="17" fillId="0" borderId="0" xfId="0" applyNumberFormat="1" applyFont="1" applyAlignment="1" applyProtection="1">
      <alignment horizontal="center" vertical="center"/>
      <protection hidden="1"/>
    </xf>
    <xf numFmtId="1" fontId="29" fillId="0" borderId="0" xfId="0" applyNumberFormat="1" applyFont="1" applyAlignment="1" applyProtection="1">
      <alignment horizontal="left" vertical="center"/>
      <protection hidden="1"/>
    </xf>
    <xf numFmtId="1" fontId="17" fillId="0" borderId="0" xfId="0" applyNumberFormat="1" applyFont="1" applyAlignment="1" applyProtection="1">
      <alignment horizontal="right" vertical="center"/>
      <protection hidden="1"/>
    </xf>
    <xf numFmtId="0" fontId="14" fillId="0" borderId="8" xfId="0" applyFont="1" applyBorder="1" applyAlignment="1" applyProtection="1">
      <alignment vertical="center" textRotation="180"/>
      <protection hidden="1"/>
    </xf>
    <xf numFmtId="0" fontId="14" fillId="0" borderId="0" xfId="0" applyFont="1" applyAlignment="1" applyProtection="1">
      <alignment vertical="center" textRotation="180"/>
      <protection hidden="1"/>
    </xf>
    <xf numFmtId="0" fontId="30" fillId="0" borderId="0" xfId="0" applyFont="1" applyAlignment="1" applyProtection="1">
      <alignment vertical="center"/>
      <protection hidden="1"/>
    </xf>
    <xf numFmtId="0" fontId="29" fillId="0" borderId="0" xfId="0" applyFont="1" applyAlignment="1" applyProtection="1">
      <alignment horizontal="right" vertical="center"/>
      <protection hidden="1"/>
    </xf>
    <xf numFmtId="2" fontId="14" fillId="0" borderId="0" xfId="0" applyNumberFormat="1" applyFont="1" applyAlignment="1" applyProtection="1">
      <alignment horizontal="right" vertical="center"/>
      <protection hidden="1"/>
    </xf>
    <xf numFmtId="0" fontId="14" fillId="0" borderId="8" xfId="0" applyFont="1" applyBorder="1" applyAlignment="1" applyProtection="1">
      <alignment horizontal="center" vertical="center"/>
      <protection hidden="1"/>
    </xf>
    <xf numFmtId="0" fontId="30" fillId="0" borderId="7" xfId="0" applyFont="1" applyBorder="1" applyAlignment="1" applyProtection="1">
      <alignment horizontal="left" vertical="center"/>
      <protection hidden="1"/>
    </xf>
    <xf numFmtId="0" fontId="30"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17" fillId="0" borderId="8" xfId="0" applyFont="1" applyBorder="1" applyAlignment="1" applyProtection="1">
      <alignment vertical="center"/>
      <protection hidden="1"/>
    </xf>
    <xf numFmtId="0" fontId="17" fillId="0" borderId="0" xfId="0" applyFont="1" applyAlignment="1" applyProtection="1">
      <alignment vertical="center"/>
      <protection hidden="1"/>
    </xf>
    <xf numFmtId="49" fontId="29" fillId="0" borderId="7" xfId="0" applyNumberFormat="1" applyFont="1" applyBorder="1" applyAlignment="1" applyProtection="1">
      <alignment vertical="center"/>
      <protection hidden="1"/>
    </xf>
    <xf numFmtId="49" fontId="29" fillId="0" borderId="0" xfId="0" applyNumberFormat="1" applyFont="1" applyAlignment="1" applyProtection="1">
      <alignment vertical="center"/>
      <protection hidden="1"/>
    </xf>
    <xf numFmtId="0" fontId="17" fillId="0" borderId="0" xfId="0" applyFont="1" applyAlignment="1" applyProtection="1">
      <alignment horizontal="right" vertical="center"/>
      <protection hidden="1"/>
    </xf>
    <xf numFmtId="0" fontId="17" fillId="0" borderId="0" xfId="0" applyFont="1" applyAlignment="1" applyProtection="1">
      <alignment horizontal="left" vertical="center"/>
      <protection hidden="1"/>
    </xf>
    <xf numFmtId="0" fontId="62" fillId="0" borderId="0" xfId="0" applyFont="1" applyAlignment="1" applyProtection="1">
      <alignment horizontal="left" vertical="center"/>
      <protection hidden="1"/>
    </xf>
    <xf numFmtId="0" fontId="38" fillId="12" borderId="0" xfId="0" applyFont="1" applyFill="1" applyAlignment="1" applyProtection="1">
      <alignment horizontal="left" vertical="center"/>
      <protection hidden="1"/>
    </xf>
    <xf numFmtId="2" fontId="38" fillId="12" borderId="0" xfId="0" applyNumberFormat="1" applyFont="1" applyFill="1" applyAlignment="1" applyProtection="1">
      <alignment horizontal="right" vertical="center"/>
      <protection hidden="1"/>
    </xf>
    <xf numFmtId="0" fontId="38" fillId="12" borderId="0" xfId="0" applyFont="1" applyFill="1" applyAlignment="1" applyProtection="1">
      <alignment vertical="center"/>
      <protection hidden="1"/>
    </xf>
    <xf numFmtId="0" fontId="14" fillId="13" borderId="20" xfId="0" applyFont="1" applyFill="1" applyBorder="1" applyAlignment="1" applyProtection="1">
      <alignment horizontal="left" vertical="center"/>
      <protection hidden="1"/>
    </xf>
    <xf numFmtId="0" fontId="14" fillId="13" borderId="60" xfId="0" applyFont="1" applyFill="1" applyBorder="1" applyAlignment="1" applyProtection="1">
      <alignment horizontal="left" vertical="center"/>
      <protection hidden="1"/>
    </xf>
    <xf numFmtId="2" fontId="14" fillId="13" borderId="60" xfId="0" applyNumberFormat="1" applyFont="1" applyFill="1" applyBorder="1" applyAlignment="1" applyProtection="1">
      <alignment horizontal="right" vertical="center"/>
      <protection hidden="1"/>
    </xf>
    <xf numFmtId="0" fontId="14" fillId="13" borderId="61" xfId="0" applyFont="1" applyFill="1" applyBorder="1" applyAlignment="1" applyProtection="1">
      <alignment horizontal="left" vertical="center"/>
      <protection hidden="1"/>
    </xf>
    <xf numFmtId="0" fontId="14" fillId="13" borderId="20" xfId="0" applyFont="1" applyFill="1" applyBorder="1" applyAlignment="1" applyProtection="1">
      <alignment vertical="center"/>
      <protection hidden="1"/>
    </xf>
    <xf numFmtId="0" fontId="14" fillId="13" borderId="60" xfId="0" applyFont="1" applyFill="1" applyBorder="1" applyAlignment="1" applyProtection="1">
      <alignment vertical="center"/>
      <protection hidden="1"/>
    </xf>
    <xf numFmtId="0" fontId="44" fillId="12" borderId="7" xfId="0" applyFont="1" applyFill="1" applyBorder="1" applyAlignment="1" applyProtection="1">
      <alignment vertical="center"/>
      <protection hidden="1"/>
    </xf>
    <xf numFmtId="0" fontId="44" fillId="12" borderId="0" xfId="0" applyFont="1" applyFill="1" applyAlignment="1" applyProtection="1">
      <alignment vertical="center"/>
      <protection hidden="1"/>
    </xf>
    <xf numFmtId="0" fontId="48" fillId="13" borderId="20" xfId="0" applyFont="1" applyFill="1" applyBorder="1" applyAlignment="1" applyProtection="1">
      <alignment vertical="center"/>
      <protection hidden="1"/>
    </xf>
    <xf numFmtId="0" fontId="48" fillId="13" borderId="60" xfId="0" applyFont="1" applyFill="1" applyBorder="1" applyAlignment="1" applyProtection="1">
      <alignment vertical="center"/>
      <protection hidden="1"/>
    </xf>
    <xf numFmtId="0" fontId="48" fillId="13" borderId="61" xfId="0" applyFont="1" applyFill="1" applyBorder="1" applyAlignment="1" applyProtection="1">
      <alignment vertical="center"/>
      <protection hidden="1"/>
    </xf>
    <xf numFmtId="0" fontId="14" fillId="13" borderId="7" xfId="0" applyFont="1" applyFill="1" applyBorder="1" applyAlignment="1" applyProtection="1">
      <alignment horizontal="left" vertical="center"/>
      <protection hidden="1"/>
    </xf>
    <xf numFmtId="0" fontId="14" fillId="13" borderId="0" xfId="0" applyFont="1" applyFill="1" applyAlignment="1" applyProtection="1">
      <alignment horizontal="left" vertical="center"/>
      <protection hidden="1"/>
    </xf>
    <xf numFmtId="2" fontId="14" fillId="13" borderId="0" xfId="0" applyNumberFormat="1" applyFont="1" applyFill="1" applyAlignment="1" applyProtection="1">
      <alignment horizontal="right" vertical="center"/>
      <protection hidden="1"/>
    </xf>
    <xf numFmtId="0" fontId="14" fillId="13" borderId="8" xfId="0" applyFont="1" applyFill="1" applyBorder="1" applyAlignment="1" applyProtection="1">
      <alignment horizontal="left" vertical="center"/>
      <protection hidden="1"/>
    </xf>
    <xf numFmtId="0" fontId="14" fillId="13" borderId="7" xfId="0" applyFont="1" applyFill="1" applyBorder="1" applyAlignment="1" applyProtection="1">
      <alignment vertical="center"/>
      <protection hidden="1"/>
    </xf>
    <xf numFmtId="0" fontId="14" fillId="13" borderId="0" xfId="0" applyFont="1" applyFill="1" applyAlignment="1" applyProtection="1">
      <alignment vertical="center"/>
      <protection hidden="1"/>
    </xf>
    <xf numFmtId="0" fontId="38" fillId="12" borderId="6" xfId="0" applyFont="1" applyFill="1" applyBorder="1" applyAlignment="1" applyProtection="1">
      <alignment horizontal="center" vertical="center"/>
      <protection hidden="1"/>
    </xf>
    <xf numFmtId="0" fontId="44" fillId="12" borderId="2" xfId="0" applyFont="1" applyFill="1" applyBorder="1" applyAlignment="1" applyProtection="1">
      <alignment horizontal="center" vertical="center"/>
      <protection hidden="1"/>
    </xf>
    <xf numFmtId="0" fontId="22" fillId="13" borderId="25" xfId="0" applyFont="1" applyFill="1" applyBorder="1" applyProtection="1">
      <protection hidden="1"/>
    </xf>
    <xf numFmtId="0" fontId="22" fillId="13" borderId="26" xfId="0" applyFont="1" applyFill="1" applyBorder="1" applyProtection="1">
      <protection hidden="1"/>
    </xf>
    <xf numFmtId="0" fontId="22" fillId="13" borderId="35" xfId="0" applyFont="1" applyFill="1" applyBorder="1" applyProtection="1">
      <protection hidden="1"/>
    </xf>
    <xf numFmtId="0" fontId="22" fillId="13" borderId="80" xfId="0" applyFont="1" applyFill="1" applyBorder="1" applyProtection="1">
      <protection hidden="1"/>
    </xf>
    <xf numFmtId="165" fontId="2" fillId="9" borderId="14" xfId="0" applyNumberFormat="1" applyFont="1" applyFill="1" applyBorder="1" applyProtection="1">
      <protection locked="0"/>
    </xf>
    <xf numFmtId="165" fontId="2" fillId="17" borderId="14" xfId="0" applyNumberFormat="1" applyFont="1" applyFill="1" applyBorder="1" applyProtection="1">
      <protection locked="0"/>
    </xf>
    <xf numFmtId="166" fontId="2" fillId="19" borderId="0" xfId="0" applyNumberFormat="1" applyFont="1" applyFill="1" applyProtection="1">
      <protection locked="0"/>
    </xf>
    <xf numFmtId="166" fontId="2" fillId="9" borderId="14" xfId="0" applyNumberFormat="1" applyFont="1" applyFill="1" applyBorder="1" applyProtection="1">
      <protection locked="0"/>
    </xf>
    <xf numFmtId="166" fontId="2" fillId="17" borderId="14" xfId="0" applyNumberFormat="1" applyFont="1" applyFill="1" applyBorder="1" applyProtection="1">
      <protection locked="0"/>
    </xf>
    <xf numFmtId="0" fontId="22" fillId="0" borderId="0" xfId="0" applyFont="1" applyAlignment="1" applyProtection="1">
      <alignment horizontal="center"/>
      <protection hidden="1"/>
    </xf>
    <xf numFmtId="0" fontId="22" fillId="0" borderId="7" xfId="0" applyFont="1" applyBorder="1" applyProtection="1">
      <protection locked="0" hidden="1"/>
    </xf>
    <xf numFmtId="0" fontId="22" fillId="0" borderId="8" xfId="0" applyFont="1" applyBorder="1" applyProtection="1">
      <protection locked="0" hidden="1"/>
    </xf>
    <xf numFmtId="0" fontId="2" fillId="13" borderId="0" xfId="0" applyFont="1" applyFill="1" applyProtection="1">
      <protection locked="0"/>
    </xf>
    <xf numFmtId="0" fontId="2" fillId="13" borderId="5" xfId="0" applyFont="1" applyFill="1" applyBorder="1" applyProtection="1">
      <protection locked="0"/>
    </xf>
    <xf numFmtId="0" fontId="2" fillId="13" borderId="10" xfId="0" applyFont="1" applyFill="1" applyBorder="1" applyProtection="1">
      <protection locked="0"/>
    </xf>
    <xf numFmtId="0" fontId="2" fillId="13" borderId="6" xfId="0" applyFont="1" applyFill="1" applyBorder="1" applyProtection="1">
      <protection locked="0"/>
    </xf>
    <xf numFmtId="0" fontId="2" fillId="13" borderId="8" xfId="0" applyFont="1" applyFill="1" applyBorder="1" applyProtection="1">
      <protection locked="0"/>
    </xf>
    <xf numFmtId="0" fontId="2" fillId="13" borderId="9" xfId="0" applyFont="1" applyFill="1" applyBorder="1" applyProtection="1">
      <protection locked="0"/>
    </xf>
    <xf numFmtId="9" fontId="22" fillId="0" borderId="25" xfId="2" applyFont="1" applyBorder="1" applyAlignment="1" applyProtection="1">
      <alignment wrapText="1"/>
      <protection hidden="1"/>
    </xf>
    <xf numFmtId="0" fontId="22" fillId="0" borderId="25" xfId="0" applyFont="1" applyBorder="1" applyAlignment="1" applyProtection="1">
      <alignment wrapText="1"/>
      <protection hidden="1"/>
    </xf>
    <xf numFmtId="0" fontId="22" fillId="0" borderId="25" xfId="0" applyFont="1" applyBorder="1" applyAlignment="1" applyProtection="1">
      <alignment horizontal="right" wrapText="1"/>
      <protection hidden="1"/>
    </xf>
    <xf numFmtId="0" fontId="22" fillId="0" borderId="0" xfId="0" applyFont="1" applyAlignment="1" applyProtection="1">
      <alignment horizontal="center" wrapText="1"/>
      <protection hidden="1"/>
    </xf>
    <xf numFmtId="0" fontId="11" fillId="13" borderId="40" xfId="0" applyFont="1" applyFill="1" applyBorder="1" applyProtection="1">
      <protection hidden="1"/>
    </xf>
    <xf numFmtId="0" fontId="11" fillId="15" borderId="2" xfId="0" applyFont="1" applyFill="1" applyBorder="1" applyAlignment="1" applyProtection="1">
      <alignment horizontal="left"/>
      <protection hidden="1"/>
    </xf>
    <xf numFmtId="0" fontId="66" fillId="3" borderId="0" xfId="0" applyFont="1" applyFill="1" applyAlignment="1" applyProtection="1">
      <alignment wrapText="1"/>
      <protection locked="0"/>
    </xf>
    <xf numFmtId="0" fontId="60" fillId="3" borderId="30" xfId="0" applyFont="1" applyFill="1" applyBorder="1" applyAlignment="1" applyProtection="1">
      <alignment horizontal="center"/>
      <protection locked="0"/>
    </xf>
    <xf numFmtId="0" fontId="12" fillId="0" borderId="5" xfId="0" applyFont="1" applyBorder="1"/>
    <xf numFmtId="0" fontId="12" fillId="0" borderId="6" xfId="0" applyFont="1" applyBorder="1"/>
    <xf numFmtId="0" fontId="12" fillId="0" borderId="0" xfId="0" applyFont="1"/>
    <xf numFmtId="0" fontId="3" fillId="0" borderId="7" xfId="0" applyFont="1" applyBorder="1"/>
    <xf numFmtId="0" fontId="3" fillId="0" borderId="0" xfId="0" applyFont="1"/>
    <xf numFmtId="0" fontId="3" fillId="0" borderId="8" xfId="0" applyFont="1" applyBorder="1"/>
    <xf numFmtId="165" fontId="3" fillId="7" borderId="30" xfId="0" applyNumberFormat="1" applyFont="1" applyFill="1" applyBorder="1" applyAlignment="1">
      <alignment horizontal="center"/>
    </xf>
    <xf numFmtId="0" fontId="10" fillId="0" borderId="0" xfId="0" applyFont="1"/>
    <xf numFmtId="0" fontId="3" fillId="0" borderId="9" xfId="0" applyFont="1" applyBorder="1"/>
    <xf numFmtId="0" fontId="3" fillId="0" borderId="10" xfId="0" applyFont="1" applyBorder="1"/>
    <xf numFmtId="0" fontId="3" fillId="0" borderId="11" xfId="0" applyFont="1" applyBorder="1"/>
    <xf numFmtId="0" fontId="3" fillId="0" borderId="5" xfId="0" applyFont="1" applyBorder="1"/>
    <xf numFmtId="0" fontId="3" fillId="0" borderId="6" xfId="0" applyFont="1" applyBorder="1"/>
    <xf numFmtId="0" fontId="3" fillId="3" borderId="0" xfId="0" applyFont="1" applyFill="1"/>
    <xf numFmtId="2" fontId="60" fillId="3" borderId="30" xfId="0" applyNumberFormat="1" applyFont="1" applyFill="1" applyBorder="1" applyAlignment="1" applyProtection="1">
      <alignment horizontal="center"/>
      <protection locked="0"/>
    </xf>
    <xf numFmtId="2" fontId="3" fillId="7" borderId="30" xfId="0" applyNumberFormat="1" applyFont="1" applyFill="1" applyBorder="1" applyAlignment="1">
      <alignment horizontal="center"/>
    </xf>
    <xf numFmtId="1" fontId="60" fillId="3" borderId="30" xfId="0" applyNumberFormat="1" applyFont="1" applyFill="1" applyBorder="1" applyAlignment="1" applyProtection="1">
      <alignment horizontal="center"/>
      <protection locked="0"/>
    </xf>
    <xf numFmtId="0" fontId="3" fillId="7" borderId="30" xfId="0" applyFont="1" applyFill="1" applyBorder="1" applyAlignment="1">
      <alignment horizontal="center"/>
    </xf>
    <xf numFmtId="0" fontId="3" fillId="0" borderId="0" xfId="0" applyFont="1" applyAlignment="1">
      <alignment horizontal="right"/>
    </xf>
    <xf numFmtId="0" fontId="3" fillId="0" borderId="0" xfId="0" applyFont="1" applyAlignment="1">
      <alignment horizontal="center"/>
    </xf>
    <xf numFmtId="0" fontId="52" fillId="0" borderId="0" xfId="0" applyFont="1"/>
    <xf numFmtId="0" fontId="52" fillId="0" borderId="0" xfId="0" applyFont="1" applyAlignment="1">
      <alignment horizontal="center"/>
    </xf>
    <xf numFmtId="0" fontId="70" fillId="3" borderId="30" xfId="0" applyFont="1" applyFill="1" applyBorder="1" applyProtection="1">
      <protection locked="0"/>
    </xf>
    <xf numFmtId="2" fontId="3" fillId="0" borderId="0" xfId="0" applyNumberFormat="1" applyFont="1" applyAlignment="1">
      <alignment horizontal="center"/>
    </xf>
    <xf numFmtId="0" fontId="12" fillId="0" borderId="8" xfId="0" applyFont="1" applyBorder="1"/>
    <xf numFmtId="0" fontId="3" fillId="0" borderId="10" xfId="0" applyFont="1" applyBorder="1" applyAlignment="1">
      <alignment horizontal="right"/>
    </xf>
    <xf numFmtId="0" fontId="72" fillId="7" borderId="30" xfId="0" applyFont="1" applyFill="1" applyBorder="1" applyAlignment="1">
      <alignment horizontal="left"/>
    </xf>
    <xf numFmtId="0" fontId="3" fillId="0" borderId="30" xfId="0" applyFont="1" applyBorder="1" applyAlignment="1" applyProtection="1">
      <alignment horizontal="center"/>
      <protection locked="0"/>
    </xf>
    <xf numFmtId="0" fontId="43" fillId="12" borderId="9" xfId="0" applyFont="1" applyFill="1" applyBorder="1" applyAlignment="1" applyProtection="1">
      <alignment horizontal="left"/>
      <protection hidden="1"/>
    </xf>
    <xf numFmtId="0" fontId="25" fillId="12" borderId="10" xfId="0" applyFont="1" applyFill="1" applyBorder="1" applyAlignment="1">
      <alignment horizontal="left"/>
    </xf>
    <xf numFmtId="165" fontId="3" fillId="0" borderId="30" xfId="0" applyNumberFormat="1" applyFont="1" applyBorder="1" applyAlignment="1">
      <alignment horizontal="center"/>
    </xf>
    <xf numFmtId="0" fontId="60" fillId="3" borderId="25" xfId="0" applyFont="1" applyFill="1" applyBorder="1" applyAlignment="1" applyProtection="1">
      <alignment horizontal="center"/>
      <protection locked="0"/>
    </xf>
    <xf numFmtId="0" fontId="5" fillId="0" borderId="0" xfId="0" applyFont="1"/>
    <xf numFmtId="0" fontId="5" fillId="0" borderId="0" xfId="0" applyFont="1" applyAlignment="1">
      <alignment horizontal="center"/>
    </xf>
    <xf numFmtId="0" fontId="65" fillId="0" borderId="0" xfId="0" applyFont="1" applyAlignment="1">
      <alignment horizontal="center"/>
    </xf>
    <xf numFmtId="0" fontId="65" fillId="0" borderId="8" xfId="0" applyFont="1" applyBorder="1" applyAlignment="1">
      <alignment horizontal="center"/>
    </xf>
    <xf numFmtId="0" fontId="3" fillId="0" borderId="5" xfId="0" applyFont="1" applyBorder="1" applyAlignment="1">
      <alignment horizontal="right"/>
    </xf>
    <xf numFmtId="0" fontId="31" fillId="12" borderId="3" xfId="0" applyFont="1" applyFill="1" applyBorder="1" applyAlignment="1" applyProtection="1">
      <alignment horizontal="right" vertical="center"/>
      <protection hidden="1"/>
    </xf>
    <xf numFmtId="0" fontId="22" fillId="7" borderId="25" xfId="0" applyFont="1" applyFill="1" applyBorder="1" applyProtection="1">
      <protection hidden="1"/>
    </xf>
    <xf numFmtId="165" fontId="22" fillId="7" borderId="26" xfId="0" applyNumberFormat="1" applyFont="1" applyFill="1" applyBorder="1" applyAlignment="1" applyProtection="1">
      <alignment horizontal="center"/>
      <protection hidden="1"/>
    </xf>
    <xf numFmtId="165" fontId="22" fillId="7" borderId="26" xfId="0" applyNumberFormat="1" applyFont="1" applyFill="1" applyBorder="1" applyProtection="1">
      <protection hidden="1"/>
    </xf>
    <xf numFmtId="0" fontId="22" fillId="7" borderId="35" xfId="0" applyFont="1" applyFill="1" applyBorder="1" applyProtection="1">
      <protection hidden="1"/>
    </xf>
    <xf numFmtId="166" fontId="22" fillId="7" borderId="26" xfId="0" applyNumberFormat="1" applyFont="1" applyFill="1" applyBorder="1" applyAlignment="1" applyProtection="1">
      <alignment horizontal="center"/>
      <protection hidden="1"/>
    </xf>
    <xf numFmtId="0" fontId="22" fillId="7" borderId="26" xfId="0" applyFont="1" applyFill="1" applyBorder="1" applyProtection="1">
      <protection hidden="1"/>
    </xf>
    <xf numFmtId="166" fontId="22" fillId="7" borderId="26" xfId="0" applyNumberFormat="1" applyFont="1" applyFill="1" applyBorder="1" applyAlignment="1" applyProtection="1">
      <alignment horizontal="center" wrapText="1"/>
      <protection hidden="1"/>
    </xf>
    <xf numFmtId="165" fontId="22" fillId="7" borderId="26" xfId="0" applyNumberFormat="1" applyFont="1" applyFill="1" applyBorder="1" applyAlignment="1" applyProtection="1">
      <alignment horizontal="center" wrapText="1"/>
      <protection hidden="1"/>
    </xf>
    <xf numFmtId="0" fontId="74" fillId="0" borderId="0" xfId="0" applyFont="1" applyAlignment="1" applyProtection="1">
      <alignment horizontal="left" vertical="center"/>
      <protection hidden="1"/>
    </xf>
    <xf numFmtId="0" fontId="75" fillId="12" borderId="1" xfId="0" applyFont="1" applyFill="1" applyBorder="1" applyProtection="1">
      <protection hidden="1"/>
    </xf>
    <xf numFmtId="0" fontId="75" fillId="12" borderId="2" xfId="0" applyFont="1" applyFill="1" applyBorder="1" applyAlignment="1" applyProtection="1">
      <alignment horizontal="center"/>
      <protection hidden="1"/>
    </xf>
    <xf numFmtId="0" fontId="31" fillId="12" borderId="3" xfId="0" applyFont="1" applyFill="1" applyBorder="1" applyAlignment="1" applyProtection="1">
      <alignment horizontal="right"/>
      <protection hidden="1"/>
    </xf>
    <xf numFmtId="0" fontId="76" fillId="12" borderId="1" xfId="0" applyFont="1" applyFill="1" applyBorder="1" applyProtection="1">
      <protection hidden="1"/>
    </xf>
    <xf numFmtId="0" fontId="76" fillId="12" borderId="6" xfId="0" applyFont="1" applyFill="1" applyBorder="1" applyAlignment="1" applyProtection="1">
      <alignment horizontal="right"/>
      <protection hidden="1"/>
    </xf>
    <xf numFmtId="2" fontId="20" fillId="12" borderId="5" xfId="0" applyNumberFormat="1" applyFont="1" applyFill="1" applyBorder="1" applyAlignment="1" applyProtection="1">
      <alignment horizontal="center"/>
      <protection hidden="1"/>
    </xf>
    <xf numFmtId="0" fontId="76" fillId="12" borderId="2" xfId="0" applyFont="1" applyFill="1" applyBorder="1" applyAlignment="1" applyProtection="1">
      <alignment horizontal="right"/>
      <protection hidden="1"/>
    </xf>
    <xf numFmtId="0" fontId="65" fillId="0" borderId="7" xfId="0" applyFont="1" applyBorder="1" applyAlignment="1" applyProtection="1">
      <alignment horizontal="center"/>
      <protection locked="0"/>
    </xf>
    <xf numFmtId="0" fontId="65" fillId="0" borderId="0" xfId="0" applyFont="1" applyProtection="1">
      <protection locked="0"/>
    </xf>
    <xf numFmtId="0" fontId="65" fillId="0" borderId="7" xfId="0" applyFont="1" applyBorder="1" applyProtection="1">
      <protection locked="0"/>
    </xf>
    <xf numFmtId="0" fontId="44" fillId="12" borderId="2" xfId="0" applyFont="1" applyFill="1" applyBorder="1" applyAlignment="1" applyProtection="1">
      <alignment horizontal="right" vertical="center"/>
      <protection hidden="1"/>
    </xf>
    <xf numFmtId="0" fontId="11" fillId="0" borderId="0" xfId="0" applyFont="1" applyProtection="1">
      <protection hidden="1"/>
    </xf>
    <xf numFmtId="2" fontId="22" fillId="7" borderId="30" xfId="0" applyNumberFormat="1" applyFont="1" applyFill="1" applyBorder="1" applyAlignment="1" applyProtection="1">
      <alignment horizontal="center"/>
      <protection hidden="1"/>
    </xf>
    <xf numFmtId="0" fontId="65" fillId="0" borderId="7" xfId="0" applyFont="1" applyBorder="1"/>
    <xf numFmtId="0" fontId="11" fillId="0" borderId="0" xfId="7" applyFont="1"/>
    <xf numFmtId="0" fontId="77" fillId="3" borderId="78" xfId="7" applyFont="1" applyFill="1" applyBorder="1"/>
    <xf numFmtId="0" fontId="1" fillId="3" borderId="62" xfId="7" applyFill="1" applyBorder="1"/>
    <xf numFmtId="0" fontId="1" fillId="3" borderId="79" xfId="7" applyFill="1" applyBorder="1"/>
    <xf numFmtId="0" fontId="1" fillId="7" borderId="25" xfId="7" applyFill="1" applyBorder="1"/>
    <xf numFmtId="0" fontId="1" fillId="7" borderId="26" xfId="7" applyFill="1" applyBorder="1"/>
    <xf numFmtId="0" fontId="1" fillId="7" borderId="35" xfId="7" applyFill="1" applyBorder="1"/>
    <xf numFmtId="0" fontId="1" fillId="0" borderId="30" xfId="7" applyBorder="1"/>
    <xf numFmtId="0" fontId="2" fillId="19" borderId="36" xfId="0" applyFont="1" applyFill="1" applyBorder="1" applyProtection="1">
      <protection locked="0"/>
    </xf>
    <xf numFmtId="0" fontId="2" fillId="19" borderId="47" xfId="0" applyFont="1" applyFill="1" applyBorder="1" applyProtection="1">
      <protection locked="0"/>
    </xf>
    <xf numFmtId="0" fontId="55" fillId="0" borderId="7" xfId="0" applyFont="1" applyBorder="1" applyAlignment="1" applyProtection="1">
      <alignment vertical="top"/>
      <protection hidden="1"/>
    </xf>
    <xf numFmtId="0" fontId="78" fillId="0" borderId="7" xfId="0" applyFont="1" applyBorder="1" applyAlignment="1" applyProtection="1">
      <alignment vertical="top"/>
      <protection hidden="1"/>
    </xf>
    <xf numFmtId="0" fontId="23" fillId="0" borderId="0" xfId="0" applyFont="1"/>
    <xf numFmtId="0" fontId="23" fillId="0" borderId="5" xfId="0" applyFont="1" applyBorder="1"/>
    <xf numFmtId="0" fontId="3" fillId="0" borderId="30" xfId="0" applyFont="1" applyBorder="1" applyAlignment="1">
      <alignment horizontal="center"/>
    </xf>
    <xf numFmtId="0" fontId="5" fillId="13" borderId="0" xfId="0" applyFont="1" applyFill="1" applyAlignment="1">
      <alignment wrapText="1"/>
    </xf>
    <xf numFmtId="0" fontId="52" fillId="0" borderId="0" xfId="0" applyFont="1" applyAlignment="1">
      <alignment horizontal="center" wrapText="1"/>
    </xf>
    <xf numFmtId="1" fontId="3" fillId="7" borderId="30" xfId="0" applyNumberFormat="1" applyFont="1" applyFill="1" applyBorder="1" applyAlignment="1">
      <alignment horizontal="center" wrapText="1"/>
    </xf>
    <xf numFmtId="2" fontId="2" fillId="6" borderId="0" xfId="0" applyNumberFormat="1" applyFont="1" applyFill="1" applyAlignment="1" applyProtection="1">
      <alignment horizontal="center"/>
      <protection locked="0"/>
    </xf>
    <xf numFmtId="0" fontId="56" fillId="19" borderId="50" xfId="0" applyFont="1" applyFill="1" applyBorder="1" applyAlignment="1" applyProtection="1">
      <alignment horizontal="center"/>
      <protection locked="0"/>
    </xf>
    <xf numFmtId="2" fontId="2" fillId="6" borderId="17" xfId="0" applyNumberFormat="1" applyFont="1" applyFill="1" applyBorder="1" applyAlignment="1" applyProtection="1">
      <alignment horizontal="center"/>
      <protection locked="0"/>
    </xf>
    <xf numFmtId="0" fontId="2" fillId="19" borderId="77" xfId="0" applyFont="1" applyFill="1" applyBorder="1" applyAlignment="1" applyProtection="1">
      <alignment horizontal="center"/>
      <protection locked="0"/>
    </xf>
    <xf numFmtId="0" fontId="2" fillId="19" borderId="60" xfId="0" applyFont="1" applyFill="1" applyBorder="1" applyAlignment="1" applyProtection="1">
      <alignment horizontal="center"/>
      <protection locked="0"/>
    </xf>
    <xf numFmtId="0" fontId="2" fillId="19" borderId="76" xfId="0" applyFont="1" applyFill="1" applyBorder="1" applyAlignment="1" applyProtection="1">
      <alignment horizontal="center"/>
      <protection locked="0"/>
    </xf>
    <xf numFmtId="0" fontId="2" fillId="19" borderId="28" xfId="0" applyFont="1" applyFill="1" applyBorder="1" applyProtection="1">
      <protection locked="0"/>
    </xf>
    <xf numFmtId="0" fontId="56" fillId="19" borderId="0" xfId="0" applyFont="1" applyFill="1" applyAlignment="1" applyProtection="1">
      <alignment horizontal="center"/>
      <protection locked="0"/>
    </xf>
    <xf numFmtId="0" fontId="65" fillId="11" borderId="0" xfId="0" applyFont="1" applyFill="1"/>
    <xf numFmtId="0" fontId="2" fillId="13" borderId="30" xfId="0" applyFont="1" applyFill="1" applyBorder="1" applyAlignment="1" applyProtection="1">
      <alignment horizontal="left"/>
      <protection locked="0"/>
    </xf>
    <xf numFmtId="0" fontId="57" fillId="13" borderId="30" xfId="0" applyFont="1" applyFill="1" applyBorder="1" applyAlignment="1" applyProtection="1">
      <alignment horizontal="center"/>
      <protection locked="0"/>
    </xf>
    <xf numFmtId="0" fontId="2" fillId="0" borderId="30" xfId="0" applyFont="1" applyBorder="1" applyProtection="1">
      <protection locked="0"/>
    </xf>
    <xf numFmtId="2" fontId="22" fillId="0" borderId="63" xfId="0" applyNumberFormat="1" applyFont="1" applyBorder="1" applyAlignment="1" applyProtection="1">
      <alignment horizontal="right" vertical="center"/>
      <protection hidden="1"/>
    </xf>
    <xf numFmtId="166" fontId="22" fillId="0" borderId="62" xfId="0" applyNumberFormat="1" applyFont="1" applyBorder="1" applyAlignment="1" applyProtection="1">
      <alignment horizontal="right" vertical="center"/>
      <protection hidden="1"/>
    </xf>
    <xf numFmtId="165" fontId="2" fillId="19" borderId="50" xfId="0" applyNumberFormat="1" applyFont="1" applyFill="1" applyBorder="1" applyAlignment="1" applyProtection="1">
      <alignment horizontal="center"/>
      <protection locked="0"/>
    </xf>
    <xf numFmtId="166" fontId="22" fillId="11" borderId="3" xfId="0" applyNumberFormat="1" applyFont="1" applyFill="1" applyBorder="1" applyAlignment="1" applyProtection="1">
      <alignment horizontal="right" vertical="center"/>
      <protection hidden="1"/>
    </xf>
    <xf numFmtId="165" fontId="0" fillId="3" borderId="8" xfId="0" applyNumberFormat="1" applyFill="1" applyBorder="1"/>
    <xf numFmtId="0" fontId="53" fillId="16" borderId="4" xfId="0" applyFont="1" applyFill="1" applyBorder="1"/>
    <xf numFmtId="0" fontId="53" fillId="16" borderId="6" xfId="0" applyFont="1" applyFill="1" applyBorder="1"/>
    <xf numFmtId="0" fontId="1" fillId="0" borderId="0" xfId="7" applyProtection="1">
      <protection locked="0"/>
    </xf>
    <xf numFmtId="0" fontId="80" fillId="13" borderId="26" xfId="0" applyFont="1" applyFill="1" applyBorder="1" applyProtection="1">
      <protection hidden="1"/>
    </xf>
    <xf numFmtId="0" fontId="2" fillId="17" borderId="12" xfId="0" applyFont="1" applyFill="1" applyBorder="1" applyProtection="1">
      <protection locked="0"/>
    </xf>
    <xf numFmtId="1" fontId="2" fillId="6" borderId="5" xfId="0" applyNumberFormat="1" applyFont="1" applyFill="1" applyBorder="1" applyProtection="1">
      <protection locked="0"/>
    </xf>
    <xf numFmtId="0" fontId="2" fillId="17" borderId="6" xfId="0" applyFont="1" applyFill="1" applyBorder="1" applyProtection="1">
      <protection locked="0"/>
    </xf>
    <xf numFmtId="0" fontId="2" fillId="17" borderId="5" xfId="0" applyFont="1" applyFill="1" applyBorder="1" applyProtection="1">
      <protection locked="0"/>
    </xf>
    <xf numFmtId="0" fontId="2" fillId="17" borderId="7" xfId="0" applyFont="1" applyFill="1" applyBorder="1" applyProtection="1">
      <protection locked="0"/>
    </xf>
    <xf numFmtId="0" fontId="2" fillId="17" borderId="9" xfId="0" applyFont="1" applyFill="1" applyBorder="1" applyProtection="1">
      <protection locked="0"/>
    </xf>
    <xf numFmtId="0" fontId="2" fillId="6" borderId="9" xfId="0" applyFont="1" applyFill="1" applyBorder="1" applyAlignment="1" applyProtection="1">
      <alignment horizontal="left"/>
      <protection locked="0"/>
    </xf>
    <xf numFmtId="0" fontId="2" fillId="17" borderId="15" xfId="0" applyFont="1" applyFill="1" applyBorder="1" applyProtection="1">
      <protection locked="0"/>
    </xf>
    <xf numFmtId="0" fontId="2" fillId="17" borderId="13" xfId="0" applyFont="1" applyFill="1" applyBorder="1" applyAlignment="1" applyProtection="1">
      <alignment horizontal="center"/>
      <protection locked="0"/>
    </xf>
    <xf numFmtId="0" fontId="2" fillId="17" borderId="5" xfId="0" applyFont="1" applyFill="1" applyBorder="1" applyAlignment="1" applyProtection="1">
      <alignment horizontal="center"/>
      <protection locked="0"/>
    </xf>
    <xf numFmtId="10" fontId="2" fillId="17" borderId="0" xfId="2" applyNumberFormat="1" applyFont="1" applyFill="1" applyBorder="1" applyAlignment="1" applyProtection="1">
      <alignment horizontal="center"/>
      <protection locked="0"/>
    </xf>
    <xf numFmtId="1" fontId="2" fillId="17" borderId="8" xfId="0" applyNumberFormat="1" applyFont="1" applyFill="1" applyBorder="1" applyProtection="1">
      <protection locked="0"/>
    </xf>
    <xf numFmtId="0" fontId="22" fillId="13" borderId="40" xfId="0" applyFont="1" applyFill="1" applyBorder="1" applyAlignment="1" applyProtection="1">
      <alignment vertical="center"/>
      <protection hidden="1"/>
    </xf>
    <xf numFmtId="2" fontId="22" fillId="0" borderId="7" xfId="0" applyNumberFormat="1" applyFont="1" applyBorder="1" applyAlignment="1" applyProtection="1">
      <alignment horizontal="left" vertical="center"/>
      <protection hidden="1"/>
    </xf>
    <xf numFmtId="2" fontId="22" fillId="0" borderId="7" xfId="0" applyNumberFormat="1" applyFont="1" applyBorder="1" applyAlignment="1" applyProtection="1">
      <alignment vertical="center"/>
      <protection hidden="1"/>
    </xf>
    <xf numFmtId="0" fontId="22" fillId="0" borderId="25" xfId="0" applyFont="1" applyBorder="1" applyAlignment="1" applyProtection="1">
      <alignment vertical="center"/>
      <protection hidden="1"/>
    </xf>
    <xf numFmtId="0" fontId="22" fillId="0" borderId="0" xfId="0" quotePrefix="1" applyFont="1" applyAlignment="1" applyProtection="1">
      <alignment horizontal="center" vertical="center"/>
      <protection hidden="1"/>
    </xf>
    <xf numFmtId="0" fontId="22" fillId="0" borderId="60" xfId="0" quotePrefix="1" applyFont="1" applyBorder="1" applyAlignment="1" applyProtection="1">
      <alignment horizontal="center" vertical="center"/>
      <protection hidden="1"/>
    </xf>
    <xf numFmtId="0" fontId="81" fillId="13" borderId="26" xfId="0" applyFont="1" applyFill="1" applyBorder="1" applyAlignment="1" applyProtection="1">
      <alignment vertical="center"/>
      <protection hidden="1"/>
    </xf>
    <xf numFmtId="2" fontId="8" fillId="0" borderId="0" xfId="0" applyNumberFormat="1" applyFont="1" applyAlignment="1" applyProtection="1">
      <alignment vertical="center"/>
      <protection hidden="1"/>
    </xf>
    <xf numFmtId="1" fontId="81" fillId="0" borderId="0" xfId="0" applyNumberFormat="1" applyFont="1" applyAlignment="1" applyProtection="1">
      <alignment horizontal="left" vertical="center"/>
      <protection hidden="1"/>
    </xf>
    <xf numFmtId="1" fontId="81" fillId="0" borderId="0" xfId="0" applyNumberFormat="1" applyFont="1" applyAlignment="1" applyProtection="1">
      <alignment horizontal="center" vertical="center"/>
      <protection hidden="1"/>
    </xf>
    <xf numFmtId="1" fontId="22" fillId="0" borderId="0" xfId="0" applyNumberFormat="1" applyFont="1" applyAlignment="1" applyProtection="1">
      <alignment horizontal="center" vertical="center"/>
      <protection hidden="1"/>
    </xf>
    <xf numFmtId="2" fontId="8" fillId="0" borderId="0" xfId="0" applyNumberFormat="1" applyFont="1" applyAlignment="1" applyProtection="1">
      <alignment horizontal="center" vertical="center"/>
      <protection hidden="1"/>
    </xf>
    <xf numFmtId="0" fontId="81" fillId="0" borderId="0" xfId="0" applyFont="1" applyAlignment="1" applyProtection="1">
      <alignment horizontal="center" vertical="center"/>
      <protection hidden="1"/>
    </xf>
    <xf numFmtId="0" fontId="81" fillId="0" borderId="0" xfId="0" quotePrefix="1" applyFont="1" applyAlignment="1" applyProtection="1">
      <alignment vertical="center"/>
      <protection hidden="1"/>
    </xf>
    <xf numFmtId="1" fontId="22" fillId="0" borderId="35" xfId="0" applyNumberFormat="1" applyFont="1" applyBorder="1" applyAlignment="1" applyProtection="1">
      <alignment horizontal="center" vertical="center"/>
      <protection hidden="1"/>
    </xf>
    <xf numFmtId="0" fontId="81" fillId="0" borderId="0" xfId="0" applyFont="1" applyAlignment="1" applyProtection="1">
      <alignment vertical="center"/>
      <protection hidden="1"/>
    </xf>
    <xf numFmtId="1" fontId="22" fillId="0" borderId="0" xfId="0" quotePrefix="1" applyNumberFormat="1" applyFont="1" applyAlignment="1" applyProtection="1">
      <alignment horizontal="center" vertical="center"/>
      <protection hidden="1"/>
    </xf>
    <xf numFmtId="1" fontId="82" fillId="0" borderId="0" xfId="0" applyNumberFormat="1" applyFont="1" applyAlignment="1" applyProtection="1">
      <alignment horizontal="left" vertical="center"/>
      <protection hidden="1"/>
    </xf>
    <xf numFmtId="0" fontId="82" fillId="0" borderId="0" xfId="0" applyFont="1" applyAlignment="1" applyProtection="1">
      <alignment vertical="center"/>
      <protection hidden="1"/>
    </xf>
    <xf numFmtId="0" fontId="82" fillId="11" borderId="18" xfId="0" applyFont="1" applyFill="1" applyBorder="1" applyAlignment="1" applyProtection="1">
      <alignment horizontal="left" vertical="center"/>
      <protection hidden="1"/>
    </xf>
    <xf numFmtId="0" fontId="82" fillId="11" borderId="62" xfId="0" applyFont="1" applyFill="1" applyBorder="1" applyAlignment="1" applyProtection="1">
      <alignment horizontal="left" vertical="center"/>
      <protection hidden="1"/>
    </xf>
    <xf numFmtId="165" fontId="82" fillId="11" borderId="18" xfId="0" applyNumberFormat="1" applyFont="1" applyFill="1" applyBorder="1" applyAlignment="1" applyProtection="1">
      <alignment horizontal="right" vertical="center"/>
      <protection hidden="1"/>
    </xf>
    <xf numFmtId="165" fontId="82" fillId="11" borderId="62" xfId="0" applyNumberFormat="1" applyFont="1" applyFill="1" applyBorder="1" applyAlignment="1" applyProtection="1">
      <alignment horizontal="right" vertical="center"/>
      <protection hidden="1"/>
    </xf>
    <xf numFmtId="165" fontId="82" fillId="11" borderId="19" xfId="0" applyNumberFormat="1" applyFont="1" applyFill="1" applyBorder="1" applyAlignment="1" applyProtection="1">
      <alignment horizontal="right" vertical="center"/>
      <protection hidden="1"/>
    </xf>
    <xf numFmtId="0" fontId="82" fillId="0" borderId="20" xfId="0" applyFont="1" applyBorder="1" applyAlignment="1" applyProtection="1">
      <alignment horizontal="left" vertical="center"/>
      <protection hidden="1"/>
    </xf>
    <xf numFmtId="0" fontId="82" fillId="0" borderId="60" xfId="0" applyFont="1" applyBorder="1" applyAlignment="1" applyProtection="1">
      <alignment horizontal="left" vertical="center"/>
      <protection hidden="1"/>
    </xf>
    <xf numFmtId="0" fontId="82" fillId="0" borderId="60" xfId="0" applyFont="1" applyBorder="1" applyAlignment="1" applyProtection="1">
      <alignment horizontal="right" vertical="center"/>
      <protection hidden="1"/>
    </xf>
    <xf numFmtId="1" fontId="82" fillId="0" borderId="20" xfId="0" applyNumberFormat="1" applyFont="1" applyBorder="1" applyAlignment="1" applyProtection="1">
      <alignment horizontal="right" vertical="center"/>
      <protection hidden="1"/>
    </xf>
    <xf numFmtId="1" fontId="82" fillId="0" borderId="60" xfId="0" applyNumberFormat="1" applyFont="1" applyBorder="1" applyAlignment="1" applyProtection="1">
      <alignment horizontal="right" vertical="center"/>
      <protection hidden="1"/>
    </xf>
    <xf numFmtId="1" fontId="82" fillId="0" borderId="60" xfId="0" applyNumberFormat="1" applyFont="1" applyBorder="1" applyAlignment="1" applyProtection="1">
      <alignment horizontal="left" vertical="center"/>
      <protection hidden="1"/>
    </xf>
    <xf numFmtId="1" fontId="82" fillId="0" borderId="61" xfId="0" applyNumberFormat="1" applyFont="1" applyBorder="1" applyAlignment="1" applyProtection="1">
      <alignment horizontal="right" vertical="center"/>
      <protection hidden="1"/>
    </xf>
    <xf numFmtId="0" fontId="30" fillId="0" borderId="7" xfId="0" applyFont="1" applyBorder="1" applyAlignment="1" applyProtection="1">
      <alignment vertical="center"/>
      <protection hidden="1"/>
    </xf>
    <xf numFmtId="0" fontId="30" fillId="0" borderId="0" xfId="0" applyFont="1" applyAlignment="1" applyProtection="1">
      <alignment horizontal="right" vertical="center"/>
      <protection hidden="1"/>
    </xf>
    <xf numFmtId="0" fontId="83" fillId="0" borderId="0" xfId="0" applyFont="1" applyAlignment="1" applyProtection="1">
      <alignment horizontal="center" vertical="center"/>
      <protection hidden="1"/>
    </xf>
    <xf numFmtId="2" fontId="83" fillId="0" borderId="8" xfId="0" applyNumberFormat="1" applyFont="1" applyBorder="1" applyAlignment="1" applyProtection="1">
      <alignment horizontal="center" vertical="center"/>
      <protection hidden="1"/>
    </xf>
    <xf numFmtId="2" fontId="83" fillId="0" borderId="0" xfId="0" applyNumberFormat="1" applyFont="1" applyAlignment="1" applyProtection="1">
      <alignment horizontal="center" vertical="center"/>
      <protection hidden="1"/>
    </xf>
    <xf numFmtId="0" fontId="38" fillId="12" borderId="1" xfId="0" applyFont="1" applyFill="1" applyBorder="1"/>
    <xf numFmtId="0" fontId="20" fillId="12" borderId="3" xfId="0" applyFont="1" applyFill="1" applyBorder="1"/>
    <xf numFmtId="0" fontId="32" fillId="12" borderId="3" xfId="0" applyFont="1" applyFill="1" applyBorder="1" applyAlignment="1">
      <alignment horizontal="center" vertical="center"/>
    </xf>
    <xf numFmtId="0" fontId="38" fillId="12" borderId="2" xfId="0" applyFont="1" applyFill="1" applyBorder="1" applyAlignment="1">
      <alignment horizontal="right"/>
    </xf>
    <xf numFmtId="0" fontId="20" fillId="0" borderId="0" xfId="0" applyFont="1"/>
    <xf numFmtId="0" fontId="39" fillId="0" borderId="7" xfId="0" applyFont="1" applyBorder="1"/>
    <xf numFmtId="0" fontId="39" fillId="0" borderId="0" xfId="0" applyFont="1"/>
    <xf numFmtId="0" fontId="21" fillId="0" borderId="0" xfId="0" applyFont="1"/>
    <xf numFmtId="0" fontId="21" fillId="0" borderId="8" xfId="0" applyFont="1" applyBorder="1"/>
    <xf numFmtId="0" fontId="22" fillId="0" borderId="7" xfId="0" applyFont="1" applyBorder="1"/>
    <xf numFmtId="0" fontId="23" fillId="0" borderId="0" xfId="0" applyFont="1" applyAlignment="1">
      <alignment horizontal="left"/>
    </xf>
    <xf numFmtId="0" fontId="22" fillId="0" borderId="8" xfId="0" applyFont="1" applyBorder="1"/>
    <xf numFmtId="0" fontId="23" fillId="0" borderId="0" xfId="0" applyFont="1" applyAlignment="1">
      <alignment horizontal="right"/>
    </xf>
    <xf numFmtId="0" fontId="14"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22" fillId="0" borderId="20" xfId="0" applyFont="1" applyBorder="1"/>
    <xf numFmtId="0" fontId="22" fillId="0" borderId="60" xfId="0" applyFont="1" applyBorder="1"/>
    <xf numFmtId="0" fontId="23" fillId="0" borderId="60" xfId="0" applyFont="1" applyBorder="1" applyAlignment="1">
      <alignment horizontal="left"/>
    </xf>
    <xf numFmtId="0" fontId="22" fillId="0" borderId="61" xfId="0" applyFont="1" applyBorder="1"/>
    <xf numFmtId="0" fontId="24" fillId="0" borderId="0" xfId="0" applyFont="1"/>
    <xf numFmtId="0" fontId="24" fillId="0" borderId="8" xfId="0" applyFont="1" applyBorder="1"/>
    <xf numFmtId="0" fontId="14" fillId="0" borderId="7" xfId="0" applyFont="1" applyBorder="1"/>
    <xf numFmtId="49" fontId="14" fillId="0" borderId="8" xfId="0" applyNumberFormat="1" applyFont="1" applyBorder="1"/>
    <xf numFmtId="49" fontId="5" fillId="0" borderId="0" xfId="0" applyNumberFormat="1" applyFont="1"/>
    <xf numFmtId="0" fontId="14" fillId="0" borderId="0" xfId="0" applyFont="1"/>
    <xf numFmtId="49" fontId="14" fillId="0" borderId="0" xfId="0" applyNumberFormat="1" applyFont="1"/>
    <xf numFmtId="49" fontId="22" fillId="0" borderId="0" xfId="0" applyNumberFormat="1" applyFont="1"/>
    <xf numFmtId="49" fontId="22" fillId="0" borderId="8" xfId="0" applyNumberFormat="1" applyFont="1" applyBorder="1"/>
    <xf numFmtId="0" fontId="5" fillId="0" borderId="0" xfId="0" applyFont="1" applyAlignment="1">
      <alignment shrinkToFit="1"/>
    </xf>
    <xf numFmtId="0" fontId="14" fillId="0" borderId="8" xfId="0" applyFont="1" applyBorder="1"/>
    <xf numFmtId="0" fontId="14" fillId="0" borderId="20" xfId="0" applyFont="1" applyBorder="1"/>
    <xf numFmtId="0" fontId="14" fillId="0" borderId="60" xfId="0" applyFont="1" applyBorder="1"/>
    <xf numFmtId="49" fontId="14" fillId="0" borderId="60" xfId="0" applyNumberFormat="1" applyFont="1" applyBorder="1"/>
    <xf numFmtId="49" fontId="14" fillId="0" borderId="61" xfId="0" applyNumberFormat="1" applyFont="1" applyBorder="1"/>
    <xf numFmtId="14" fontId="14" fillId="0" borderId="0" xfId="0" applyNumberFormat="1" applyFont="1" applyAlignment="1">
      <alignment horizontal="left"/>
    </xf>
    <xf numFmtId="14" fontId="22" fillId="0" borderId="0" xfId="0" applyNumberFormat="1" applyFont="1" applyAlignment="1">
      <alignment horizontal="left"/>
    </xf>
    <xf numFmtId="14" fontId="22" fillId="0" borderId="8" xfId="0" applyNumberFormat="1" applyFont="1" applyBorder="1" applyAlignment="1">
      <alignment horizontal="left"/>
    </xf>
    <xf numFmtId="0" fontId="40" fillId="12" borderId="1" xfId="0" applyFont="1" applyFill="1" applyBorder="1" applyAlignment="1">
      <alignment horizontal="left"/>
    </xf>
    <xf numFmtId="0" fontId="25" fillId="12" borderId="3" xfId="0" applyFont="1" applyFill="1" applyBorder="1" applyAlignment="1">
      <alignment horizontal="center"/>
    </xf>
    <xf numFmtId="0" fontId="25" fillId="12" borderId="2" xfId="0" applyFont="1" applyFill="1" applyBorder="1" applyAlignment="1">
      <alignment horizontal="center"/>
    </xf>
    <xf numFmtId="0" fontId="41" fillId="12" borderId="4" xfId="0" applyFont="1" applyFill="1" applyBorder="1" applyProtection="1">
      <protection hidden="1"/>
    </xf>
    <xf numFmtId="0" fontId="26" fillId="12" borderId="5" xfId="0" applyFont="1" applyFill="1" applyBorder="1" applyProtection="1">
      <protection hidden="1"/>
    </xf>
    <xf numFmtId="0" fontId="31" fillId="12" borderId="5" xfId="0" applyFont="1" applyFill="1" applyBorder="1" applyAlignment="1" applyProtection="1">
      <alignment horizontal="center" vertical="center"/>
      <protection hidden="1"/>
    </xf>
    <xf numFmtId="0" fontId="20" fillId="12" borderId="6" xfId="0" applyFont="1" applyFill="1" applyBorder="1" applyAlignment="1" applyProtection="1">
      <alignment horizontal="right"/>
      <protection hidden="1"/>
    </xf>
    <xf numFmtId="0" fontId="42" fillId="0" borderId="62" xfId="0" applyFont="1" applyBorder="1" applyProtection="1">
      <protection hidden="1"/>
    </xf>
    <xf numFmtId="0" fontId="22" fillId="0" borderId="62" xfId="0" applyFont="1" applyBorder="1" applyProtection="1">
      <protection hidden="1"/>
    </xf>
    <xf numFmtId="0" fontId="5" fillId="0" borderId="62" xfId="0" applyFont="1" applyBorder="1" applyProtection="1">
      <protection hidden="1"/>
    </xf>
    <xf numFmtId="0" fontId="42" fillId="0" borderId="60" xfId="0" applyFont="1" applyBorder="1" applyProtection="1">
      <protection hidden="1"/>
    </xf>
    <xf numFmtId="0" fontId="5" fillId="0" borderId="60" xfId="0" applyFont="1" applyBorder="1" applyProtection="1">
      <protection hidden="1"/>
    </xf>
    <xf numFmtId="0" fontId="22" fillId="0" borderId="19" xfId="0" applyFont="1" applyBorder="1" applyProtection="1">
      <protection hidden="1"/>
    </xf>
    <xf numFmtId="0" fontId="82" fillId="0" borderId="7" xfId="0" applyFont="1" applyBorder="1" applyProtection="1">
      <protection hidden="1"/>
    </xf>
    <xf numFmtId="0" fontId="82" fillId="13" borderId="25" xfId="0" applyFont="1" applyFill="1" applyBorder="1" applyProtection="1">
      <protection hidden="1"/>
    </xf>
    <xf numFmtId="0" fontId="82" fillId="13" borderId="26" xfId="0" applyFont="1" applyFill="1" applyBorder="1" applyProtection="1">
      <protection hidden="1"/>
    </xf>
    <xf numFmtId="0" fontId="82" fillId="13" borderId="35" xfId="0" applyFont="1" applyFill="1" applyBorder="1" applyProtection="1">
      <protection hidden="1"/>
    </xf>
    <xf numFmtId="0" fontId="82" fillId="7" borderId="25" xfId="0" applyFont="1" applyFill="1" applyBorder="1" applyProtection="1">
      <protection hidden="1"/>
    </xf>
    <xf numFmtId="165" fontId="82" fillId="7" borderId="26" xfId="0" applyNumberFormat="1" applyFont="1" applyFill="1" applyBorder="1" applyAlignment="1" applyProtection="1">
      <alignment horizontal="center"/>
      <protection hidden="1"/>
    </xf>
    <xf numFmtId="165" fontId="82" fillId="7" borderId="26" xfId="0" applyNumberFormat="1" applyFont="1" applyFill="1" applyBorder="1" applyProtection="1">
      <protection hidden="1"/>
    </xf>
    <xf numFmtId="0" fontId="82" fillId="7" borderId="35" xfId="0" applyFont="1" applyFill="1" applyBorder="1" applyProtection="1">
      <protection hidden="1"/>
    </xf>
    <xf numFmtId="0" fontId="84" fillId="0" borderId="0" xfId="0" applyFont="1" applyProtection="1">
      <protection hidden="1"/>
    </xf>
    <xf numFmtId="0" fontId="82" fillId="0" borderId="0" xfId="0" applyFont="1" applyProtection="1">
      <protection hidden="1"/>
    </xf>
    <xf numFmtId="0" fontId="82" fillId="0" borderId="8" xfId="0" applyFont="1" applyBorder="1" applyProtection="1">
      <protection hidden="1"/>
    </xf>
    <xf numFmtId="0" fontId="1" fillId="13" borderId="0" xfId="7" applyFill="1"/>
    <xf numFmtId="0" fontId="3" fillId="0" borderId="0" xfId="0" applyFont="1" applyProtection="1">
      <protection locked="0"/>
    </xf>
    <xf numFmtId="0" fontId="25" fillId="12" borderId="11" xfId="0" applyFont="1" applyFill="1" applyBorder="1" applyAlignment="1">
      <alignment horizontal="left"/>
    </xf>
    <xf numFmtId="0" fontId="85" fillId="0" borderId="8" xfId="0" applyFont="1" applyBorder="1"/>
    <xf numFmtId="0" fontId="85" fillId="0" borderId="8" xfId="0" applyFont="1" applyBorder="1" applyAlignment="1">
      <alignment horizontal="center"/>
    </xf>
    <xf numFmtId="2" fontId="2" fillId="13" borderId="5" xfId="0" applyNumberFormat="1" applyFont="1" applyFill="1" applyBorder="1" applyProtection="1">
      <protection locked="0"/>
    </xf>
    <xf numFmtId="165" fontId="2" fillId="13" borderId="10" xfId="0" applyNumberFormat="1" applyFont="1" applyFill="1" applyBorder="1" applyProtection="1">
      <protection locked="0"/>
    </xf>
    <xf numFmtId="2" fontId="2" fillId="9" borderId="6" xfId="0" applyNumberFormat="1" applyFont="1" applyFill="1" applyBorder="1" applyProtection="1">
      <protection locked="0"/>
    </xf>
    <xf numFmtId="2" fontId="2" fillId="9" borderId="11" xfId="0" applyNumberFormat="1" applyFont="1" applyFill="1" applyBorder="1" applyProtection="1">
      <protection locked="0"/>
    </xf>
    <xf numFmtId="165" fontId="0" fillId="6" borderId="8" xfId="0" applyNumberFormat="1" applyFill="1" applyBorder="1"/>
    <xf numFmtId="0" fontId="54" fillId="0" borderId="0" xfId="0" applyFont="1" applyAlignment="1" applyProtection="1">
      <alignment horizontal="right"/>
      <protection hidden="1"/>
    </xf>
    <xf numFmtId="2" fontId="66" fillId="3" borderId="30" xfId="0" applyNumberFormat="1" applyFont="1" applyFill="1" applyBorder="1" applyProtection="1">
      <protection locked="0" hidden="1"/>
    </xf>
    <xf numFmtId="0" fontId="5" fillId="0" borderId="0" xfId="0" applyFont="1" applyAlignment="1" applyProtection="1">
      <alignment horizontal="right"/>
      <protection hidden="1"/>
    </xf>
    <xf numFmtId="2" fontId="66" fillId="3" borderId="30" xfId="0" applyNumberFormat="1" applyFont="1" applyFill="1" applyBorder="1" applyAlignment="1" applyProtection="1">
      <alignment horizontal="center"/>
      <protection locked="0" hidden="1"/>
    </xf>
    <xf numFmtId="0" fontId="1" fillId="0" borderId="0" xfId="0" applyFont="1" applyProtection="1">
      <protection locked="0"/>
    </xf>
    <xf numFmtId="0" fontId="22" fillId="21" borderId="0" xfId="0" applyFont="1" applyFill="1" applyProtection="1">
      <protection hidden="1"/>
    </xf>
    <xf numFmtId="0" fontId="20" fillId="21" borderId="0" xfId="0" applyFont="1" applyFill="1" applyProtection="1">
      <protection hidden="1"/>
    </xf>
    <xf numFmtId="0" fontId="12" fillId="21" borderId="0" xfId="0" applyFont="1" applyFill="1"/>
    <xf numFmtId="0" fontId="3" fillId="21" borderId="0" xfId="0" applyFont="1" applyFill="1"/>
    <xf numFmtId="0" fontId="14" fillId="21" borderId="0" xfId="0" applyFont="1" applyFill="1" applyProtection="1">
      <protection hidden="1"/>
    </xf>
    <xf numFmtId="0" fontId="1" fillId="11" borderId="1" xfId="0" applyFont="1" applyFill="1" applyBorder="1" applyAlignment="1" applyProtection="1">
      <alignment vertical="center"/>
      <protection hidden="1"/>
    </xf>
    <xf numFmtId="0" fontId="23" fillId="14" borderId="0" xfId="0" applyFont="1" applyFill="1" applyProtection="1">
      <protection hidden="1"/>
    </xf>
    <xf numFmtId="0" fontId="23" fillId="14" borderId="0" xfId="0" applyFont="1" applyFill="1" applyAlignment="1" applyProtection="1">
      <alignment horizontal="right"/>
      <protection hidden="1"/>
    </xf>
    <xf numFmtId="0" fontId="1" fillId="13" borderId="25" xfId="0" applyFont="1" applyFill="1" applyBorder="1" applyProtection="1">
      <protection hidden="1"/>
    </xf>
    <xf numFmtId="0" fontId="3" fillId="0" borderId="8" xfId="0" applyFont="1" applyBorder="1" applyProtection="1">
      <protection hidden="1"/>
    </xf>
    <xf numFmtId="0" fontId="3" fillId="13" borderId="23" xfId="0" applyFont="1" applyFill="1" applyBorder="1" applyProtection="1">
      <protection hidden="1"/>
    </xf>
    <xf numFmtId="0" fontId="3" fillId="13" borderId="63" xfId="0" applyFont="1" applyFill="1" applyBorder="1" applyProtection="1">
      <protection hidden="1"/>
    </xf>
    <xf numFmtId="0" fontId="3" fillId="0" borderId="40" xfId="0" applyFont="1" applyBorder="1" applyProtection="1">
      <protection hidden="1"/>
    </xf>
    <xf numFmtId="0" fontId="3" fillId="0" borderId="26" xfId="0" applyFont="1" applyBorder="1" applyProtection="1">
      <protection hidden="1"/>
    </xf>
    <xf numFmtId="0" fontId="11" fillId="13" borderId="1" xfId="0" applyFont="1" applyFill="1" applyBorder="1" applyProtection="1">
      <protection hidden="1"/>
    </xf>
    <xf numFmtId="0" fontId="1" fillId="13" borderId="3" xfId="0" applyFont="1" applyFill="1" applyBorder="1" applyProtection="1">
      <protection hidden="1"/>
    </xf>
    <xf numFmtId="0" fontId="11" fillId="13" borderId="3" xfId="0" applyFont="1" applyFill="1" applyBorder="1" applyAlignment="1" applyProtection="1">
      <alignment horizontal="center"/>
      <protection hidden="1"/>
    </xf>
    <xf numFmtId="0" fontId="11" fillId="13" borderId="81" xfId="0" applyFont="1" applyFill="1" applyBorder="1" applyAlignment="1" applyProtection="1">
      <alignment horizontal="center"/>
      <protection hidden="1"/>
    </xf>
    <xf numFmtId="0" fontId="11" fillId="13" borderId="56" xfId="0" applyFont="1" applyFill="1" applyBorder="1" applyAlignment="1" applyProtection="1">
      <alignment horizontal="center"/>
      <protection hidden="1"/>
    </xf>
    <xf numFmtId="0" fontId="1" fillId="0" borderId="8" xfId="0" applyFont="1" applyBorder="1" applyProtection="1">
      <protection hidden="1"/>
    </xf>
    <xf numFmtId="0" fontId="1" fillId="0" borderId="0" xfId="0" applyFont="1" applyProtection="1">
      <protection hidden="1"/>
    </xf>
    <xf numFmtId="0" fontId="1" fillId="13" borderId="23" xfId="0" applyFont="1" applyFill="1" applyBorder="1" applyProtection="1">
      <protection hidden="1"/>
    </xf>
    <xf numFmtId="0" fontId="1" fillId="13" borderId="63" xfId="0" applyFont="1" applyFill="1" applyBorder="1" applyProtection="1">
      <protection hidden="1"/>
    </xf>
    <xf numFmtId="0" fontId="1" fillId="0" borderId="82" xfId="0" applyFont="1" applyBorder="1" applyAlignment="1" applyProtection="1">
      <alignment horizontal="right"/>
      <protection hidden="1"/>
    </xf>
    <xf numFmtId="0" fontId="1" fillId="0" borderId="39" xfId="0" applyFont="1" applyBorder="1" applyProtection="1">
      <protection hidden="1"/>
    </xf>
    <xf numFmtId="0" fontId="1" fillId="0" borderId="63" xfId="0" applyFont="1" applyBorder="1" applyProtection="1">
      <protection hidden="1"/>
    </xf>
    <xf numFmtId="0" fontId="1" fillId="0" borderId="39" xfId="0" applyFont="1" applyBorder="1" applyAlignment="1" applyProtection="1">
      <alignment horizontal="right"/>
      <protection hidden="1"/>
    </xf>
    <xf numFmtId="0" fontId="1" fillId="0" borderId="38" xfId="0" applyFont="1" applyBorder="1" applyAlignment="1" applyProtection="1">
      <alignment horizontal="right"/>
      <protection hidden="1"/>
    </xf>
    <xf numFmtId="0" fontId="1" fillId="0" borderId="20" xfId="0" applyFont="1" applyBorder="1" applyProtection="1">
      <protection hidden="1"/>
    </xf>
    <xf numFmtId="0" fontId="1" fillId="0" borderId="60" xfId="0" applyFont="1" applyBorder="1" applyProtection="1">
      <protection hidden="1"/>
    </xf>
    <xf numFmtId="165" fontId="1" fillId="7" borderId="84" xfId="0" applyNumberFormat="1" applyFont="1" applyFill="1" applyBorder="1" applyAlignment="1" applyProtection="1">
      <alignment horizontal="center"/>
      <protection hidden="1"/>
    </xf>
    <xf numFmtId="0" fontId="1" fillId="0" borderId="40" xfId="0" applyFont="1" applyBorder="1" applyProtection="1">
      <protection hidden="1"/>
    </xf>
    <xf numFmtId="0" fontId="1" fillId="0" borderId="26" xfId="0" applyFont="1" applyBorder="1" applyProtection="1">
      <protection hidden="1"/>
    </xf>
    <xf numFmtId="165" fontId="1" fillId="7" borderId="31" xfId="0" applyNumberFormat="1" applyFont="1" applyFill="1" applyBorder="1" applyAlignment="1" applyProtection="1">
      <alignment horizontal="center"/>
      <protection hidden="1"/>
    </xf>
    <xf numFmtId="0" fontId="1" fillId="0" borderId="9" xfId="0" applyFont="1" applyBorder="1" applyProtection="1">
      <protection hidden="1"/>
    </xf>
    <xf numFmtId="0" fontId="1" fillId="0" borderId="10" xfId="0" applyFont="1" applyBorder="1" applyProtection="1">
      <protection hidden="1"/>
    </xf>
    <xf numFmtId="165" fontId="1" fillId="7" borderId="29" xfId="0" applyNumberFormat="1" applyFont="1" applyFill="1" applyBorder="1" applyAlignment="1" applyProtection="1">
      <alignment horizontal="center"/>
      <protection hidden="1"/>
    </xf>
    <xf numFmtId="0" fontId="1" fillId="0" borderId="82" xfId="0" applyFont="1" applyBorder="1" applyAlignment="1" applyProtection="1">
      <alignment horizontal="center"/>
      <protection hidden="1"/>
    </xf>
    <xf numFmtId="165" fontId="1" fillId="0" borderId="39" xfId="0" applyNumberFormat="1" applyFont="1" applyBorder="1" applyAlignment="1" applyProtection="1">
      <alignment horizontal="center"/>
      <protection hidden="1"/>
    </xf>
    <xf numFmtId="0" fontId="1" fillId="0" borderId="63" xfId="0" applyFont="1" applyBorder="1" applyAlignment="1" applyProtection="1">
      <alignment horizontal="center"/>
      <protection hidden="1"/>
    </xf>
    <xf numFmtId="165" fontId="1" fillId="0" borderId="63" xfId="0" applyNumberFormat="1" applyFont="1" applyBorder="1" applyAlignment="1" applyProtection="1">
      <alignment horizontal="center"/>
      <protection hidden="1"/>
    </xf>
    <xf numFmtId="0" fontId="1" fillId="0" borderId="39" xfId="0" applyFont="1" applyBorder="1" applyAlignment="1" applyProtection="1">
      <alignment horizontal="center"/>
      <protection hidden="1"/>
    </xf>
    <xf numFmtId="165" fontId="1" fillId="0" borderId="38" xfId="0" applyNumberFormat="1" applyFont="1" applyBorder="1" applyAlignment="1" applyProtection="1">
      <alignment horizontal="center"/>
      <protection hidden="1"/>
    </xf>
    <xf numFmtId="0" fontId="1" fillId="0" borderId="7" xfId="0" applyFont="1" applyBorder="1" applyProtection="1">
      <protection hidden="1"/>
    </xf>
    <xf numFmtId="0" fontId="11" fillId="0" borderId="10" xfId="0" applyFont="1" applyBorder="1" applyAlignment="1" applyProtection="1">
      <alignment horizontal="left"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Protection="1">
      <protection hidden="1"/>
    </xf>
    <xf numFmtId="0" fontId="3" fillId="0" borderId="7" xfId="0" applyFont="1" applyBorder="1" applyProtection="1">
      <protection hidden="1"/>
    </xf>
    <xf numFmtId="0" fontId="3" fillId="13" borderId="24" xfId="0" applyFont="1" applyFill="1" applyBorder="1" applyProtection="1">
      <protection hidden="1"/>
    </xf>
    <xf numFmtId="0" fontId="3" fillId="13" borderId="63" xfId="0" applyFont="1" applyFill="1" applyBorder="1" applyProtection="1">
      <protection locked="0" hidden="1"/>
    </xf>
    <xf numFmtId="0" fontId="3" fillId="13" borderId="39" xfId="0" applyFont="1" applyFill="1" applyBorder="1" applyProtection="1">
      <protection locked="0" hidden="1"/>
    </xf>
    <xf numFmtId="0" fontId="3" fillId="13" borderId="82" xfId="0" applyFont="1" applyFill="1" applyBorder="1" applyProtection="1">
      <protection locked="0" hidden="1"/>
    </xf>
    <xf numFmtId="0" fontId="3" fillId="0" borderId="26" xfId="0" applyFont="1" applyBorder="1" applyProtection="1">
      <protection locked="0" hidden="1"/>
    </xf>
    <xf numFmtId="0" fontId="3" fillId="0" borderId="80" xfId="0" applyFont="1" applyBorder="1" applyProtection="1">
      <protection hidden="1"/>
    </xf>
    <xf numFmtId="166" fontId="3" fillId="20" borderId="26" xfId="0" applyNumberFormat="1" applyFont="1" applyFill="1" applyBorder="1" applyAlignment="1" applyProtection="1">
      <alignment horizontal="center"/>
      <protection locked="0" hidden="1"/>
    </xf>
    <xf numFmtId="0" fontId="3" fillId="0" borderId="35" xfId="0" applyFont="1" applyBorder="1" applyProtection="1">
      <protection locked="0" hidden="1"/>
    </xf>
    <xf numFmtId="166" fontId="3" fillId="0" borderId="25" xfId="0" applyNumberFormat="1" applyFont="1" applyBorder="1" applyAlignment="1" applyProtection="1">
      <alignment horizontal="center"/>
      <protection locked="0" hidden="1"/>
    </xf>
    <xf numFmtId="0" fontId="3" fillId="0" borderId="80" xfId="0" applyFont="1" applyBorder="1" applyProtection="1">
      <protection locked="0" hidden="1"/>
    </xf>
    <xf numFmtId="0" fontId="3" fillId="0" borderId="41" xfId="0" applyFont="1" applyBorder="1" applyProtection="1">
      <protection hidden="1"/>
    </xf>
    <xf numFmtId="0" fontId="3" fillId="0" borderId="58" xfId="0" applyFont="1" applyBorder="1" applyProtection="1">
      <protection hidden="1"/>
    </xf>
    <xf numFmtId="0" fontId="3" fillId="0" borderId="58" xfId="0" applyFont="1" applyBorder="1" applyProtection="1">
      <protection locked="0" hidden="1"/>
    </xf>
    <xf numFmtId="0" fontId="3" fillId="0" borderId="59" xfId="0" applyFont="1" applyBorder="1" applyProtection="1">
      <protection hidden="1"/>
    </xf>
    <xf numFmtId="0" fontId="3" fillId="20" borderId="58" xfId="0" applyFont="1" applyFill="1" applyBorder="1" applyProtection="1">
      <protection locked="0" hidden="1"/>
    </xf>
    <xf numFmtId="0" fontId="3" fillId="0" borderId="42" xfId="0" applyFont="1" applyBorder="1" applyProtection="1">
      <protection locked="0" hidden="1"/>
    </xf>
    <xf numFmtId="166" fontId="3" fillId="0" borderId="83" xfId="0" applyNumberFormat="1" applyFont="1" applyBorder="1" applyAlignment="1" applyProtection="1">
      <alignment horizontal="center"/>
      <protection locked="0" hidden="1"/>
    </xf>
    <xf numFmtId="0" fontId="3" fillId="0" borderId="59" xfId="0" applyFont="1" applyBorder="1" applyProtection="1">
      <protection locked="0" hidden="1"/>
    </xf>
    <xf numFmtId="167" fontId="22" fillId="22" borderId="14" xfId="2" applyNumberFormat="1" applyFont="1" applyFill="1" applyBorder="1" applyAlignment="1" applyProtection="1">
      <alignment horizontal="right"/>
      <protection locked="0" hidden="1"/>
    </xf>
    <xf numFmtId="0" fontId="2" fillId="23" borderId="0" xfId="0" applyFont="1" applyFill="1" applyProtection="1">
      <protection locked="0"/>
    </xf>
    <xf numFmtId="1" fontId="2" fillId="23" borderId="10" xfId="0" applyNumberFormat="1" applyFont="1" applyFill="1" applyBorder="1" applyAlignment="1" applyProtection="1">
      <alignment horizontal="center"/>
      <protection locked="0"/>
    </xf>
    <xf numFmtId="1" fontId="2" fillId="24" borderId="11" xfId="0" applyNumberFormat="1" applyFont="1" applyFill="1" applyBorder="1" applyAlignment="1" applyProtection="1">
      <alignment horizontal="center"/>
      <protection locked="0"/>
    </xf>
    <xf numFmtId="2" fontId="2" fillId="23" borderId="0" xfId="0" applyNumberFormat="1" applyFont="1" applyFill="1" applyAlignment="1" applyProtection="1">
      <alignment horizontal="left"/>
      <protection locked="0"/>
    </xf>
    <xf numFmtId="1" fontId="2" fillId="24" borderId="0" xfId="0" applyNumberFormat="1" applyFont="1" applyFill="1" applyProtection="1">
      <protection locked="0"/>
    </xf>
    <xf numFmtId="1" fontId="2" fillId="24" borderId="10" xfId="0" applyNumberFormat="1" applyFont="1" applyFill="1" applyBorder="1" applyProtection="1">
      <protection locked="0"/>
    </xf>
    <xf numFmtId="1" fontId="2" fillId="24" borderId="11" xfId="0" applyNumberFormat="1" applyFont="1" applyFill="1" applyBorder="1" applyProtection="1">
      <protection locked="0"/>
    </xf>
    <xf numFmtId="2" fontId="2" fillId="23" borderId="8" xfId="0" applyNumberFormat="1" applyFont="1" applyFill="1" applyBorder="1" applyAlignment="1" applyProtection="1">
      <alignment horizontal="left"/>
      <protection locked="0"/>
    </xf>
    <xf numFmtId="0" fontId="2" fillId="23" borderId="0" xfId="0" applyFont="1" applyFill="1" applyAlignment="1" applyProtection="1">
      <alignment horizontal="left"/>
      <protection locked="0"/>
    </xf>
    <xf numFmtId="0" fontId="1" fillId="13" borderId="40" xfId="0" applyFont="1" applyFill="1" applyBorder="1" applyAlignment="1" applyProtection="1">
      <alignment vertical="center"/>
      <protection hidden="1"/>
    </xf>
    <xf numFmtId="0" fontId="1" fillId="0" borderId="60" xfId="0" applyFont="1" applyBorder="1" applyAlignment="1" applyProtection="1">
      <alignment horizontal="left" vertical="center"/>
      <protection hidden="1"/>
    </xf>
    <xf numFmtId="0" fontId="1" fillId="0" borderId="20" xfId="0" applyFont="1" applyBorder="1" applyAlignment="1" applyProtection="1">
      <alignment horizontal="left" vertical="center"/>
      <protection hidden="1"/>
    </xf>
    <xf numFmtId="0" fontId="1" fillId="0" borderId="60" xfId="0" applyFont="1" applyBorder="1" applyAlignment="1" applyProtection="1">
      <alignment horizontal="right" vertical="center"/>
      <protection hidden="1"/>
    </xf>
    <xf numFmtId="1" fontId="1" fillId="0" borderId="20" xfId="0" applyNumberFormat="1" applyFont="1" applyBorder="1" applyAlignment="1" applyProtection="1">
      <alignment horizontal="right" vertical="center"/>
      <protection hidden="1"/>
    </xf>
    <xf numFmtId="1" fontId="1" fillId="0" borderId="60" xfId="0" applyNumberFormat="1" applyFont="1" applyBorder="1" applyAlignment="1" applyProtection="1">
      <alignment horizontal="right" vertical="center"/>
      <protection hidden="1"/>
    </xf>
    <xf numFmtId="1" fontId="1" fillId="0" borderId="60" xfId="0" applyNumberFormat="1" applyFont="1" applyBorder="1" applyAlignment="1" applyProtection="1">
      <alignment horizontal="left" vertical="center"/>
      <protection hidden="1"/>
    </xf>
    <xf numFmtId="1" fontId="1" fillId="0" borderId="61" xfId="0" applyNumberFormat="1" applyFont="1" applyBorder="1" applyAlignment="1" applyProtection="1">
      <alignment horizontal="right" vertical="center"/>
      <protection hidden="1"/>
    </xf>
    <xf numFmtId="1" fontId="1" fillId="0" borderId="0" xfId="0" applyNumberFormat="1" applyFont="1" applyAlignment="1" applyProtection="1">
      <alignment horizontal="left" vertical="center"/>
      <protection hidden="1"/>
    </xf>
    <xf numFmtId="0" fontId="1" fillId="0" borderId="0" xfId="0" applyFont="1" applyAlignment="1" applyProtection="1">
      <alignment vertical="center"/>
      <protection hidden="1"/>
    </xf>
    <xf numFmtId="0" fontId="1" fillId="11" borderId="7" xfId="0" applyFont="1" applyFill="1" applyBorder="1" applyAlignment="1" applyProtection="1">
      <alignment horizontal="left" vertical="center"/>
      <protection hidden="1"/>
    </xf>
    <xf numFmtId="0" fontId="1" fillId="11" borderId="0" xfId="0" applyFont="1" applyFill="1" applyAlignment="1" applyProtection="1">
      <alignment horizontal="left" vertical="center"/>
      <protection hidden="1"/>
    </xf>
    <xf numFmtId="165" fontId="1" fillId="11" borderId="7" xfId="0" applyNumberFormat="1" applyFont="1" applyFill="1" applyBorder="1" applyAlignment="1" applyProtection="1">
      <alignment horizontal="right" vertical="center"/>
      <protection hidden="1"/>
    </xf>
    <xf numFmtId="165" fontId="1" fillId="11" borderId="0" xfId="0" applyNumberFormat="1" applyFont="1" applyFill="1" applyAlignment="1" applyProtection="1">
      <alignment horizontal="right" vertical="center"/>
      <protection hidden="1"/>
    </xf>
    <xf numFmtId="165" fontId="1" fillId="11" borderId="8" xfId="0" applyNumberFormat="1" applyFont="1" applyFill="1" applyBorder="1" applyAlignment="1" applyProtection="1">
      <alignment horizontal="right" vertical="center"/>
      <protection hidden="1"/>
    </xf>
    <xf numFmtId="0" fontId="12" fillId="0" borderId="7" xfId="0" applyFont="1" applyBorder="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right" vertical="center"/>
      <protection hidden="1"/>
    </xf>
    <xf numFmtId="1" fontId="12" fillId="0" borderId="0" xfId="0" applyNumberFormat="1" applyFont="1" applyAlignment="1" applyProtection="1">
      <alignment horizontal="right" vertical="center"/>
      <protection hidden="1"/>
    </xf>
    <xf numFmtId="0" fontId="88" fillId="0" borderId="7" xfId="0" applyFont="1" applyBorder="1" applyAlignment="1" applyProtection="1">
      <alignment vertical="center"/>
      <protection hidden="1"/>
    </xf>
    <xf numFmtId="0" fontId="88" fillId="0" borderId="0" xfId="0" applyFont="1" applyAlignment="1" applyProtection="1">
      <alignment vertical="center"/>
      <protection hidden="1"/>
    </xf>
    <xf numFmtId="0" fontId="88" fillId="0" borderId="0" xfId="0" applyFont="1" applyAlignment="1" applyProtection="1">
      <alignment horizontal="right" vertical="center"/>
      <protection hidden="1"/>
    </xf>
    <xf numFmtId="1" fontId="88" fillId="0" borderId="0" xfId="0" applyNumberFormat="1" applyFont="1" applyAlignment="1" applyProtection="1">
      <alignment vertical="center"/>
      <protection hidden="1"/>
    </xf>
    <xf numFmtId="1" fontId="88" fillId="0" borderId="0" xfId="0" applyNumberFormat="1" applyFont="1" applyAlignment="1" applyProtection="1">
      <alignment horizontal="right" vertical="center"/>
      <protection hidden="1"/>
    </xf>
    <xf numFmtId="166" fontId="2" fillId="9" borderId="6" xfId="0" applyNumberFormat="1" applyFont="1" applyFill="1" applyBorder="1" applyProtection="1">
      <protection locked="0"/>
    </xf>
    <xf numFmtId="0" fontId="1" fillId="14" borderId="0" xfId="0" applyFont="1" applyFill="1" applyProtection="1">
      <protection hidden="1"/>
    </xf>
    <xf numFmtId="0" fontId="23" fillId="14" borderId="0" xfId="0" applyFont="1" applyFill="1" applyAlignment="1" applyProtection="1">
      <alignment horizontal="center"/>
      <protection hidden="1"/>
    </xf>
    <xf numFmtId="165" fontId="36" fillId="25" borderId="0" xfId="0" applyNumberFormat="1" applyFont="1" applyFill="1" applyAlignment="1" applyProtection="1">
      <alignment horizontal="center"/>
      <protection hidden="1"/>
    </xf>
    <xf numFmtId="166" fontId="23" fillId="25" borderId="0" xfId="0" applyNumberFormat="1" applyFont="1" applyFill="1" applyAlignment="1" applyProtection="1">
      <alignment horizontal="center"/>
      <protection hidden="1"/>
    </xf>
    <xf numFmtId="0" fontId="1" fillId="0" borderId="0" xfId="0" applyFont="1"/>
    <xf numFmtId="2" fontId="20" fillId="12" borderId="3" xfId="0" applyNumberFormat="1" applyFont="1" applyFill="1" applyBorder="1" applyAlignment="1" applyProtection="1">
      <alignment horizontal="center"/>
      <protection hidden="1"/>
    </xf>
    <xf numFmtId="0" fontId="76" fillId="12" borderId="2" xfId="0" applyFont="1" applyFill="1" applyBorder="1" applyAlignment="1" applyProtection="1">
      <alignment horizontal="center"/>
      <protection hidden="1"/>
    </xf>
    <xf numFmtId="0" fontId="60" fillId="3" borderId="0" xfId="0" applyFont="1" applyFill="1" applyProtection="1">
      <protection locked="0"/>
    </xf>
    <xf numFmtId="2" fontId="60" fillId="3" borderId="85" xfId="0" applyNumberFormat="1" applyFont="1" applyFill="1" applyBorder="1" applyAlignment="1" applyProtection="1">
      <alignment horizontal="center"/>
      <protection locked="0"/>
    </xf>
    <xf numFmtId="0" fontId="10" fillId="0" borderId="17"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50"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90" fillId="0" borderId="20" xfId="0" applyFont="1" applyBorder="1" applyAlignment="1" applyProtection="1">
      <alignment horizontal="left" vertical="center"/>
      <protection hidden="1"/>
    </xf>
    <xf numFmtId="0" fontId="90" fillId="0" borderId="60" xfId="0" applyFont="1" applyBorder="1" applyAlignment="1" applyProtection="1">
      <alignment horizontal="left" vertical="center"/>
      <protection hidden="1"/>
    </xf>
    <xf numFmtId="0" fontId="90" fillId="0" borderId="60" xfId="0" applyFont="1" applyBorder="1" applyAlignment="1" applyProtection="1">
      <alignment horizontal="right" vertical="center"/>
      <protection hidden="1"/>
    </xf>
    <xf numFmtId="1" fontId="90" fillId="0" borderId="20" xfId="0" applyNumberFormat="1" applyFont="1" applyBorder="1" applyAlignment="1" applyProtection="1">
      <alignment horizontal="right" vertical="center"/>
      <protection hidden="1"/>
    </xf>
    <xf numFmtId="1" fontId="90" fillId="0" borderId="60" xfId="0" applyNumberFormat="1" applyFont="1" applyBorder="1" applyAlignment="1" applyProtection="1">
      <alignment horizontal="right" vertical="center"/>
      <protection hidden="1"/>
    </xf>
    <xf numFmtId="1" fontId="90" fillId="0" borderId="60" xfId="0" applyNumberFormat="1" applyFont="1" applyBorder="1" applyAlignment="1" applyProtection="1">
      <alignment horizontal="left" vertical="center"/>
      <protection hidden="1"/>
    </xf>
    <xf numFmtId="1" fontId="90" fillId="0" borderId="61" xfId="0" applyNumberFormat="1" applyFont="1" applyBorder="1" applyAlignment="1" applyProtection="1">
      <alignment horizontal="right" vertical="center"/>
      <protection hidden="1"/>
    </xf>
    <xf numFmtId="1" fontId="90" fillId="0" borderId="0" xfId="0" applyNumberFormat="1" applyFont="1" applyAlignment="1" applyProtection="1">
      <alignment horizontal="left" vertical="center"/>
      <protection hidden="1"/>
    </xf>
    <xf numFmtId="0" fontId="90" fillId="0" borderId="0" xfId="0" applyFont="1" applyAlignment="1" applyProtection="1">
      <alignment vertical="center"/>
      <protection hidden="1"/>
    </xf>
    <xf numFmtId="0" fontId="82" fillId="11" borderId="7" xfId="0" applyFont="1" applyFill="1" applyBorder="1" applyAlignment="1" applyProtection="1">
      <alignment horizontal="left" vertical="center"/>
      <protection hidden="1"/>
    </xf>
    <xf numFmtId="165" fontId="82" fillId="11" borderId="7" xfId="0" applyNumberFormat="1" applyFont="1" applyFill="1" applyBorder="1" applyAlignment="1" applyProtection="1">
      <alignment horizontal="right" vertical="center"/>
      <protection hidden="1"/>
    </xf>
    <xf numFmtId="165" fontId="82" fillId="11" borderId="0" xfId="0" applyNumberFormat="1" applyFont="1" applyFill="1" applyAlignment="1" applyProtection="1">
      <alignment horizontal="right" vertical="center"/>
      <protection hidden="1"/>
    </xf>
    <xf numFmtId="165" fontId="82" fillId="11" borderId="8" xfId="0" applyNumberFormat="1" applyFont="1" applyFill="1" applyBorder="1" applyAlignment="1" applyProtection="1">
      <alignment horizontal="right" vertical="center"/>
      <protection hidden="1"/>
    </xf>
    <xf numFmtId="49" fontId="1" fillId="0" borderId="41" xfId="2" applyNumberFormat="1" applyFont="1" applyFill="1" applyBorder="1" applyAlignment="1" applyProtection="1">
      <alignment vertical="center"/>
      <protection hidden="1"/>
    </xf>
    <xf numFmtId="49" fontId="1" fillId="0" borderId="58" xfId="2" applyNumberFormat="1" applyFont="1" applyFill="1" applyBorder="1" applyAlignment="1" applyProtection="1">
      <alignment vertical="center"/>
      <protection hidden="1"/>
    </xf>
    <xf numFmtId="0" fontId="1" fillId="0" borderId="58" xfId="0" applyFont="1" applyBorder="1" applyAlignment="1" applyProtection="1">
      <alignment vertical="center"/>
      <protection hidden="1"/>
    </xf>
    <xf numFmtId="166" fontId="1" fillId="0" borderId="58" xfId="0" applyNumberFormat="1" applyFont="1" applyBorder="1" applyAlignment="1" applyProtection="1">
      <alignment vertical="center"/>
      <protection hidden="1"/>
    </xf>
    <xf numFmtId="0" fontId="1" fillId="0" borderId="59" xfId="0" applyFont="1" applyBorder="1" applyAlignment="1" applyProtection="1">
      <alignment vertical="center"/>
      <protection hidden="1"/>
    </xf>
    <xf numFmtId="49" fontId="66" fillId="3" borderId="0" xfId="0" applyNumberFormat="1" applyFont="1" applyFill="1" applyAlignment="1" applyProtection="1">
      <alignment wrapText="1"/>
      <protection locked="0"/>
    </xf>
    <xf numFmtId="0" fontId="67" fillId="0" borderId="0" xfId="0" applyFont="1" applyAlignment="1">
      <alignment wrapText="1"/>
    </xf>
    <xf numFmtId="0" fontId="67" fillId="3" borderId="0" xfId="0" applyFont="1" applyFill="1" applyAlignment="1">
      <alignment wrapText="1"/>
    </xf>
    <xf numFmtId="0" fontId="68" fillId="3" borderId="0" xfId="0" applyFont="1" applyFill="1" applyAlignment="1" applyProtection="1">
      <alignment horizontal="center" wrapText="1"/>
      <protection locked="0"/>
    </xf>
    <xf numFmtId="14" fontId="66" fillId="3" borderId="0" xfId="0" applyNumberFormat="1" applyFont="1" applyFill="1" applyAlignment="1" applyProtection="1">
      <alignment horizontal="left" wrapText="1"/>
      <protection locked="0"/>
    </xf>
    <xf numFmtId="166" fontId="60" fillId="3" borderId="25" xfId="0" applyNumberFormat="1" applyFont="1" applyFill="1" applyBorder="1" applyAlignment="1" applyProtection="1">
      <alignment horizontal="center" wrapText="1"/>
      <protection locked="0"/>
    </xf>
    <xf numFmtId="166" fontId="0" fillId="0" borderId="35" xfId="0" applyNumberFormat="1" applyBorder="1" applyAlignment="1">
      <alignment wrapText="1"/>
    </xf>
    <xf numFmtId="0" fontId="52" fillId="0" borderId="7" xfId="0" applyFont="1" applyBorder="1" applyAlignment="1">
      <alignment horizontal="left" wrapText="1" indent="1"/>
    </xf>
    <xf numFmtId="0" fontId="52" fillId="0" borderId="0" xfId="0" applyFont="1" applyAlignment="1">
      <alignment horizontal="left" wrapText="1" indent="1"/>
    </xf>
    <xf numFmtId="0" fontId="52" fillId="0" borderId="8" xfId="0" applyFont="1" applyBorder="1" applyAlignment="1">
      <alignment horizontal="left" wrapText="1" indent="1"/>
    </xf>
    <xf numFmtId="0" fontId="52" fillId="0" borderId="9" xfId="0" applyFont="1" applyBorder="1" applyAlignment="1">
      <alignment horizontal="left" wrapText="1" indent="1"/>
    </xf>
    <xf numFmtId="0" fontId="52" fillId="0" borderId="10" xfId="0" applyFont="1" applyBorder="1" applyAlignment="1">
      <alignment horizontal="left" wrapText="1" indent="1"/>
    </xf>
    <xf numFmtId="0" fontId="52" fillId="0" borderId="11" xfId="0" applyFont="1" applyBorder="1" applyAlignment="1">
      <alignment horizontal="left" wrapText="1" indent="1"/>
    </xf>
    <xf numFmtId="0" fontId="0" fillId="0" borderId="0" xfId="0" applyAlignment="1">
      <alignment horizontal="left" wrapText="1" indent="1"/>
    </xf>
    <xf numFmtId="0" fontId="0" fillId="0" borderId="8" xfId="0" applyBorder="1" applyAlignment="1">
      <alignment horizontal="left" wrapText="1" indent="1"/>
    </xf>
    <xf numFmtId="2" fontId="3" fillId="7" borderId="30" xfId="0" applyNumberFormat="1" applyFont="1" applyFill="1" applyBorder="1" applyAlignment="1">
      <alignment horizontal="center" wrapText="1"/>
    </xf>
    <xf numFmtId="0" fontId="0" fillId="0" borderId="30" xfId="0" applyBorder="1" applyAlignment="1">
      <alignment wrapText="1"/>
    </xf>
    <xf numFmtId="0" fontId="52" fillId="0" borderId="5" xfId="0" applyFont="1" applyBorder="1" applyAlignment="1">
      <alignment horizontal="center" wrapText="1"/>
    </xf>
    <xf numFmtId="0" fontId="52" fillId="0" borderId="0" xfId="0" applyFont="1" applyAlignment="1">
      <alignment horizontal="center" wrapText="1"/>
    </xf>
    <xf numFmtId="0" fontId="72" fillId="7" borderId="25" xfId="0" applyFont="1" applyFill="1" applyBorder="1" applyAlignment="1">
      <alignment horizontal="left" wrapText="1"/>
    </xf>
    <xf numFmtId="0" fontId="72" fillId="7" borderId="26" xfId="0" applyFont="1" applyFill="1" applyBorder="1" applyAlignment="1">
      <alignment horizontal="left" wrapText="1"/>
    </xf>
    <xf numFmtId="0" fontId="72" fillId="7" borderId="35" xfId="0" applyFont="1" applyFill="1" applyBorder="1" applyAlignment="1">
      <alignment horizontal="left" wrapText="1"/>
    </xf>
    <xf numFmtId="0" fontId="3" fillId="0" borderId="0" xfId="0" applyFont="1" applyAlignment="1">
      <alignment wrapText="1"/>
    </xf>
    <xf numFmtId="0" fontId="3" fillId="0" borderId="0" xfId="0" applyFont="1" applyAlignment="1">
      <alignment vertical="top" wrapText="1"/>
    </xf>
    <xf numFmtId="0" fontId="0" fillId="0" borderId="0" xfId="0" applyAlignment="1">
      <alignment vertical="top"/>
    </xf>
    <xf numFmtId="0" fontId="0" fillId="0" borderId="0" xfId="0" applyAlignment="1">
      <alignment wrapText="1"/>
    </xf>
    <xf numFmtId="0" fontId="52" fillId="13" borderId="0" xfId="0" applyFont="1" applyFill="1" applyAlignment="1">
      <alignment wrapText="1"/>
    </xf>
    <xf numFmtId="0" fontId="71" fillId="3" borderId="25" xfId="0" applyFont="1" applyFill="1" applyBorder="1" applyAlignment="1" applyProtection="1">
      <alignment wrapText="1"/>
      <protection locked="0"/>
    </xf>
    <xf numFmtId="0" fontId="71" fillId="3" borderId="26" xfId="0" applyFont="1" applyFill="1" applyBorder="1" applyAlignment="1" applyProtection="1">
      <alignment wrapText="1"/>
      <protection locked="0"/>
    </xf>
    <xf numFmtId="0" fontId="71" fillId="3" borderId="35" xfId="0" applyFont="1" applyFill="1" applyBorder="1" applyAlignment="1" applyProtection="1">
      <alignment wrapText="1"/>
      <protection locked="0"/>
    </xf>
    <xf numFmtId="0" fontId="71" fillId="3" borderId="30" xfId="0" applyFont="1" applyFill="1" applyBorder="1" applyAlignment="1" applyProtection="1">
      <alignment wrapText="1"/>
      <protection locked="0"/>
    </xf>
    <xf numFmtId="0" fontId="5" fillId="13" borderId="0" xfId="0" applyFont="1" applyFill="1" applyAlignment="1" applyProtection="1">
      <alignment wrapText="1"/>
      <protection hidden="1"/>
    </xf>
    <xf numFmtId="0" fontId="5" fillId="13" borderId="0" xfId="0" applyFont="1" applyFill="1" applyAlignment="1">
      <alignment wrapText="1"/>
    </xf>
    <xf numFmtId="0" fontId="5" fillId="13" borderId="8" xfId="0" applyFont="1" applyFill="1" applyBorder="1" applyAlignment="1">
      <alignment wrapText="1"/>
    </xf>
    <xf numFmtId="0" fontId="3" fillId="0" borderId="0" xfId="0" applyFont="1" applyAlignment="1">
      <alignment horizontal="left" wrapText="1"/>
    </xf>
    <xf numFmtId="0" fontId="0" fillId="0" borderId="0" xfId="0"/>
    <xf numFmtId="2" fontId="60" fillId="3" borderId="25" xfId="0" applyNumberFormat="1" applyFont="1" applyFill="1" applyBorder="1" applyAlignment="1" applyProtection="1">
      <alignment horizontal="center" wrapText="1"/>
      <protection locked="0"/>
    </xf>
    <xf numFmtId="2" fontId="0" fillId="0" borderId="35" xfId="0" applyNumberFormat="1" applyBorder="1" applyAlignment="1">
      <alignment wrapText="1"/>
    </xf>
    <xf numFmtId="0" fontId="36" fillId="14" borderId="0" xfId="0" applyFont="1" applyFill="1" applyAlignment="1" applyProtection="1">
      <alignment horizontal="left" wrapText="1"/>
      <protection hidden="1"/>
    </xf>
    <xf numFmtId="0" fontId="5" fillId="0" borderId="0" xfId="0" applyFont="1" applyAlignment="1" applyProtection="1">
      <alignment wrapText="1"/>
      <protection hidden="1"/>
    </xf>
    <xf numFmtId="0" fontId="5" fillId="0" borderId="0" xfId="0" applyFont="1" applyAlignment="1">
      <alignment wrapText="1"/>
    </xf>
    <xf numFmtId="0" fontId="5" fillId="0" borderId="8" xfId="0" applyFont="1" applyBorder="1" applyAlignment="1">
      <alignment wrapText="1"/>
    </xf>
    <xf numFmtId="2" fontId="3" fillId="0" borderId="25" xfId="0" applyNumberFormat="1" applyFont="1" applyBorder="1" applyAlignment="1">
      <alignment horizontal="center" wrapText="1"/>
    </xf>
    <xf numFmtId="0" fontId="3" fillId="0" borderId="35" xfId="0" applyFont="1" applyBorder="1" applyAlignment="1">
      <alignment wrapText="1"/>
    </xf>
    <xf numFmtId="0" fontId="3" fillId="0" borderId="35" xfId="0" applyFont="1" applyBorder="1" applyAlignment="1" applyProtection="1">
      <alignment wrapText="1"/>
      <protection locked="0"/>
    </xf>
    <xf numFmtId="0" fontId="10" fillId="0" borderId="0" xfId="0" applyFont="1" applyAlignment="1">
      <alignment wrapText="1"/>
    </xf>
    <xf numFmtId="0" fontId="0" fillId="0" borderId="0" xfId="0" applyAlignment="1">
      <alignment horizontal="center" wrapText="1"/>
    </xf>
    <xf numFmtId="0" fontId="0" fillId="0" borderId="0" xfId="0" applyAlignment="1">
      <alignment horizontal="left" wrapText="1"/>
    </xf>
    <xf numFmtId="2" fontId="22" fillId="0" borderId="7" xfId="0" applyNumberFormat="1" applyFont="1" applyBorder="1" applyAlignment="1" applyProtection="1">
      <alignment horizontal="left" vertical="center"/>
      <protection hidden="1"/>
    </xf>
    <xf numFmtId="2" fontId="22" fillId="0" borderId="20" xfId="0" applyNumberFormat="1" applyFont="1" applyBorder="1" applyAlignment="1" applyProtection="1">
      <alignment horizontal="left" vertical="center"/>
      <protection hidden="1"/>
    </xf>
    <xf numFmtId="0" fontId="10" fillId="0" borderId="62" xfId="0" applyFont="1" applyBorder="1" applyAlignment="1" applyProtection="1">
      <alignment horizontal="right" vertical="center" wrapText="1"/>
      <protection hidden="1"/>
    </xf>
    <xf numFmtId="0" fontId="10" fillId="0" borderId="0" xfId="0" applyFont="1" applyAlignment="1" applyProtection="1">
      <alignment horizontal="right" vertical="center" wrapText="1"/>
      <protection hidden="1"/>
    </xf>
    <xf numFmtId="0" fontId="22" fillId="0" borderId="4" xfId="0" applyFont="1" applyBorder="1" applyAlignment="1" applyProtection="1">
      <alignment vertical="center" wrapText="1"/>
      <protection hidden="1"/>
    </xf>
    <xf numFmtId="0" fontId="0" fillId="0" borderId="5"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52" fillId="0" borderId="5" xfId="0" applyFont="1" applyBorder="1" applyAlignment="1">
      <alignment vertical="center" wrapText="1"/>
    </xf>
    <xf numFmtId="0" fontId="52" fillId="0" borderId="6" xfId="0" applyFont="1" applyBorder="1" applyAlignment="1">
      <alignment vertical="center" wrapText="1"/>
    </xf>
    <xf numFmtId="0" fontId="52" fillId="0" borderId="0" xfId="0" applyFont="1" applyAlignment="1">
      <alignment vertical="center" wrapText="1"/>
    </xf>
    <xf numFmtId="0" fontId="52" fillId="0" borderId="8" xfId="0" applyFont="1" applyBorder="1" applyAlignment="1">
      <alignment vertical="center" wrapText="1"/>
    </xf>
    <xf numFmtId="0" fontId="52" fillId="0" borderId="10" xfId="0" applyFont="1" applyBorder="1" applyAlignment="1">
      <alignment vertical="center" wrapText="1"/>
    </xf>
    <xf numFmtId="0" fontId="52" fillId="0" borderId="11" xfId="0" applyFont="1" applyBorder="1" applyAlignment="1">
      <alignment vertical="center" wrapText="1"/>
    </xf>
    <xf numFmtId="0" fontId="10" fillId="0" borderId="5"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0" xfId="0" applyFont="1" applyAlignment="1">
      <alignment vertical="center" wrapText="1"/>
    </xf>
    <xf numFmtId="0" fontId="10" fillId="0" borderId="10" xfId="0" applyFont="1" applyBorder="1" applyAlignment="1" applyProtection="1">
      <alignment horizontal="left" vertical="center" wrapText="1"/>
      <protection hidden="1"/>
    </xf>
    <xf numFmtId="0" fontId="10" fillId="0" borderId="10" xfId="0" applyFont="1" applyBorder="1" applyAlignment="1">
      <alignment vertical="center" wrapText="1"/>
    </xf>
    <xf numFmtId="0" fontId="22" fillId="0" borderId="7" xfId="0" applyFont="1" applyBorder="1" applyAlignment="1" applyProtection="1">
      <alignment vertical="center" wrapText="1"/>
      <protection hidden="1"/>
    </xf>
    <xf numFmtId="0" fontId="22" fillId="0" borderId="26" xfId="0" applyFont="1" applyBorder="1" applyAlignment="1" applyProtection="1">
      <alignment wrapText="1"/>
      <protection hidden="1"/>
    </xf>
    <xf numFmtId="0" fontId="0" fillId="0" borderId="35" xfId="0" applyBorder="1" applyAlignment="1">
      <alignment wrapText="1"/>
    </xf>
    <xf numFmtId="0" fontId="22" fillId="13" borderId="40" xfId="0" applyFont="1" applyFill="1" applyBorder="1" applyAlignment="1" applyProtection="1">
      <alignment wrapText="1"/>
      <protection locked="0" hidden="1"/>
    </xf>
    <xf numFmtId="0" fontId="11" fillId="13" borderId="55" xfId="0" applyFont="1" applyFill="1" applyBorder="1" applyProtection="1">
      <protection hidden="1"/>
    </xf>
    <xf numFmtId="0" fontId="1" fillId="0" borderId="81" xfId="0" applyFont="1" applyBorder="1"/>
    <xf numFmtId="0" fontId="11" fillId="13" borderId="55" xfId="0" applyFont="1" applyFill="1" applyBorder="1" applyAlignment="1" applyProtection="1">
      <alignment horizontal="center"/>
      <protection hidden="1"/>
    </xf>
    <xf numFmtId="0" fontId="22" fillId="0" borderId="0" xfId="0" applyFont="1" applyAlignment="1" applyProtection="1">
      <alignment wrapText="1"/>
      <protection locked="0" hidden="1"/>
    </xf>
    <xf numFmtId="165" fontId="1" fillId="7" borderId="51" xfId="0" applyNumberFormat="1" applyFont="1" applyFill="1" applyBorder="1" applyAlignment="1" applyProtection="1">
      <alignment horizontal="center"/>
      <protection hidden="1"/>
    </xf>
    <xf numFmtId="165" fontId="1" fillId="7" borderId="52" xfId="0" applyNumberFormat="1" applyFont="1" applyFill="1" applyBorder="1" applyAlignment="1" applyProtection="1">
      <alignment horizontal="center"/>
      <protection hidden="1"/>
    </xf>
    <xf numFmtId="165" fontId="1" fillId="7" borderId="21" xfId="0" applyNumberFormat="1" applyFont="1" applyFill="1" applyBorder="1" applyAlignment="1" applyProtection="1">
      <alignment horizontal="center"/>
      <protection hidden="1"/>
    </xf>
    <xf numFmtId="165" fontId="1" fillId="7" borderId="77" xfId="0" applyNumberFormat="1" applyFont="1" applyFill="1" applyBorder="1" applyAlignment="1" applyProtection="1">
      <alignment horizontal="center"/>
      <protection hidden="1"/>
    </xf>
    <xf numFmtId="165" fontId="1" fillId="7" borderId="25" xfId="0" applyNumberFormat="1" applyFont="1" applyFill="1" applyBorder="1" applyAlignment="1" applyProtection="1">
      <alignment horizontal="center"/>
      <protection hidden="1"/>
    </xf>
    <xf numFmtId="165" fontId="1" fillId="7" borderId="35" xfId="0" applyNumberFormat="1" applyFont="1" applyFill="1" applyBorder="1" applyAlignment="1" applyProtection="1">
      <alignment horizontal="center"/>
      <protection hidden="1"/>
    </xf>
    <xf numFmtId="0" fontId="1" fillId="0" borderId="0" xfId="0" applyFont="1" applyAlignment="1" applyProtection="1">
      <alignment horizontal="left" wrapText="1"/>
      <protection locked="0" hidden="1"/>
    </xf>
    <xf numFmtId="0" fontId="54" fillId="13" borderId="25" xfId="0" applyFont="1" applyFill="1" applyBorder="1" applyAlignment="1" applyProtection="1">
      <alignment horizontal="center" wrapText="1"/>
      <protection locked="0" hidden="1"/>
    </xf>
    <xf numFmtId="0" fontId="0" fillId="13" borderId="80" xfId="0" applyFill="1" applyBorder="1" applyAlignment="1">
      <alignment wrapText="1"/>
    </xf>
    <xf numFmtId="0" fontId="5" fillId="0" borderId="0" xfId="0" applyFont="1" applyAlignment="1" applyProtection="1">
      <alignment horizontal="center" wrapText="1"/>
      <protection hidden="1"/>
    </xf>
    <xf numFmtId="0" fontId="5" fillId="0" borderId="0" xfId="0" applyFont="1" applyAlignment="1">
      <alignment horizontal="center" wrapText="1"/>
    </xf>
    <xf numFmtId="165" fontId="1" fillId="7" borderId="25" xfId="0" applyNumberFormat="1" applyFont="1" applyFill="1" applyBorder="1" applyAlignment="1" applyProtection="1">
      <alignment horizontal="center" wrapText="1"/>
      <protection hidden="1"/>
    </xf>
    <xf numFmtId="0" fontId="1" fillId="0" borderId="35" xfId="0" applyFont="1" applyBorder="1" applyAlignment="1">
      <alignment horizontal="center" wrapText="1"/>
    </xf>
    <xf numFmtId="165" fontId="1" fillId="7" borderId="60" xfId="0" applyNumberFormat="1" applyFont="1" applyFill="1" applyBorder="1" applyAlignment="1" applyProtection="1">
      <alignment horizontal="center"/>
      <protection hidden="1"/>
    </xf>
    <xf numFmtId="0" fontId="1" fillId="0" borderId="81" xfId="0" applyFont="1" applyBorder="1" applyAlignment="1">
      <alignment horizontal="center"/>
    </xf>
    <xf numFmtId="165" fontId="1" fillId="7" borderId="26" xfId="0" applyNumberFormat="1" applyFont="1" applyFill="1" applyBorder="1" applyAlignment="1" applyProtection="1">
      <alignment horizontal="center"/>
      <protection hidden="1"/>
    </xf>
    <xf numFmtId="165" fontId="1" fillId="7" borderId="83" xfId="0" applyNumberFormat="1" applyFont="1" applyFill="1" applyBorder="1" applyAlignment="1" applyProtection="1">
      <alignment horizontal="center" wrapText="1"/>
      <protection hidden="1"/>
    </xf>
    <xf numFmtId="0" fontId="1" fillId="0" borderId="42" xfId="0" applyFont="1" applyBorder="1" applyAlignment="1">
      <alignment horizontal="center" wrapText="1"/>
    </xf>
    <xf numFmtId="165" fontId="1" fillId="7" borderId="10" xfId="0" applyNumberFormat="1" applyFont="1" applyFill="1" applyBorder="1" applyAlignment="1" applyProtection="1">
      <alignment horizontal="center"/>
      <protection hidden="1"/>
    </xf>
    <xf numFmtId="0" fontId="3" fillId="3" borderId="45" xfId="4" applyFill="1" applyBorder="1" applyAlignment="1" applyProtection="1">
      <alignment horizontal="center" wrapText="1"/>
      <protection locked="0"/>
    </xf>
    <xf numFmtId="0" fontId="3" fillId="3" borderId="46" xfId="4" applyFill="1" applyBorder="1" applyAlignment="1" applyProtection="1">
      <alignment horizontal="center" wrapText="1"/>
      <protection locked="0"/>
    </xf>
    <xf numFmtId="0" fontId="3" fillId="3" borderId="63" xfId="4" applyFill="1" applyBorder="1" applyAlignment="1" applyProtection="1">
      <alignment horizontal="center" wrapText="1"/>
      <protection locked="0"/>
    </xf>
    <xf numFmtId="0" fontId="3" fillId="3" borderId="39" xfId="4" applyFill="1" applyBorder="1" applyAlignment="1" applyProtection="1">
      <alignment horizontal="center" wrapText="1"/>
      <protection locked="0"/>
    </xf>
    <xf numFmtId="0" fontId="3" fillId="3" borderId="82" xfId="4" applyFill="1" applyBorder="1" applyAlignment="1" applyProtection="1">
      <alignment horizontal="center" wrapText="1"/>
      <protection locked="0"/>
    </xf>
    <xf numFmtId="0" fontId="3" fillId="3" borderId="24" xfId="4" applyFill="1" applyBorder="1" applyAlignment="1" applyProtection="1">
      <alignment horizontal="center" wrapText="1"/>
      <protection locked="0"/>
    </xf>
    <xf numFmtId="0" fontId="3" fillId="3" borderId="26" xfId="4" applyFill="1" applyBorder="1" applyAlignment="1" applyProtection="1">
      <alignment horizontal="center" wrapText="1"/>
      <protection locked="0"/>
    </xf>
    <xf numFmtId="0" fontId="3" fillId="3" borderId="35" xfId="4" applyFill="1" applyBorder="1" applyAlignment="1" applyProtection="1">
      <alignment horizontal="center" wrapText="1"/>
      <protection locked="0"/>
    </xf>
    <xf numFmtId="0" fontId="3" fillId="3" borderId="25" xfId="4" applyFill="1" applyBorder="1" applyAlignment="1" applyProtection="1">
      <alignment horizontal="center" wrapText="1"/>
      <protection locked="0"/>
    </xf>
    <xf numFmtId="0" fontId="3" fillId="3" borderId="80" xfId="4" applyFill="1" applyBorder="1" applyAlignment="1" applyProtection="1">
      <alignment horizontal="center" wrapText="1"/>
      <protection locked="0"/>
    </xf>
    <xf numFmtId="0" fontId="3" fillId="3" borderId="22" xfId="4" applyFill="1" applyBorder="1" applyAlignment="1" applyProtection="1">
      <alignment horizontal="center" wrapText="1"/>
      <protection locked="0"/>
    </xf>
    <xf numFmtId="0" fontId="3" fillId="3" borderId="7" xfId="4" applyFill="1" applyBorder="1" applyAlignment="1" applyProtection="1">
      <alignment horizontal="center" wrapText="1"/>
      <protection locked="0"/>
    </xf>
    <xf numFmtId="0" fontId="3" fillId="3" borderId="16" xfId="4" applyFill="1" applyBorder="1" applyAlignment="1" applyProtection="1">
      <alignment horizontal="center" wrapText="1"/>
      <protection locked="0"/>
    </xf>
    <xf numFmtId="0" fontId="3" fillId="3" borderId="5" xfId="4" applyFill="1" applyBorder="1" applyAlignment="1" applyProtection="1">
      <alignment horizontal="center" wrapText="1"/>
      <protection locked="0"/>
    </xf>
    <xf numFmtId="0" fontId="3" fillId="3" borderId="57" xfId="4" applyFill="1" applyBorder="1" applyAlignment="1" applyProtection="1">
      <alignment horizontal="center" wrapText="1"/>
      <protection locked="0"/>
    </xf>
    <xf numFmtId="0" fontId="3" fillId="3" borderId="47" xfId="4" applyFill="1" applyBorder="1" applyAlignment="1" applyProtection="1">
      <alignment horizontal="center" wrapText="1"/>
      <protection locked="0"/>
    </xf>
    <xf numFmtId="0" fontId="3" fillId="3" borderId="65" xfId="4" applyFill="1" applyBorder="1" applyAlignment="1" applyProtection="1">
      <alignment horizontal="center" wrapText="1"/>
      <protection locked="0"/>
    </xf>
    <xf numFmtId="0" fontId="3" fillId="3" borderId="53" xfId="4" applyFill="1" applyBorder="1" applyAlignment="1" applyProtection="1">
      <alignment horizontal="center" wrapText="1"/>
      <protection locked="0"/>
    </xf>
    <xf numFmtId="0" fontId="3" fillId="3" borderId="48" xfId="4" applyFill="1" applyBorder="1" applyAlignment="1" applyProtection="1">
      <alignment horizontal="center" wrapText="1"/>
      <protection locked="0"/>
    </xf>
    <xf numFmtId="0" fontId="3" fillId="3" borderId="84" xfId="4" applyFill="1" applyBorder="1" applyAlignment="1" applyProtection="1">
      <alignment horizontal="center" wrapText="1"/>
      <protection locked="0"/>
    </xf>
    <xf numFmtId="2" fontId="5" fillId="3" borderId="5" xfId="6" applyNumberFormat="1" applyFont="1" applyFill="1" applyBorder="1" applyAlignment="1" applyProtection="1">
      <alignment horizontal="center" wrapText="1"/>
      <protection locked="0"/>
    </xf>
    <xf numFmtId="2" fontId="5" fillId="3" borderId="4" xfId="6" applyNumberFormat="1" applyFont="1" applyFill="1" applyBorder="1" applyAlignment="1" applyProtection="1">
      <alignment horizontal="center" wrapText="1"/>
      <protection locked="0"/>
    </xf>
    <xf numFmtId="2" fontId="5" fillId="3" borderId="6" xfId="6" applyNumberFormat="1" applyFont="1" applyFill="1" applyBorder="1" applyAlignment="1" applyProtection="1">
      <alignment horizontal="center" wrapText="1"/>
      <protection locked="0"/>
    </xf>
    <xf numFmtId="0" fontId="5" fillId="3" borderId="1" xfId="5" applyFont="1" applyFill="1" applyBorder="1" applyAlignment="1" applyProtection="1">
      <alignment horizontal="center"/>
      <protection locked="0"/>
    </xf>
    <xf numFmtId="0" fontId="5" fillId="3" borderId="3" xfId="5" applyFont="1" applyFill="1" applyBorder="1" applyAlignment="1" applyProtection="1">
      <alignment horizontal="center"/>
      <protection locked="0"/>
    </xf>
    <xf numFmtId="0" fontId="0" fillId="0" borderId="3" xfId="0" applyBorder="1"/>
    <xf numFmtId="0" fontId="0" fillId="0" borderId="2" xfId="0" applyBorder="1"/>
    <xf numFmtId="0" fontId="5" fillId="3" borderId="5" xfId="5" applyFont="1" applyFill="1" applyBorder="1" applyAlignment="1" applyProtection="1">
      <alignment horizontal="center"/>
      <protection locked="0"/>
    </xf>
    <xf numFmtId="0" fontId="5" fillId="3" borderId="6" xfId="5" applyFont="1" applyFill="1" applyBorder="1" applyAlignment="1" applyProtection="1">
      <alignment horizontal="center"/>
      <protection locked="0"/>
    </xf>
    <xf numFmtId="0" fontId="5" fillId="3" borderId="0" xfId="5" applyFont="1" applyFill="1" applyAlignment="1" applyProtection="1">
      <alignment horizontal="center"/>
      <protection locked="0"/>
    </xf>
    <xf numFmtId="49" fontId="60" fillId="3" borderId="0" xfId="0" applyNumberFormat="1" applyFont="1" applyFill="1" applyAlignment="1" applyProtection="1">
      <alignment wrapText="1"/>
      <protection locked="0"/>
    </xf>
  </cellXfs>
  <cellStyles count="10">
    <cellStyle name="Komma0" xfId="1" xr:uid="{00000000-0005-0000-0000-000000000000}"/>
    <cellStyle name="Prozent" xfId="2" builtinId="5"/>
    <cellStyle name="Standard" xfId="0" builtinId="0"/>
    <cellStyle name="Standard_00.06.24 - Verluste_gewinne_speicher_ww" xfId="3" xr:uid="{00000000-0005-0000-0000-000003000000}"/>
    <cellStyle name="Standard_00.06.26 - verluste_gewinne_leitungen_ww" xfId="4" xr:uid="{00000000-0005-0000-0000-000004000000}"/>
    <cellStyle name="Standard_00.09.30 - KesselHeizung" xfId="5" xr:uid="{00000000-0005-0000-0000-000005000000}"/>
    <cellStyle name="Standard_00.09.30 - KesselWarmwasser" xfId="6" xr:uid="{00000000-0005-0000-0000-000006000000}"/>
    <cellStyle name="Standard_EPTest" xfId="7" xr:uid="{00000000-0005-0000-0000-000007000000}"/>
    <cellStyle name="Standard_solaranteil" xfId="8" xr:uid="{00000000-0005-0000-0000-000008000000}"/>
    <cellStyle name="Währung" xfId="9" builtinId="4"/>
  </cellStyles>
  <dxfs count="22">
    <dxf>
      <fill>
        <patternFill>
          <bgColor theme="5"/>
        </patternFill>
      </fill>
    </dxf>
    <dxf>
      <fill>
        <patternFill>
          <bgColor theme="5"/>
        </patternFill>
      </fill>
    </dxf>
    <dxf>
      <fill>
        <patternFill>
          <bgColor indexed="11"/>
        </patternFill>
      </fill>
    </dxf>
    <dxf>
      <fill>
        <patternFill>
          <bgColor theme="5"/>
        </patternFill>
      </fill>
    </dxf>
    <dxf>
      <font>
        <color theme="0"/>
      </font>
      <fill>
        <patternFill>
          <bgColor theme="2" tint="-0.499984740745262"/>
        </patternFill>
      </fill>
    </dxf>
    <dxf>
      <fill>
        <patternFill>
          <bgColor indexed="11"/>
        </patternFill>
      </fill>
    </dxf>
    <dxf>
      <fill>
        <patternFill>
          <bgColor theme="5"/>
        </patternFill>
      </fill>
    </dxf>
    <dxf>
      <font>
        <color theme="0"/>
      </font>
      <fill>
        <patternFill>
          <bgColor theme="0" tint="-0.499984740745262"/>
        </patternFill>
      </fill>
    </dxf>
    <dxf>
      <fill>
        <patternFill>
          <bgColor indexed="53"/>
        </patternFill>
      </fill>
    </dxf>
    <dxf>
      <fill>
        <patternFill>
          <bgColor indexed="11"/>
        </patternFill>
      </fill>
    </dxf>
    <dxf>
      <fill>
        <patternFill>
          <bgColor indexed="51"/>
        </patternFill>
      </fill>
    </dxf>
    <dxf>
      <fill>
        <patternFill>
          <bgColor indexed="53"/>
        </patternFill>
      </fill>
      <border>
        <left style="thin">
          <color indexed="64"/>
        </left>
        <right style="thin">
          <color indexed="64"/>
        </right>
        <top style="thin">
          <color indexed="64"/>
        </top>
        <bottom style="thin">
          <color indexed="64"/>
        </bottom>
      </border>
    </dxf>
    <dxf>
      <fill>
        <patternFill>
          <bgColor theme="5"/>
        </patternFill>
      </fill>
    </dxf>
    <dxf>
      <fill>
        <patternFill>
          <bgColor indexed="11"/>
        </patternFill>
      </fill>
    </dxf>
    <dxf>
      <fill>
        <patternFill>
          <bgColor indexed="53"/>
        </patternFill>
      </fill>
    </dxf>
    <dxf>
      <fill>
        <patternFill>
          <bgColor indexed="53"/>
        </patternFill>
      </fill>
    </dxf>
    <dxf>
      <font>
        <condense val="0"/>
        <extend val="0"/>
        <color indexed="12"/>
      </font>
      <fill>
        <patternFill>
          <bgColor indexed="43"/>
        </patternFill>
      </fill>
      <border>
        <left style="thin">
          <color indexed="64"/>
        </left>
        <right style="thin">
          <color indexed="64"/>
        </right>
        <top style="thin">
          <color indexed="64"/>
        </top>
        <bottom style="thin">
          <color indexed="64"/>
        </bottom>
      </border>
    </dxf>
    <dxf>
      <fill>
        <patternFill>
          <bgColor indexed="10"/>
        </patternFill>
      </fill>
      <border>
        <left style="thin">
          <color indexed="64"/>
        </left>
        <right style="thin">
          <color indexed="64"/>
        </right>
        <top style="thin">
          <color indexed="64"/>
        </top>
        <bottom style="thin">
          <color indexed="64"/>
        </bottom>
      </border>
    </dxf>
    <dxf>
      <font>
        <condense val="0"/>
        <extend val="0"/>
        <color indexed="12"/>
      </font>
      <fill>
        <patternFill>
          <bgColor indexed="43"/>
        </patternFill>
      </fill>
      <border>
        <left style="thin">
          <color indexed="64"/>
        </left>
        <right style="thin">
          <color indexed="64"/>
        </right>
        <top style="thin">
          <color indexed="64"/>
        </top>
        <bottom style="thin">
          <color indexed="64"/>
        </bottom>
      </border>
    </dxf>
    <dxf>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auto="1"/>
        </left>
        <right style="thin">
          <color auto="1"/>
        </right>
        <top style="thin">
          <color auto="1"/>
        </top>
        <bottom style="thin">
          <color auto="1"/>
        </bottom>
      </border>
    </dxf>
    <dxf>
      <font>
        <condense val="0"/>
        <extend val="0"/>
        <color indexed="9"/>
      </font>
      <fill>
        <patternFill>
          <bgColor indexed="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99CC"/>
      <color rgb="FFCC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1" u="none" strike="noStrike" baseline="0">
                <a:solidFill>
                  <a:srgbClr val="000000"/>
                </a:solidFill>
                <a:latin typeface="Arial"/>
                <a:ea typeface="Arial"/>
                <a:cs typeface="Arial"/>
              </a:defRPr>
            </a:pPr>
            <a:r>
              <a:rPr lang="de-DE"/>
              <a:t>Höhe der Primär-, End- und Nutzenergie in kWh/a</a:t>
            </a:r>
          </a:p>
        </c:rich>
      </c:tx>
      <c:layout>
        <c:manualLayout>
          <c:xMode val="edge"/>
          <c:yMode val="edge"/>
          <c:x val="4.9214130871660239E-3"/>
          <c:y val="9.3461009377760404E-3"/>
        </c:manualLayout>
      </c:layout>
      <c:overlay val="0"/>
      <c:spPr>
        <a:noFill/>
        <a:ln w="25400">
          <a:noFill/>
        </a:ln>
      </c:spPr>
    </c:title>
    <c:autoTitleDeleted val="0"/>
    <c:view3D>
      <c:rotX val="14"/>
      <c:hPercent val="100"/>
      <c:rotY val="30"/>
      <c:depthPercent val="100"/>
      <c:rAngAx val="0"/>
    </c:view3D>
    <c:floor>
      <c:thickness val="0"/>
      <c:spPr>
        <a:no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6.9884065837757539E-2"/>
          <c:y val="6.8538073543690958E-2"/>
          <c:w val="0.79037894179886337"/>
          <c:h val="0.8177838320554035"/>
        </c:manualLayout>
      </c:layout>
      <c:bar3DChart>
        <c:barDir val="col"/>
        <c:grouping val="standard"/>
        <c:varyColors val="0"/>
        <c:ser>
          <c:idx val="0"/>
          <c:order val="0"/>
          <c:tx>
            <c:strRef>
              <c:f>'Ergebnisse IST (05,06,07)'!$A$214</c:f>
              <c:strCache>
                <c:ptCount val="1"/>
                <c:pt idx="0">
                  <c:v>Trinkwarmwasser</c:v>
                </c:pt>
              </c:strCache>
            </c:strRef>
          </c:tx>
          <c:spPr>
            <a:solidFill>
              <a:srgbClr val="808080"/>
            </a:solidFill>
            <a:ln w="12700">
              <a:solidFill>
                <a:srgbClr val="000000"/>
              </a:solidFill>
              <a:prstDash val="solid"/>
            </a:ln>
          </c:spPr>
          <c:invertIfNegative val="0"/>
          <c:dLbls>
            <c:spPr>
              <a:solidFill>
                <a:srgbClr val="FFFFFF"/>
              </a:solid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'Ergebnisse IST (05,06,07)'!$E$213:$G$213</c:f>
              <c:strCache>
                <c:ptCount val="3"/>
                <c:pt idx="0">
                  <c:v>Nutzenergie</c:v>
                </c:pt>
                <c:pt idx="1">
                  <c:v>Endenergie</c:v>
                </c:pt>
                <c:pt idx="2">
                  <c:v>Primärenergie (incl. PV)</c:v>
                </c:pt>
              </c:strCache>
            </c:strRef>
          </c:cat>
          <c:val>
            <c:numRef>
              <c:f>'Ergebnisse IST (05,06,07)'!$E$214:$G$214</c:f>
              <c:numCache>
                <c:formatCode>0</c:formatCode>
                <c:ptCount val="3"/>
                <c:pt idx="0">
                  <c:v>4000</c:v>
                </c:pt>
                <c:pt idx="1">
                  <c:v>10090.367999999999</c:v>
                </c:pt>
                <c:pt idx="2">
                  <c:v>11242.764799999999</c:v>
                </c:pt>
              </c:numCache>
            </c:numRef>
          </c:val>
          <c:extLst>
            <c:ext xmlns:c16="http://schemas.microsoft.com/office/drawing/2014/chart" uri="{C3380CC4-5D6E-409C-BE32-E72D297353CC}">
              <c16:uniqueId val="{00000000-6043-4902-B3A6-BFF387ABAAD8}"/>
            </c:ext>
          </c:extLst>
        </c:ser>
        <c:ser>
          <c:idx val="1"/>
          <c:order val="1"/>
          <c:tx>
            <c:strRef>
              <c:f>'Ergebnisse IST (05,06,07)'!$A$215</c:f>
              <c:strCache>
                <c:ptCount val="1"/>
                <c:pt idx="0">
                  <c:v>Heizung und Lüftung</c:v>
                </c:pt>
              </c:strCache>
            </c:strRef>
          </c:tx>
          <c:spPr>
            <a:solidFill>
              <a:srgbClr val="C0C0C0"/>
            </a:solidFill>
            <a:ln w="12700">
              <a:solidFill>
                <a:srgbClr val="000000"/>
              </a:solidFill>
              <a:prstDash val="solid"/>
            </a:ln>
          </c:spPr>
          <c:invertIfNegative val="0"/>
          <c:dLbls>
            <c:spPr>
              <a:solidFill>
                <a:srgbClr val="FFFFFF"/>
              </a:solid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'Ergebnisse IST (05,06,07)'!$E$213:$G$213</c:f>
              <c:strCache>
                <c:ptCount val="3"/>
                <c:pt idx="0">
                  <c:v>Nutzenergie</c:v>
                </c:pt>
                <c:pt idx="1">
                  <c:v>Endenergie</c:v>
                </c:pt>
                <c:pt idx="2">
                  <c:v>Primärenergie (incl. PV)</c:v>
                </c:pt>
              </c:strCache>
            </c:strRef>
          </c:cat>
          <c:val>
            <c:numRef>
              <c:f>'Ergebnisse IST (05,06,07)'!$E$215:$G$215</c:f>
              <c:numCache>
                <c:formatCode>0</c:formatCode>
                <c:ptCount val="3"/>
                <c:pt idx="0">
                  <c:v>20399.886601894344</c:v>
                </c:pt>
                <c:pt idx="1">
                  <c:v>27080.699324216381</c:v>
                </c:pt>
                <c:pt idx="2">
                  <c:v>30064.289256638021</c:v>
                </c:pt>
              </c:numCache>
            </c:numRef>
          </c:val>
          <c:extLst>
            <c:ext xmlns:c16="http://schemas.microsoft.com/office/drawing/2014/chart" uri="{C3380CC4-5D6E-409C-BE32-E72D297353CC}">
              <c16:uniqueId val="{00000001-6043-4902-B3A6-BFF387ABAAD8}"/>
            </c:ext>
          </c:extLst>
        </c:ser>
        <c:ser>
          <c:idx val="2"/>
          <c:order val="2"/>
          <c:tx>
            <c:strRef>
              <c:f>'Ergebnisse IST (05,06,07)'!$A$216</c:f>
              <c:strCache>
                <c:ptCount val="1"/>
                <c:pt idx="0">
                  <c:v>Gesamt</c:v>
                </c:pt>
              </c:strCache>
            </c:strRef>
          </c:tx>
          <c:spPr>
            <a:solidFill>
              <a:srgbClr val="FFFFFF"/>
            </a:solidFill>
            <a:ln w="12700">
              <a:solidFill>
                <a:srgbClr val="000000"/>
              </a:solidFill>
              <a:prstDash val="solid"/>
            </a:ln>
          </c:spPr>
          <c:invertIfNegative val="0"/>
          <c:dLbls>
            <c:spPr>
              <a:solidFill>
                <a:srgbClr val="FFFFFF"/>
              </a:solid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'Ergebnisse IST (05,06,07)'!$E$213:$G$213</c:f>
              <c:strCache>
                <c:ptCount val="3"/>
                <c:pt idx="0">
                  <c:v>Nutzenergie</c:v>
                </c:pt>
                <c:pt idx="1">
                  <c:v>Endenergie</c:v>
                </c:pt>
                <c:pt idx="2">
                  <c:v>Primärenergie (incl. PV)</c:v>
                </c:pt>
              </c:strCache>
            </c:strRef>
          </c:cat>
          <c:val>
            <c:numRef>
              <c:f>'Ergebnisse IST (05,06,07)'!$E$216:$G$216</c:f>
              <c:numCache>
                <c:formatCode>0</c:formatCode>
                <c:ptCount val="3"/>
                <c:pt idx="0">
                  <c:v>24399.886601894344</c:v>
                </c:pt>
                <c:pt idx="1">
                  <c:v>37171.067324216376</c:v>
                </c:pt>
                <c:pt idx="2">
                  <c:v>41307.054056638022</c:v>
                </c:pt>
              </c:numCache>
            </c:numRef>
          </c:val>
          <c:extLst>
            <c:ext xmlns:c16="http://schemas.microsoft.com/office/drawing/2014/chart" uri="{C3380CC4-5D6E-409C-BE32-E72D297353CC}">
              <c16:uniqueId val="{00000002-6043-4902-B3A6-BFF387ABAAD8}"/>
            </c:ext>
          </c:extLst>
        </c:ser>
        <c:dLbls>
          <c:showLegendKey val="0"/>
          <c:showVal val="0"/>
          <c:showCatName val="0"/>
          <c:showSerName val="0"/>
          <c:showPercent val="0"/>
          <c:showBubbleSize val="0"/>
        </c:dLbls>
        <c:gapWidth val="150"/>
        <c:shape val="cylinder"/>
        <c:axId val="2048644671"/>
        <c:axId val="1"/>
        <c:axId val="2"/>
      </c:bar3DChart>
      <c:catAx>
        <c:axId val="2048644671"/>
        <c:scaling>
          <c:orientation val="maxMin"/>
        </c:scaling>
        <c:delete val="0"/>
        <c:axPos val="b"/>
        <c:numFmt formatCode="General" sourceLinked="1"/>
        <c:majorTickMark val="in"/>
        <c:minorTickMark val="none"/>
        <c:tickLblPos val="low"/>
        <c:spPr>
          <a:ln w="3175">
            <a:solidFill>
              <a:srgbClr val="000000"/>
            </a:solidFill>
            <a:prstDash val="solid"/>
          </a:ln>
        </c:spPr>
        <c:txPr>
          <a:bodyPr rot="-1800000" vert="horz"/>
          <a:lstStyle/>
          <a:p>
            <a:pPr rtl="0">
              <a:defRPr sz="10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1"/>
      </c:catAx>
      <c:valAx>
        <c:axId val="1"/>
        <c:scaling>
          <c:orientation val="minMax"/>
        </c:scaling>
        <c:delete val="0"/>
        <c:axPos val="r"/>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2048644671"/>
        <c:crosses val="autoZero"/>
        <c:crossBetween val="between"/>
      </c:valAx>
      <c:serAx>
        <c:axId val="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 vert="horz"/>
          <a:lstStyle/>
          <a:p>
            <a:pPr>
              <a:defRPr sz="1000" b="0" i="0" u="none" strike="noStrike" baseline="0">
                <a:solidFill>
                  <a:srgbClr val="000000"/>
                </a:solidFill>
                <a:latin typeface="Arial"/>
                <a:ea typeface="Arial"/>
                <a:cs typeface="Arial"/>
              </a:defRPr>
            </a:pPr>
            <a:endParaRPr lang="de-DE"/>
          </a:p>
        </c:txPr>
        <c:crossAx val="1"/>
        <c:crosses val="autoZero"/>
        <c:tickLblSkip val="1"/>
        <c:tickMarkSkip val="1"/>
      </c:serAx>
      <c:spPr>
        <a:noFill/>
        <a:ln w="25400">
          <a:noFill/>
        </a:ln>
      </c:spPr>
    </c:plotArea>
    <c:plotVisOnly val="1"/>
    <c:dispBlanksAs val="gap"/>
    <c:showDLblsOverMax val="0"/>
  </c:chart>
  <c:spPr>
    <a:noFill/>
    <a:ln w="6350">
      <a:noFill/>
    </a:ln>
  </c:spPr>
  <c:txPr>
    <a:bodyPr/>
    <a:lstStyle/>
    <a:p>
      <a:pPr>
        <a:defRPr sz="20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1" u="none" strike="noStrike" baseline="0">
                <a:solidFill>
                  <a:srgbClr val="000000"/>
                </a:solidFill>
                <a:latin typeface="Arial"/>
                <a:ea typeface="Arial"/>
                <a:cs typeface="Arial"/>
              </a:defRPr>
            </a:pPr>
            <a:r>
              <a:rPr lang="de-DE"/>
              <a:t>monatlicher Heizwärmebedarf in kWh/a
(sowie Wärmeverluste und Wärmegewinne) </a:t>
            </a:r>
          </a:p>
        </c:rich>
      </c:tx>
      <c:layout>
        <c:manualLayout>
          <c:xMode val="edge"/>
          <c:yMode val="edge"/>
          <c:x val="4.9165715267931141E-3"/>
          <c:y val="1.3193034940767429E-2"/>
        </c:manualLayout>
      </c:layout>
      <c:overlay val="0"/>
      <c:spPr>
        <a:noFill/>
        <a:ln w="25400">
          <a:noFill/>
        </a:ln>
      </c:spPr>
    </c:title>
    <c:autoTitleDeleted val="0"/>
    <c:plotArea>
      <c:layout>
        <c:manualLayout>
          <c:layoutTarget val="inner"/>
          <c:xMode val="edge"/>
          <c:yMode val="edge"/>
          <c:x val="7.76818301233312E-2"/>
          <c:y val="0.19525691712335794"/>
          <c:w val="0.90071590370849852"/>
          <c:h val="0.71242388680144109"/>
        </c:manualLayout>
      </c:layout>
      <c:barChart>
        <c:barDir val="col"/>
        <c:grouping val="clustered"/>
        <c:varyColors val="0"/>
        <c:ser>
          <c:idx val="2"/>
          <c:order val="2"/>
          <c:tx>
            <c:v>Heizwärmebedarf</c:v>
          </c:tx>
          <c:spPr>
            <a:solidFill>
              <a:srgbClr val="C0C0C0"/>
            </a:solidFill>
            <a:ln w="12700">
              <a:solidFill>
                <a:srgbClr val="000000"/>
              </a:solidFill>
              <a:prstDash val="solid"/>
            </a:ln>
          </c:spPr>
          <c:invertIfNegative val="0"/>
          <c:val>
            <c:numRef>
              <c:f>'Ergebnisse IST (05,06,07)'!$E$35:$P$35</c:f>
              <c:numCache>
                <c:formatCode>0</c:formatCode>
                <c:ptCount val="12"/>
                <c:pt idx="0">
                  <c:v>3818.6907294912912</c:v>
                </c:pt>
                <c:pt idx="1">
                  <c:v>3228.311708160265</c:v>
                </c:pt>
                <c:pt idx="2">
                  <c:v>2811.0413999743341</c:v>
                </c:pt>
                <c:pt idx="3">
                  <c:v>1538.83505377197</c:v>
                </c:pt>
                <c:pt idx="4">
                  <c:v>390.18780647998017</c:v>
                </c:pt>
                <c:pt idx="5">
                  <c:v>38.020781096618748</c:v>
                </c:pt>
                <c:pt idx="6">
                  <c:v>0</c:v>
                </c:pt>
                <c:pt idx="7">
                  <c:v>3.336020599466849E-2</c:v>
                </c:pt>
                <c:pt idx="8">
                  <c:v>340.04604630370045</c:v>
                </c:pt>
                <c:pt idx="9">
                  <c:v>1510.0967783300348</c:v>
                </c:pt>
                <c:pt idx="10">
                  <c:v>2878.8021883877136</c:v>
                </c:pt>
                <c:pt idx="11">
                  <c:v>3845.8207496924429</c:v>
                </c:pt>
              </c:numCache>
            </c:numRef>
          </c:val>
          <c:extLst>
            <c:ext xmlns:c16="http://schemas.microsoft.com/office/drawing/2014/chart" uri="{C3380CC4-5D6E-409C-BE32-E72D297353CC}">
              <c16:uniqueId val="{00000000-B8A3-4290-8876-4866AAA3350A}"/>
            </c:ext>
          </c:extLst>
        </c:ser>
        <c:dLbls>
          <c:showLegendKey val="0"/>
          <c:showVal val="0"/>
          <c:showCatName val="0"/>
          <c:showSerName val="0"/>
          <c:showPercent val="0"/>
          <c:showBubbleSize val="0"/>
        </c:dLbls>
        <c:gapWidth val="150"/>
        <c:axId val="2048645471"/>
        <c:axId val="1"/>
      </c:barChart>
      <c:lineChart>
        <c:grouping val="standard"/>
        <c:varyColors val="0"/>
        <c:ser>
          <c:idx val="0"/>
          <c:order val="0"/>
          <c:tx>
            <c:v>Verluste Transmission und Lüftung</c:v>
          </c:tx>
          <c:spPr>
            <a:ln w="12700">
              <a:solidFill>
                <a:srgbClr val="808080"/>
              </a:solidFill>
              <a:prstDash val="solid"/>
            </a:ln>
          </c:spPr>
          <c:marker>
            <c:symbol val="circle"/>
            <c:size val="5"/>
            <c:spPr>
              <a:solidFill>
                <a:srgbClr val="808080"/>
              </a:solidFill>
              <a:ln>
                <a:solidFill>
                  <a:srgbClr val="808080"/>
                </a:solidFill>
                <a:prstDash val="solid"/>
              </a:ln>
            </c:spPr>
          </c:marker>
          <c:dLbls>
            <c:spPr>
              <a:solidFill>
                <a:srgbClr val="FFFFFF"/>
              </a:solidFill>
              <a:ln w="25400">
                <a:noFill/>
              </a:ln>
            </c:spPr>
            <c:txPr>
              <a:bodyPr wrap="square" lIns="38100" tIns="19050" rIns="38100" bIns="19050" anchor="ctr">
                <a:spAutoFit/>
              </a:bodyPr>
              <a:lstStyle/>
              <a:p>
                <a:pPr>
                  <a:defRPr sz="800" b="0" i="0" u="none" strike="noStrike" baseline="0">
                    <a:solidFill>
                      <a:srgbClr val="80808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'Ergebnisse IST (05,06,07)'!$E$9:$P$9</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'Ergebnisse IST (05,06,07)'!$E$30:$P$30</c:f>
              <c:numCache>
                <c:formatCode>0</c:formatCode>
                <c:ptCount val="12"/>
                <c:pt idx="0">
                  <c:v>5002.1020206751564</c:v>
                </c:pt>
                <c:pt idx="1">
                  <c:v>4296.1413736021814</c:v>
                </c:pt>
                <c:pt idx="2">
                  <c:v>3987.5218066051775</c:v>
                </c:pt>
                <c:pt idx="3">
                  <c:v>2651.2323289869055</c:v>
                </c:pt>
                <c:pt idx="4">
                  <c:v>1370.1828556471137</c:v>
                </c:pt>
                <c:pt idx="5">
                  <c:v>622.40037550790612</c:v>
                </c:pt>
                <c:pt idx="6">
                  <c:v>0</c:v>
                </c:pt>
                <c:pt idx="7">
                  <c:v>111.85166168547784</c:v>
                </c:pt>
                <c:pt idx="8">
                  <c:v>1271.8616369074589</c:v>
                </c:pt>
                <c:pt idx="9">
                  <c:v>2655.9656211903284</c:v>
                </c:pt>
                <c:pt idx="10">
                  <c:v>4018.8758273141771</c:v>
                </c:pt>
                <c:pt idx="11">
                  <c:v>5029.3482812751581</c:v>
                </c:pt>
              </c:numCache>
            </c:numRef>
          </c:val>
          <c:smooth val="0"/>
          <c:extLst>
            <c:ext xmlns:c16="http://schemas.microsoft.com/office/drawing/2014/chart" uri="{C3380CC4-5D6E-409C-BE32-E72D297353CC}">
              <c16:uniqueId val="{00000001-B8A3-4290-8876-4866AAA3350A}"/>
            </c:ext>
          </c:extLst>
        </c:ser>
        <c:ser>
          <c:idx val="1"/>
          <c:order val="1"/>
          <c:tx>
            <c:v>innere und solare Gewinne</c:v>
          </c:tx>
          <c:spPr>
            <a:ln w="12700">
              <a:solidFill>
                <a:srgbClr val="000000"/>
              </a:solidFill>
              <a:prstDash val="lgDash"/>
            </a:ln>
          </c:spPr>
          <c:marker>
            <c:symbol val="square"/>
            <c:size val="5"/>
            <c:spPr>
              <a:solidFill>
                <a:srgbClr val="FFFFFF"/>
              </a:solidFill>
              <a:ln>
                <a:solidFill>
                  <a:srgbClr val="000000"/>
                </a:solidFill>
                <a:prstDash val="solid"/>
              </a:ln>
            </c:spPr>
          </c:marker>
          <c:dLbls>
            <c:spPr>
              <a:noFill/>
              <a:ln w="25400">
                <a:noFill/>
              </a:ln>
            </c:spPr>
            <c:txPr>
              <a:bodyPr wrap="square" lIns="38100" tIns="19050" rIns="38100" bIns="19050" anchor="ctr">
                <a:spAutoFit/>
              </a:bodyPr>
              <a:lstStyle/>
              <a:p>
                <a:pPr>
                  <a:defRPr sz="575"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'Ergebnisse IST (05,06,07)'!$E$31:$P$31</c:f>
              <c:numCache>
                <c:formatCode>0</c:formatCode>
                <c:ptCount val="12"/>
                <c:pt idx="0">
                  <c:v>1190.3999999999999</c:v>
                </c:pt>
                <c:pt idx="1">
                  <c:v>1075.2</c:v>
                </c:pt>
                <c:pt idx="2">
                  <c:v>1190.3999999999999</c:v>
                </c:pt>
                <c:pt idx="3">
                  <c:v>1152</c:v>
                </c:pt>
                <c:pt idx="4">
                  <c:v>1190.3999999999999</c:v>
                </c:pt>
                <c:pt idx="5">
                  <c:v>1152</c:v>
                </c:pt>
                <c:pt idx="6">
                  <c:v>1190.3999999999999</c:v>
                </c:pt>
                <c:pt idx="7">
                  <c:v>1190.3999999999999</c:v>
                </c:pt>
                <c:pt idx="8">
                  <c:v>1152</c:v>
                </c:pt>
                <c:pt idx="9">
                  <c:v>1190.3999999999999</c:v>
                </c:pt>
                <c:pt idx="10">
                  <c:v>1152</c:v>
                </c:pt>
                <c:pt idx="11">
                  <c:v>1190.3999999999999</c:v>
                </c:pt>
              </c:numCache>
            </c:numRef>
          </c:val>
          <c:smooth val="0"/>
          <c:extLst>
            <c:ext xmlns:c16="http://schemas.microsoft.com/office/drawing/2014/chart" uri="{C3380CC4-5D6E-409C-BE32-E72D297353CC}">
              <c16:uniqueId val="{00000002-B8A3-4290-8876-4866AAA3350A}"/>
            </c:ext>
          </c:extLst>
        </c:ser>
        <c:dLbls>
          <c:showLegendKey val="0"/>
          <c:showVal val="0"/>
          <c:showCatName val="0"/>
          <c:showSerName val="0"/>
          <c:showPercent val="0"/>
          <c:showBubbleSize val="0"/>
        </c:dLbls>
        <c:marker val="1"/>
        <c:smooth val="0"/>
        <c:axId val="2048645471"/>
        <c:axId val="1"/>
      </c:lineChart>
      <c:catAx>
        <c:axId val="204864547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de-DE"/>
                  <a:t>Energiemengen, in kWh</a:t>
                </a:r>
              </a:p>
            </c:rich>
          </c:tx>
          <c:layout>
            <c:manualLayout>
              <c:xMode val="edge"/>
              <c:yMode val="edge"/>
              <c:x val="4.9165715267931141E-3"/>
              <c:y val="0.36940497834148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2048645471"/>
        <c:crosses val="autoZero"/>
        <c:crossBetween val="between"/>
      </c:valAx>
      <c:spPr>
        <a:noFill/>
        <a:ln w="3175">
          <a:solidFill>
            <a:srgbClr val="000000"/>
          </a:solidFill>
          <a:prstDash val="solid"/>
        </a:ln>
      </c:spPr>
    </c:plotArea>
    <c:legend>
      <c:legendPos val="r"/>
      <c:layout>
        <c:manualLayout>
          <c:xMode val="edge"/>
          <c:yMode val="edge"/>
          <c:x val="0.72470264304930498"/>
          <c:y val="3.430189084599531E-2"/>
          <c:w val="0.21632914717889704"/>
          <c:h val="0.1530392053129021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noFill/>
    <a:ln w="6350">
      <a:noFill/>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1" u="none" strike="noStrike" baseline="0">
                <a:solidFill>
                  <a:srgbClr val="000000"/>
                </a:solidFill>
                <a:latin typeface="Arial"/>
                <a:ea typeface="Arial"/>
                <a:cs typeface="Arial"/>
              </a:defRPr>
            </a:pPr>
            <a:r>
              <a:rPr lang="de-DE"/>
              <a:t>monatlicher Heizwärmebedarf in kWh/a
(sowie Wärmeverluste und Wärmegewinne) </a:t>
            </a:r>
          </a:p>
        </c:rich>
      </c:tx>
      <c:layout>
        <c:manualLayout>
          <c:xMode val="edge"/>
          <c:yMode val="edge"/>
          <c:x val="4.9165715267931141E-3"/>
          <c:y val="1.3193034940767429E-2"/>
        </c:manualLayout>
      </c:layout>
      <c:overlay val="0"/>
      <c:spPr>
        <a:noFill/>
        <a:ln w="25400">
          <a:noFill/>
        </a:ln>
      </c:spPr>
    </c:title>
    <c:autoTitleDeleted val="0"/>
    <c:plotArea>
      <c:layout>
        <c:manualLayout>
          <c:layoutTarget val="inner"/>
          <c:xMode val="edge"/>
          <c:yMode val="edge"/>
          <c:x val="7.6698515817972587E-2"/>
          <c:y val="0.25330627086273461"/>
          <c:w val="0.90169921801385711"/>
          <c:h val="0.61479542823976219"/>
        </c:manualLayout>
      </c:layout>
      <c:barChart>
        <c:barDir val="col"/>
        <c:grouping val="clustered"/>
        <c:varyColors val="0"/>
        <c:ser>
          <c:idx val="2"/>
          <c:order val="2"/>
          <c:tx>
            <c:v>Heizwärmebedarf</c:v>
          </c:tx>
          <c:spPr>
            <a:solidFill>
              <a:srgbClr val="C0C0C0"/>
            </a:solidFill>
            <a:ln w="12700">
              <a:solidFill>
                <a:srgbClr val="000000"/>
              </a:solidFill>
              <a:prstDash val="solid"/>
            </a:ln>
          </c:spPr>
          <c:invertIfNegative val="0"/>
          <c:cat>
            <c:strRef>
              <c:f>'Ergebnisse REF (08,09,10)'!$E$9:$P$9</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'Ergebnisse REF (08,09,10)'!$E$35:$P$35</c:f>
              <c:numCache>
                <c:formatCode>0</c:formatCode>
                <c:ptCount val="12"/>
                <c:pt idx="0">
                  <c:v>4785.0311511714754</c:v>
                </c:pt>
                <c:pt idx="1">
                  <c:v>4059.0008102391935</c:v>
                </c:pt>
                <c:pt idx="2">
                  <c:v>3583.6115382668722</c:v>
                </c:pt>
                <c:pt idx="3">
                  <c:v>2050.2546965060319</c:v>
                </c:pt>
                <c:pt idx="4">
                  <c:v>620.35853662737429</c:v>
                </c:pt>
                <c:pt idx="5">
                  <c:v>86.305050270580068</c:v>
                </c:pt>
                <c:pt idx="6">
                  <c:v>0</c:v>
                </c:pt>
                <c:pt idx="7">
                  <c:v>0.17282130306173826</c:v>
                </c:pt>
                <c:pt idx="8">
                  <c:v>549.28442984461276</c:v>
                </c:pt>
                <c:pt idx="9">
                  <c:v>2021.7575624611084</c:v>
                </c:pt>
                <c:pt idx="10">
                  <c:v>3657.2068734290406</c:v>
                </c:pt>
                <c:pt idx="11">
                  <c:v>4817.3247817703113</c:v>
                </c:pt>
              </c:numCache>
            </c:numRef>
          </c:val>
          <c:extLst>
            <c:ext xmlns:c16="http://schemas.microsoft.com/office/drawing/2014/chart" uri="{C3380CC4-5D6E-409C-BE32-E72D297353CC}">
              <c16:uniqueId val="{00000000-C055-4C12-A5EF-153667C4E5D1}"/>
            </c:ext>
          </c:extLst>
        </c:ser>
        <c:dLbls>
          <c:showLegendKey val="0"/>
          <c:showVal val="0"/>
          <c:showCatName val="0"/>
          <c:showSerName val="0"/>
          <c:showPercent val="0"/>
          <c:showBubbleSize val="0"/>
        </c:dLbls>
        <c:gapWidth val="150"/>
        <c:axId val="2048646271"/>
        <c:axId val="1"/>
      </c:barChart>
      <c:lineChart>
        <c:grouping val="standard"/>
        <c:varyColors val="0"/>
        <c:ser>
          <c:idx val="0"/>
          <c:order val="0"/>
          <c:tx>
            <c:v>Verluste Transmission und Lüftung</c:v>
          </c:tx>
          <c:spPr>
            <a:ln w="12700">
              <a:solidFill>
                <a:srgbClr val="808080"/>
              </a:solidFill>
              <a:prstDash val="solid"/>
            </a:ln>
          </c:spPr>
          <c:marker>
            <c:symbol val="circle"/>
            <c:size val="5"/>
            <c:spPr>
              <a:solidFill>
                <a:srgbClr val="808080"/>
              </a:solidFill>
              <a:ln>
                <a:solidFill>
                  <a:srgbClr val="808080"/>
                </a:solidFill>
                <a:prstDash val="solid"/>
              </a:ln>
            </c:spPr>
          </c:marker>
          <c:dLbls>
            <c:spPr>
              <a:solidFill>
                <a:srgbClr val="FFFFFF"/>
              </a:solidFill>
              <a:ln w="25400">
                <a:noFill/>
              </a:ln>
            </c:spPr>
            <c:txPr>
              <a:bodyPr wrap="square" lIns="38100" tIns="19050" rIns="38100" bIns="19050" anchor="ctr">
                <a:spAutoFit/>
              </a:bodyPr>
              <a:lstStyle/>
              <a:p>
                <a:pPr>
                  <a:defRPr sz="800" b="0" i="0" u="none" strike="noStrike" baseline="0">
                    <a:solidFill>
                      <a:srgbClr val="80808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'Ergebnisse REF (08,09,10)'!$E$9:$P$9</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'Ergebnisse REF (08,09,10)'!$E$30:$P$30</c:f>
              <c:numCache>
                <c:formatCode>0</c:formatCode>
                <c:ptCount val="12"/>
                <c:pt idx="0">
                  <c:v>5967.6788704555447</c:v>
                </c:pt>
                <c:pt idx="1">
                  <c:v>5126.1676129332718</c:v>
                </c:pt>
                <c:pt idx="2">
                  <c:v>4759.7106518683277</c:v>
                </c:pt>
                <c:pt idx="3">
                  <c:v>3165.7825789980293</c:v>
                </c:pt>
                <c:pt idx="4">
                  <c:v>1636.1300947570546</c:v>
                </c:pt>
                <c:pt idx="5">
                  <c:v>743.20590216087362</c:v>
                </c:pt>
                <c:pt idx="6">
                  <c:v>0</c:v>
                </c:pt>
                <c:pt idx="7">
                  <c:v>133.5616403883306</c:v>
                </c:pt>
                <c:pt idx="8">
                  <c:v>1518.7251044156994</c:v>
                </c:pt>
                <c:pt idx="9">
                  <c:v>3171.4628841080739</c:v>
                </c:pt>
                <c:pt idx="10">
                  <c:v>4796.7903367666222</c:v>
                </c:pt>
                <c:pt idx="11">
                  <c:v>6000.0868484874063</c:v>
                </c:pt>
              </c:numCache>
            </c:numRef>
          </c:val>
          <c:smooth val="0"/>
          <c:extLst>
            <c:ext xmlns:c16="http://schemas.microsoft.com/office/drawing/2014/chart" uri="{C3380CC4-5D6E-409C-BE32-E72D297353CC}">
              <c16:uniqueId val="{00000001-C055-4C12-A5EF-153667C4E5D1}"/>
            </c:ext>
          </c:extLst>
        </c:ser>
        <c:ser>
          <c:idx val="1"/>
          <c:order val="1"/>
          <c:tx>
            <c:v>innere und solare Gewinne</c:v>
          </c:tx>
          <c:spPr>
            <a:ln w="12700">
              <a:solidFill>
                <a:srgbClr val="000000"/>
              </a:solidFill>
              <a:prstDash val="lgDash"/>
            </a:ln>
          </c:spPr>
          <c:marker>
            <c:symbol val="square"/>
            <c:size val="5"/>
            <c:spPr>
              <a:solidFill>
                <a:srgbClr val="FFFFFF"/>
              </a:solidFill>
              <a:ln>
                <a:solidFill>
                  <a:srgbClr val="000000"/>
                </a:solidFill>
                <a:prstDash val="solid"/>
              </a:ln>
            </c:spPr>
          </c:marker>
          <c:dLbls>
            <c:spPr>
              <a:noFill/>
              <a:ln w="25400">
                <a:noFill/>
              </a:ln>
            </c:spPr>
            <c:txPr>
              <a:bodyPr wrap="square" lIns="38100" tIns="19050" rIns="38100" bIns="19050" anchor="ctr">
                <a:spAutoFit/>
              </a:bodyPr>
              <a:lstStyle/>
              <a:p>
                <a:pPr>
                  <a:defRPr sz="575"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'Ergebnisse REF (08,09,10)'!$E$9:$P$9</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'Ergebnisse REF (08,09,10)'!$E$31:$P$31</c:f>
              <c:numCache>
                <c:formatCode>0</c:formatCode>
                <c:ptCount val="12"/>
                <c:pt idx="0">
                  <c:v>1190.3999999999999</c:v>
                </c:pt>
                <c:pt idx="1">
                  <c:v>1075.2</c:v>
                </c:pt>
                <c:pt idx="2">
                  <c:v>1190.3999999999999</c:v>
                </c:pt>
                <c:pt idx="3">
                  <c:v>1152</c:v>
                </c:pt>
                <c:pt idx="4">
                  <c:v>1190.3999999999999</c:v>
                </c:pt>
                <c:pt idx="5">
                  <c:v>1152</c:v>
                </c:pt>
                <c:pt idx="6">
                  <c:v>1190.3999999999999</c:v>
                </c:pt>
                <c:pt idx="7">
                  <c:v>1190.3999999999999</c:v>
                </c:pt>
                <c:pt idx="8">
                  <c:v>1152</c:v>
                </c:pt>
                <c:pt idx="9">
                  <c:v>1190.3999999999999</c:v>
                </c:pt>
                <c:pt idx="10">
                  <c:v>1152</c:v>
                </c:pt>
                <c:pt idx="11">
                  <c:v>1190.3999999999999</c:v>
                </c:pt>
              </c:numCache>
            </c:numRef>
          </c:val>
          <c:smooth val="0"/>
          <c:extLst>
            <c:ext xmlns:c16="http://schemas.microsoft.com/office/drawing/2014/chart" uri="{C3380CC4-5D6E-409C-BE32-E72D297353CC}">
              <c16:uniqueId val="{00000002-C055-4C12-A5EF-153667C4E5D1}"/>
            </c:ext>
          </c:extLst>
        </c:ser>
        <c:dLbls>
          <c:showLegendKey val="0"/>
          <c:showVal val="0"/>
          <c:showCatName val="0"/>
          <c:showSerName val="0"/>
          <c:showPercent val="0"/>
          <c:showBubbleSize val="0"/>
        </c:dLbls>
        <c:marker val="1"/>
        <c:smooth val="0"/>
        <c:axId val="2048646271"/>
        <c:axId val="1"/>
      </c:lineChart>
      <c:catAx>
        <c:axId val="204864627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de-DE"/>
                  <a:t>Energiemengen, in kWh</a:t>
                </a:r>
              </a:p>
            </c:rich>
          </c:tx>
          <c:layout>
            <c:manualLayout>
              <c:xMode val="edge"/>
              <c:yMode val="edge"/>
              <c:x val="4.9165715267931141E-3"/>
              <c:y val="0.377320799305948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2048646271"/>
        <c:crosses val="autoZero"/>
        <c:crossBetween val="between"/>
      </c:valAx>
      <c:spPr>
        <a:noFill/>
        <a:ln w="3175">
          <a:solidFill>
            <a:srgbClr val="000000"/>
          </a:solidFill>
          <a:prstDash val="solid"/>
        </a:ln>
      </c:spPr>
    </c:plotArea>
    <c:legend>
      <c:legendPos val="t"/>
      <c:layout>
        <c:manualLayout>
          <c:xMode val="edge"/>
          <c:yMode val="edge"/>
          <c:x val="0.7237193287439464"/>
          <c:y val="3.6940497834148801E-2"/>
          <c:w val="0.21632914717889704"/>
          <c:h val="0.1530392053129021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noFill/>
    <a:ln w="6350">
      <a:noFill/>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1" u="none" strike="noStrike" baseline="0">
                <a:solidFill>
                  <a:srgbClr val="000000"/>
                </a:solidFill>
                <a:latin typeface="Arial"/>
                <a:ea typeface="Arial"/>
                <a:cs typeface="Arial"/>
              </a:defRPr>
            </a:pPr>
            <a:r>
              <a:rPr lang="de-DE"/>
              <a:t>Höhe der Primär-, End- und Nutzenergie in kWh/a</a:t>
            </a:r>
          </a:p>
        </c:rich>
      </c:tx>
      <c:layout>
        <c:manualLayout>
          <c:xMode val="edge"/>
          <c:yMode val="edge"/>
          <c:x val="4.9214130871660239E-3"/>
          <c:y val="9.3461009377760404E-3"/>
        </c:manualLayout>
      </c:layout>
      <c:overlay val="0"/>
      <c:spPr>
        <a:noFill/>
        <a:ln w="25400">
          <a:noFill/>
        </a:ln>
      </c:spPr>
    </c:title>
    <c:autoTitleDeleted val="0"/>
    <c:view3D>
      <c:rotX val="14"/>
      <c:hPercent val="100"/>
      <c:rotY val="30"/>
      <c:depthPercent val="100"/>
      <c:rAngAx val="0"/>
    </c:view3D>
    <c:floor>
      <c:thickness val="0"/>
      <c:spPr>
        <a:no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6.9884065837757539E-2"/>
          <c:y val="6.8538073543690958E-2"/>
          <c:w val="0.79037894179886337"/>
          <c:h val="0.8177838320554035"/>
        </c:manualLayout>
      </c:layout>
      <c:bar3DChart>
        <c:barDir val="col"/>
        <c:grouping val="standard"/>
        <c:varyColors val="0"/>
        <c:ser>
          <c:idx val="0"/>
          <c:order val="0"/>
          <c:tx>
            <c:strRef>
              <c:f>'Ergebnisse REF (08,09,10)'!$A$214</c:f>
              <c:strCache>
                <c:ptCount val="1"/>
                <c:pt idx="0">
                  <c:v>Trinkwarmwasser</c:v>
                </c:pt>
              </c:strCache>
            </c:strRef>
          </c:tx>
          <c:spPr>
            <a:solidFill>
              <a:srgbClr val="808080"/>
            </a:solidFill>
            <a:ln w="12700">
              <a:solidFill>
                <a:srgbClr val="000000"/>
              </a:solidFill>
              <a:prstDash val="solid"/>
            </a:ln>
          </c:spPr>
          <c:invertIfNegative val="0"/>
          <c:dLbls>
            <c:spPr>
              <a:solidFill>
                <a:srgbClr val="FFFFFF"/>
              </a:solid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'Ergebnisse REF (08,09,10)'!$E$213:$G$213</c:f>
              <c:strCache>
                <c:ptCount val="3"/>
                <c:pt idx="0">
                  <c:v>Nutzenergie</c:v>
                </c:pt>
                <c:pt idx="1">
                  <c:v>Endenergie</c:v>
                </c:pt>
                <c:pt idx="2">
                  <c:v>Primärenergie (incl. PV)</c:v>
                </c:pt>
              </c:strCache>
            </c:strRef>
          </c:cat>
          <c:val>
            <c:numRef>
              <c:f>'Ergebnisse REF (08,09,10)'!$E$214:$G$214</c:f>
              <c:numCache>
                <c:formatCode>0</c:formatCode>
                <c:ptCount val="3"/>
                <c:pt idx="0">
                  <c:v>4000</c:v>
                </c:pt>
                <c:pt idx="1">
                  <c:v>4108.9800000000005</c:v>
                </c:pt>
                <c:pt idx="2">
                  <c:v>4711.7480000000005</c:v>
                </c:pt>
              </c:numCache>
            </c:numRef>
          </c:val>
          <c:extLst>
            <c:ext xmlns:c16="http://schemas.microsoft.com/office/drawing/2014/chart" uri="{C3380CC4-5D6E-409C-BE32-E72D297353CC}">
              <c16:uniqueId val="{00000000-D39C-4286-813C-88573F13ABB8}"/>
            </c:ext>
          </c:extLst>
        </c:ser>
        <c:ser>
          <c:idx val="1"/>
          <c:order val="1"/>
          <c:tx>
            <c:strRef>
              <c:f>'Ergebnisse REF (08,09,10)'!$A$215</c:f>
              <c:strCache>
                <c:ptCount val="1"/>
                <c:pt idx="0">
                  <c:v>Heizung und Lüftung</c:v>
                </c:pt>
              </c:strCache>
            </c:strRef>
          </c:tx>
          <c:spPr>
            <a:solidFill>
              <a:srgbClr val="C0C0C0"/>
            </a:solidFill>
            <a:ln w="12700">
              <a:solidFill>
                <a:srgbClr val="000000"/>
              </a:solidFill>
              <a:prstDash val="solid"/>
            </a:ln>
          </c:spPr>
          <c:invertIfNegative val="0"/>
          <c:dLbls>
            <c:spPr>
              <a:solidFill>
                <a:srgbClr val="FFFFFF"/>
              </a:solid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'Ergebnisse REF (08,09,10)'!$E$213:$G$213</c:f>
              <c:strCache>
                <c:ptCount val="3"/>
                <c:pt idx="0">
                  <c:v>Nutzenergie</c:v>
                </c:pt>
                <c:pt idx="1">
                  <c:v>Endenergie</c:v>
                </c:pt>
                <c:pt idx="2">
                  <c:v>Primärenergie (incl. PV)</c:v>
                </c:pt>
              </c:strCache>
            </c:strRef>
          </c:cat>
          <c:val>
            <c:numRef>
              <c:f>'Ergebnisse REF (08,09,10)'!$E$215:$G$215</c:f>
              <c:numCache>
                <c:formatCode>0</c:formatCode>
                <c:ptCount val="3"/>
                <c:pt idx="0">
                  <c:v>26230.308251889663</c:v>
                </c:pt>
                <c:pt idx="1">
                  <c:v>25487.271921814081</c:v>
                </c:pt>
                <c:pt idx="2">
                  <c:v>28555.679113995488</c:v>
                </c:pt>
              </c:numCache>
            </c:numRef>
          </c:val>
          <c:extLst>
            <c:ext xmlns:c16="http://schemas.microsoft.com/office/drawing/2014/chart" uri="{C3380CC4-5D6E-409C-BE32-E72D297353CC}">
              <c16:uniqueId val="{00000001-D39C-4286-813C-88573F13ABB8}"/>
            </c:ext>
          </c:extLst>
        </c:ser>
        <c:ser>
          <c:idx val="2"/>
          <c:order val="2"/>
          <c:tx>
            <c:strRef>
              <c:f>'Ergebnisse REF (08,09,10)'!$A$216</c:f>
              <c:strCache>
                <c:ptCount val="1"/>
                <c:pt idx="0">
                  <c:v>Gesamt</c:v>
                </c:pt>
              </c:strCache>
            </c:strRef>
          </c:tx>
          <c:spPr>
            <a:solidFill>
              <a:srgbClr val="FFFFFF"/>
            </a:solidFill>
            <a:ln w="12700">
              <a:solidFill>
                <a:srgbClr val="000000"/>
              </a:solidFill>
              <a:prstDash val="solid"/>
            </a:ln>
          </c:spPr>
          <c:invertIfNegative val="0"/>
          <c:dLbls>
            <c:spPr>
              <a:solidFill>
                <a:srgbClr val="FFFFFF"/>
              </a:solid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'Ergebnisse REF (08,09,10)'!$E$213:$G$213</c:f>
              <c:strCache>
                <c:ptCount val="3"/>
                <c:pt idx="0">
                  <c:v>Nutzenergie</c:v>
                </c:pt>
                <c:pt idx="1">
                  <c:v>Endenergie</c:v>
                </c:pt>
                <c:pt idx="2">
                  <c:v>Primärenergie (incl. PV)</c:v>
                </c:pt>
              </c:strCache>
            </c:strRef>
          </c:cat>
          <c:val>
            <c:numRef>
              <c:f>'Ergebnisse REF (08,09,10)'!$E$216:$G$216</c:f>
              <c:numCache>
                <c:formatCode>0</c:formatCode>
                <c:ptCount val="3"/>
                <c:pt idx="0">
                  <c:v>30230.308251889663</c:v>
                </c:pt>
                <c:pt idx="1">
                  <c:v>29596.251921814081</c:v>
                </c:pt>
                <c:pt idx="2">
                  <c:v>33267.427113995487</c:v>
                </c:pt>
              </c:numCache>
            </c:numRef>
          </c:val>
          <c:extLst>
            <c:ext xmlns:c16="http://schemas.microsoft.com/office/drawing/2014/chart" uri="{C3380CC4-5D6E-409C-BE32-E72D297353CC}">
              <c16:uniqueId val="{00000002-D39C-4286-813C-88573F13ABB8}"/>
            </c:ext>
          </c:extLst>
        </c:ser>
        <c:dLbls>
          <c:showLegendKey val="0"/>
          <c:showVal val="0"/>
          <c:showCatName val="0"/>
          <c:showSerName val="0"/>
          <c:showPercent val="0"/>
          <c:showBubbleSize val="0"/>
        </c:dLbls>
        <c:gapWidth val="150"/>
        <c:shape val="cylinder"/>
        <c:axId val="2048640671"/>
        <c:axId val="1"/>
        <c:axId val="2"/>
      </c:bar3DChart>
      <c:catAx>
        <c:axId val="2048640671"/>
        <c:scaling>
          <c:orientation val="maxMin"/>
        </c:scaling>
        <c:delete val="0"/>
        <c:axPos val="b"/>
        <c:numFmt formatCode="General" sourceLinked="1"/>
        <c:majorTickMark val="in"/>
        <c:minorTickMark val="none"/>
        <c:tickLblPos val="low"/>
        <c:spPr>
          <a:ln w="3175">
            <a:solidFill>
              <a:srgbClr val="000000"/>
            </a:solidFill>
            <a:prstDash val="solid"/>
          </a:ln>
        </c:spPr>
        <c:txPr>
          <a:bodyPr rot="-1800000" vert="horz"/>
          <a:lstStyle/>
          <a:p>
            <a:pPr rtl="0">
              <a:defRPr sz="10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1"/>
      </c:catAx>
      <c:valAx>
        <c:axId val="1"/>
        <c:scaling>
          <c:orientation val="minMax"/>
        </c:scaling>
        <c:delete val="0"/>
        <c:axPos val="r"/>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2048640671"/>
        <c:crosses val="autoZero"/>
        <c:crossBetween val="between"/>
      </c:valAx>
      <c:serAx>
        <c:axId val="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 vert="horz"/>
          <a:lstStyle/>
          <a:p>
            <a:pPr>
              <a:defRPr sz="1000" b="0" i="0" u="none" strike="noStrike" baseline="0">
                <a:solidFill>
                  <a:srgbClr val="000000"/>
                </a:solidFill>
                <a:latin typeface="Arial"/>
                <a:ea typeface="Arial"/>
                <a:cs typeface="Arial"/>
              </a:defRPr>
            </a:pPr>
            <a:endParaRPr lang="de-DE"/>
          </a:p>
        </c:txPr>
        <c:crossAx val="1"/>
        <c:crosses val="autoZero"/>
        <c:tickLblSkip val="1"/>
        <c:tickMarkSkip val="1"/>
      </c:serAx>
      <c:spPr>
        <a:noFill/>
        <a:ln w="25400">
          <a:noFill/>
        </a:ln>
      </c:spPr>
    </c:plotArea>
    <c:plotVisOnly val="1"/>
    <c:dispBlanksAs val="gap"/>
    <c:showDLblsOverMax val="0"/>
  </c:chart>
  <c:spPr>
    <a:noFill/>
    <a:ln w="6350">
      <a:noFill/>
    </a:ln>
  </c:spPr>
  <c:txPr>
    <a:bodyPr/>
    <a:lstStyle/>
    <a:p>
      <a:pPr>
        <a:defRPr sz="20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trlProps/ctrlProp1.xml><?xml version="1.0" encoding="utf-8"?>
<formControlPr xmlns="http://schemas.microsoft.com/office/spreadsheetml/2009/9/main" objectType="Drop" dropStyle="combo" dx="31" noThreeD="1" sel="0" val="0"/>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Drop" dropLines="30" dropStyle="combo" dx="31" fmlaLink="Rechnungen!$D$425" fmlaRange="Rechnungen!$A$426:$A$428" sel="1" val="0"/>
</file>

<file path=xl/ctrlProps/ctrlProp101.xml><?xml version="1.0" encoding="utf-8"?>
<formControlPr xmlns="http://schemas.microsoft.com/office/spreadsheetml/2009/9/main" objectType="Drop" dropLines="30" dropStyle="combo" dx="31" fmlaLink="Rechnungen!$F$438" fmlaRange="Rechnungen!$A$439:$A$441" sel="1" val="0"/>
</file>

<file path=xl/ctrlProps/ctrlProp102.xml><?xml version="1.0" encoding="utf-8"?>
<formControlPr xmlns="http://schemas.microsoft.com/office/spreadsheetml/2009/9/main" objectType="Drop" dropLines="30" dropStyle="combo" dx="31" fmlaLink="Rechnungen!$F$445" fmlaRange="Rechnungen!$A$446:$A$448" sel="1" val="0"/>
</file>

<file path=xl/ctrlProps/ctrlProp103.xml><?xml version="1.0" encoding="utf-8"?>
<formControlPr xmlns="http://schemas.microsoft.com/office/spreadsheetml/2009/9/main" objectType="Drop" dropLines="30" dropStyle="combo" dx="31" fmlaLink="Rechnungen!$F$432" fmlaRange="Rechnungen!$A$433:$A$435" sel="1" val="0"/>
</file>

<file path=xl/ctrlProps/ctrlProp104.xml><?xml version="1.0" encoding="utf-8"?>
<formControlPr xmlns="http://schemas.microsoft.com/office/spreadsheetml/2009/9/main" objectType="Drop" dropLines="30" dropStyle="combo" dx="31" fmlaLink="Rechnungen!$F$451" fmlaRange="Rechnungen!$A$452:$A$454" sel="1" val="0"/>
</file>

<file path=xl/ctrlProps/ctrlProp105.xml><?xml version="1.0" encoding="utf-8"?>
<formControlPr xmlns="http://schemas.microsoft.com/office/spreadsheetml/2009/9/main" objectType="Drop" dropLines="30" dropStyle="combo" dx="31" fmlaLink="Rechnungen!$C$485" fmlaRange="Rechnungen!$A$486:$A$490" sel="1" val="0"/>
</file>

<file path=xl/ctrlProps/ctrlProp106.xml><?xml version="1.0" encoding="utf-8"?>
<formControlPr xmlns="http://schemas.microsoft.com/office/spreadsheetml/2009/9/main" objectType="Drop" dropLines="30" dropStyle="combo" dx="31" fmlaLink="Rechnungen!$F$493" fmlaRange="Rechnungen!$A$495:$A$500" sel="3" val="0"/>
</file>

<file path=xl/ctrlProps/ctrlProp107.xml><?xml version="1.0" encoding="utf-8"?>
<formControlPr xmlns="http://schemas.microsoft.com/office/spreadsheetml/2009/9/main" objectType="Drop" dropLines="30" dropStyle="combo" dx="31" fmlaLink="Rechnungen!$F$504" fmlaRange="Rechnungen!$A$505:$A$507" sel="3" val="0"/>
</file>

<file path=xl/ctrlProps/ctrlProp108.xml><?xml version="1.0" encoding="utf-8"?>
<formControlPr xmlns="http://schemas.microsoft.com/office/spreadsheetml/2009/9/main" objectType="Drop" dropLines="30" dropStyle="combo" dx="31" fmlaLink="Rechnungen!$F$510" fmlaRange="Rechnungen!$A$512:$A$516" sel="1" val="0"/>
</file>

<file path=xl/ctrlProps/ctrlProp109.xml><?xml version="1.0" encoding="utf-8"?>
<formControlPr xmlns="http://schemas.microsoft.com/office/spreadsheetml/2009/9/main" objectType="Drop" dropLines="30" dropStyle="combo" dx="31" fmlaLink="Rechnungen!$H$520" fmlaRange="Rechnungen!$A$522:$A$523" sel="1" val="0"/>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Drop" dropLines="30" dropStyle="combo" dx="31" fmlaLink="Rechnungen!$G$536" fmlaRange="Rechnungen!$A$538:$A$559" sel="5" val="0"/>
</file>

<file path=xl/ctrlProps/ctrlProp111.xml><?xml version="1.0" encoding="utf-8"?>
<formControlPr xmlns="http://schemas.microsoft.com/office/spreadsheetml/2009/9/main" objectType="Drop" dropLines="30" dropStyle="combo" dx="31" fmlaLink="Rechnungen!$F$563" fmlaRange="Rechnungen!$A$564:$A$576" sel="3" val="0"/>
</file>

<file path=xl/ctrlProps/ctrlProp112.xml><?xml version="1.0" encoding="utf-8"?>
<formControlPr xmlns="http://schemas.microsoft.com/office/spreadsheetml/2009/9/main" objectType="Drop" dropLines="30" dropStyle="combo" dx="31" fmlaLink="Rechnungen!$G$579" fmlaRange="Rechnungen!$A$581:$A$589" sel="1" val="0"/>
</file>

<file path=xl/ctrlProps/ctrlProp113.xml><?xml version="1.0" encoding="utf-8"?>
<formControlPr xmlns="http://schemas.microsoft.com/office/spreadsheetml/2009/9/main" objectType="Drop" dropLines="30" dropStyle="combo" dx="31" fmlaLink="Rechnungen!$F$463" fmlaRange="Rechnungen!$A$465:$A$482" sel="2" val="0"/>
</file>

<file path=xl/ctrlProps/ctrlProp114.xml><?xml version="1.0" encoding="utf-8"?>
<formControlPr xmlns="http://schemas.microsoft.com/office/spreadsheetml/2009/9/main" objectType="Drop" dropLines="30" dropStyle="combo" dx="31" fmlaLink="Rechnungen!$D$385" fmlaRange="Rechnungen!$A$386:$A$388" sel="1" val="0"/>
</file>

<file path=xl/ctrlProps/ctrlProp115.xml><?xml version="1.0" encoding="utf-8"?>
<formControlPr xmlns="http://schemas.microsoft.com/office/spreadsheetml/2009/9/main" objectType="Drop" dropLines="30" dropStyle="combo" dx="31" fmlaLink="Rechnungen!$D$601" fmlaRange="Rechnungen!$A$602:$A$604" sel="1" val="0"/>
</file>

<file path=xl/ctrlProps/ctrlProp116.xml><?xml version="1.0" encoding="utf-8"?>
<formControlPr xmlns="http://schemas.microsoft.com/office/spreadsheetml/2009/9/main" objectType="Drop" dropLines="30" dropStyle="combo" dx="31" fmlaLink="Rechnungen!$D$607" fmlaRange="Rechnungen!$A$608:$A$611" sel="1" val="0"/>
</file>

<file path=xl/ctrlProps/ctrlProp117.xml><?xml version="1.0" encoding="utf-8"?>
<formControlPr xmlns="http://schemas.microsoft.com/office/spreadsheetml/2009/9/main" objectType="Drop" dropLines="30" dropStyle="combo" dx="31" fmlaLink="Rechnungen!$D$614" fmlaRange="Rechnungen!$B$67:$B$88" sel="1" val="0"/>
</file>

<file path=xl/ctrlProps/ctrlProp118.xml><?xml version="1.0" encoding="utf-8"?>
<formControlPr xmlns="http://schemas.microsoft.com/office/spreadsheetml/2009/9/main" objectType="Radio" firstButton="1" fmlaLink="Rechnungen!$A$683"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Drop" dropLines="30" dropStyle="combo" dx="31" fmlaLink="'Gebäude (02,03)'!$H$37" fmlaRange="Rechnungen!$F$20:$F$46" noThreeD="1" sel="2" val="0"/>
</file>

<file path=xl/ctrlProps/ctrlProp14.xml><?xml version="1.0" encoding="utf-8"?>
<formControlPr xmlns="http://schemas.microsoft.com/office/spreadsheetml/2009/9/main" objectType="CheckBox" fmlaLink="'Gebäude (02,03)'!$A$22" lockText="1"/>
</file>

<file path=xl/ctrlProps/ctrlProp15.xml><?xml version="1.0" encoding="utf-8"?>
<formControlPr xmlns="http://schemas.microsoft.com/office/spreadsheetml/2009/9/main" objectType="Radio" checked="Checked" firstButton="1" fmlaLink="$B$76"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Drop" dropLines="25" dropStyle="combo" dx="31" fmlaLink="'Gebäude (02,03)'!$G$111" fmlaRange="Rechnungen!$B$67:$B$100" noThreeD="1" sel="6" val="5"/>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checked="Checked" firstButton="1" fmlaLink="'Gebäude (02,03)'!$A$90"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checked="Checked" firstButton="1" fmlaLink="'Gebäude (02,03)'!$A$83"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Drop" dropLines="30" dropStyle="combo" dx="31" fmlaLink="'Gebäude (02,03)'!$H$38" fmlaRange="Rechnungen!$F$20:$F$46" noThreeD="1" sel="1" val="0"/>
</file>

<file path=xl/ctrlProps/ctrlProp29.xml><?xml version="1.0" encoding="utf-8"?>
<formControlPr xmlns="http://schemas.microsoft.com/office/spreadsheetml/2009/9/main" objectType="Drop" dropLines="30" dropStyle="combo" dx="31" fmlaLink="'Gebäude (02,03)'!$H$39" fmlaRange="Rechnungen!$F$20:$F$46" noThreeD="1" sel="1" val="0"/>
</file>

<file path=xl/ctrlProps/ctrlProp3.xml><?xml version="1.0" encoding="utf-8"?>
<formControlPr xmlns="http://schemas.microsoft.com/office/spreadsheetml/2009/9/main" objectType="Radio" checked="Checked" firstButton="1" lockText="1" noThreeD="1"/>
</file>

<file path=xl/ctrlProps/ctrlProp30.xml><?xml version="1.0" encoding="utf-8"?>
<formControlPr xmlns="http://schemas.microsoft.com/office/spreadsheetml/2009/9/main" objectType="Drop" dropLines="30" dropStyle="combo" dx="31" fmlaLink="'Gebäude (02,03)'!$H$40" fmlaRange="Rechnungen!$F$20:$F$46" noThreeD="1" sel="1" val="0"/>
</file>

<file path=xl/ctrlProps/ctrlProp31.xml><?xml version="1.0" encoding="utf-8"?>
<formControlPr xmlns="http://schemas.microsoft.com/office/spreadsheetml/2009/9/main" objectType="Drop" dropLines="30" dropStyle="combo" dx="31" fmlaLink="'Gebäude (02,03)'!$H$41" fmlaRange="Rechnungen!$F$20:$F$46" noThreeD="1" sel="1" val="0"/>
</file>

<file path=xl/ctrlProps/ctrlProp32.xml><?xml version="1.0" encoding="utf-8"?>
<formControlPr xmlns="http://schemas.microsoft.com/office/spreadsheetml/2009/9/main" objectType="Drop" dropLines="30" dropStyle="combo" dx="31" fmlaLink="'Gebäude (02,03)'!$H$42" fmlaRange="Rechnungen!$F$20:$F$46" noThreeD="1" sel="1" val="0"/>
</file>

<file path=xl/ctrlProps/ctrlProp33.xml><?xml version="1.0" encoding="utf-8"?>
<formControlPr xmlns="http://schemas.microsoft.com/office/spreadsheetml/2009/9/main" objectType="Drop" dropLines="30" dropStyle="combo" dx="31" fmlaLink="'Gebäude (02,03)'!$H$43" fmlaRange="Rechnungen!$F$20:$F$46" noThreeD="1" sel="1" val="0"/>
</file>

<file path=xl/ctrlProps/ctrlProp34.xml><?xml version="1.0" encoding="utf-8"?>
<formControlPr xmlns="http://schemas.microsoft.com/office/spreadsheetml/2009/9/main" objectType="Drop" dropLines="30" dropStyle="combo" dx="31" fmlaLink="'Gebäude (02,03)'!$H$44" fmlaRange="Rechnungen!$F$20:$F$46" noThreeD="1" sel="1" val="0"/>
</file>

<file path=xl/ctrlProps/ctrlProp35.xml><?xml version="1.0" encoding="utf-8"?>
<formControlPr xmlns="http://schemas.microsoft.com/office/spreadsheetml/2009/9/main" objectType="Drop" dropLines="30" dropStyle="combo" dx="31" fmlaLink="'Gebäude (02,03)'!$H$45" fmlaRange="Rechnungen!$F$20:$F$46" noThreeD="1" sel="1" val="0"/>
</file>

<file path=xl/ctrlProps/ctrlProp36.xml><?xml version="1.0" encoding="utf-8"?>
<formControlPr xmlns="http://schemas.microsoft.com/office/spreadsheetml/2009/9/main" objectType="Drop" dropLines="30" dropStyle="combo" dx="31" fmlaLink="'Gebäude (02,03)'!$H$46" fmlaRange="Rechnungen!$F$20:$F$46" noThreeD="1" sel="1" val="0"/>
</file>

<file path=xl/ctrlProps/ctrlProp37.xml><?xml version="1.0" encoding="utf-8"?>
<formControlPr xmlns="http://schemas.microsoft.com/office/spreadsheetml/2009/9/main" objectType="Drop" dropLines="30" dropStyle="combo" dx="31" fmlaLink="'Gebäude (02,03)'!$H$47" fmlaRange="Rechnungen!$F$20:$F$46" noThreeD="1" sel="1" val="0"/>
</file>

<file path=xl/ctrlProps/ctrlProp38.xml><?xml version="1.0" encoding="utf-8"?>
<formControlPr xmlns="http://schemas.microsoft.com/office/spreadsheetml/2009/9/main" objectType="Drop" dropLines="30" dropStyle="combo" dx="31" fmlaLink="'Gebäude (02,03)'!$H$48" fmlaRange="Rechnungen!$F$20:$F$46" noThreeD="1" sel="1" val="0"/>
</file>

<file path=xl/ctrlProps/ctrlProp39.xml><?xml version="1.0" encoding="utf-8"?>
<formControlPr xmlns="http://schemas.microsoft.com/office/spreadsheetml/2009/9/main" objectType="Drop" dropLines="30" dropStyle="combo" dx="31" fmlaLink="'Gebäude (02,03)'!$H$49" fmlaRange="Rechnungen!$F$20:$F$46" noThreeD="1" sel="1" val="0"/>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Drop" dropLines="30" dropStyle="combo" dx="31" fmlaLink="'Gebäude (02,03)'!$H$50" fmlaRange="Rechnungen!$F$20:$F$46" noThreeD="1" sel="1" val="0"/>
</file>

<file path=xl/ctrlProps/ctrlProp41.xml><?xml version="1.0" encoding="utf-8"?>
<formControlPr xmlns="http://schemas.microsoft.com/office/spreadsheetml/2009/9/main" objectType="Drop" dropLines="30" dropStyle="combo" dx="31" fmlaLink="'Gebäude (02,03)'!$H$51" fmlaRange="Rechnungen!$F$20:$F$46" noThreeD="1" sel="1" val="0"/>
</file>

<file path=xl/ctrlProps/ctrlProp42.xml><?xml version="1.0" encoding="utf-8"?>
<formControlPr xmlns="http://schemas.microsoft.com/office/spreadsheetml/2009/9/main" objectType="Drop" dropLines="30" dropStyle="combo" dx="31" fmlaLink="'Gebäude (02,03)'!$H$52" fmlaRange="Rechnungen!$F$20:$F$46" noThreeD="1" sel="1" val="0"/>
</file>

<file path=xl/ctrlProps/ctrlProp43.xml><?xml version="1.0" encoding="utf-8"?>
<formControlPr xmlns="http://schemas.microsoft.com/office/spreadsheetml/2009/9/main" objectType="Drop" dropLines="30" dropStyle="combo" dx="31" fmlaLink="'Gebäude (02,03)'!$H$53" fmlaRange="Rechnungen!$F$20:$F$46" noThreeD="1" sel="1" val="0"/>
</file>

<file path=xl/ctrlProps/ctrlProp44.xml><?xml version="1.0" encoding="utf-8"?>
<formControlPr xmlns="http://schemas.microsoft.com/office/spreadsheetml/2009/9/main" objectType="Drop" dropLines="30" dropStyle="combo" dx="31" fmlaLink="'Gebäude (02,03)'!$H$54" fmlaRange="Rechnungen!$F$20:$F$46" noThreeD="1" sel="1" val="0"/>
</file>

<file path=xl/ctrlProps/ctrlProp45.xml><?xml version="1.0" encoding="utf-8"?>
<formControlPr xmlns="http://schemas.microsoft.com/office/spreadsheetml/2009/9/main" objectType="Drop" dropLines="30" dropStyle="combo" dx="31" fmlaLink="'Gebäude (02,03)'!$H$55" fmlaRange="Rechnungen!$F$20:$F$46" noThreeD="1" sel="1" val="0"/>
</file>

<file path=xl/ctrlProps/ctrlProp46.xml><?xml version="1.0" encoding="utf-8"?>
<formControlPr xmlns="http://schemas.microsoft.com/office/spreadsheetml/2009/9/main" objectType="Drop" dropLines="30" dropStyle="combo" dx="31" fmlaLink="'Gebäude (02,03)'!$H$56" fmlaRange="Rechnungen!$F$20:$F$46" noThreeD="1" sel="1" val="0"/>
</file>

<file path=xl/ctrlProps/ctrlProp47.xml><?xml version="1.0" encoding="utf-8"?>
<formControlPr xmlns="http://schemas.microsoft.com/office/spreadsheetml/2009/9/main" objectType="Drop" dropLines="30" dropStyle="combo" dx="31" fmlaLink="'Gebäude (02,03)'!$H$57" fmlaRange="Rechnungen!$F$20:$F$46" noThreeD="1" sel="1" val="0"/>
</file>

<file path=xl/ctrlProps/ctrlProp48.xml><?xml version="1.0" encoding="utf-8"?>
<formControlPr xmlns="http://schemas.microsoft.com/office/spreadsheetml/2009/9/main" objectType="Drop" dropLines="30" dropStyle="combo" dx="31" fmlaLink="'Gebäude (02,03)'!$H$58" fmlaRange="Rechnungen!$F$20:$F$46" noThreeD="1" sel="1" val="0"/>
</file>

<file path=xl/ctrlProps/ctrlProp49.xml><?xml version="1.0" encoding="utf-8"?>
<formControlPr xmlns="http://schemas.microsoft.com/office/spreadsheetml/2009/9/main" objectType="Drop" dropLines="30" dropStyle="combo" dx="31" fmlaLink="'Gebäude (02,03)'!$H$59" fmlaRange="Rechnungen!$F$20:$F$46" noThreeD="1" sel="1" val="0"/>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Drop" dropLines="30" dropStyle="combo" dx="31" fmlaLink="'Gebäude (02,03)'!$H$60" fmlaRange="Rechnungen!$F$20:$F$46" noThreeD="1" sel="1" val="0"/>
</file>

<file path=xl/ctrlProps/ctrlProp51.xml><?xml version="1.0" encoding="utf-8"?>
<formControlPr xmlns="http://schemas.microsoft.com/office/spreadsheetml/2009/9/main" objectType="Drop" dropLines="30" dropStyle="combo" dx="31" fmlaLink="'Gebäude (02,03)'!$H$61" fmlaRange="Rechnungen!$F$20:$F$46" noThreeD="1" sel="1" val="0"/>
</file>

<file path=xl/ctrlProps/ctrlProp52.xml><?xml version="1.0" encoding="utf-8"?>
<formControlPr xmlns="http://schemas.microsoft.com/office/spreadsheetml/2009/9/main" objectType="Drop" dropLines="30" dropStyle="combo" dx="31" fmlaLink="'Gebäude (02,03)'!$H$62" fmlaRange="Rechnungen!$F$20:$F$46" noThreeD="1" sel="1" val="0"/>
</file>

<file path=xl/ctrlProps/ctrlProp53.xml><?xml version="1.0" encoding="utf-8"?>
<formControlPr xmlns="http://schemas.microsoft.com/office/spreadsheetml/2009/9/main" objectType="Drop" dropLines="30" dropStyle="combo" dx="31" fmlaLink="'Gebäude (02,03)'!$H$63" fmlaRange="Rechnungen!$F$20:$F$46" noThreeD="1" sel="1" val="0"/>
</file>

<file path=xl/ctrlProps/ctrlProp54.xml><?xml version="1.0" encoding="utf-8"?>
<formControlPr xmlns="http://schemas.microsoft.com/office/spreadsheetml/2009/9/main" objectType="Drop" dropLines="30" dropStyle="combo" dx="31" fmlaLink="'Gebäude (02,03)'!$H$64" fmlaRange="Rechnungen!$F$20:$F$46" noThreeD="1" sel="1" val="0"/>
</file>

<file path=xl/ctrlProps/ctrlProp55.xml><?xml version="1.0" encoding="utf-8"?>
<formControlPr xmlns="http://schemas.microsoft.com/office/spreadsheetml/2009/9/main" objectType="Drop" dropLines="30" dropStyle="combo" dx="31" fmlaLink="'Gebäude (02,03)'!$H$65" fmlaRange="Rechnungen!$F$20:$F$46" noThreeD="1" sel="1" val="0"/>
</file>

<file path=xl/ctrlProps/ctrlProp56.xml><?xml version="1.0" encoding="utf-8"?>
<formControlPr xmlns="http://schemas.microsoft.com/office/spreadsheetml/2009/9/main" objectType="Drop" dropLines="30" dropStyle="combo" dx="31" fmlaLink="'Gebäude (02,03)'!$H$66" fmlaRange="Rechnungen!$F$20:$F$46" noThreeD="1" sel="1" val="0"/>
</file>

<file path=xl/ctrlProps/ctrlProp57.xml><?xml version="1.0" encoding="utf-8"?>
<formControlPr xmlns="http://schemas.microsoft.com/office/spreadsheetml/2009/9/main" objectType="Drop" dropLines="25" dropStyle="combo" dx="31" fmlaLink="'Gebäude (02,03)'!$G$112" fmlaRange="Rechnungen!$B$67:$B$100" noThreeD="1" sel="6" val="0"/>
</file>

<file path=xl/ctrlProps/ctrlProp58.xml><?xml version="1.0" encoding="utf-8"?>
<formControlPr xmlns="http://schemas.microsoft.com/office/spreadsheetml/2009/9/main" objectType="Drop" dropLines="25" dropStyle="combo" dx="31" fmlaLink="'Gebäude (02,03)'!$G$113" fmlaRange="Rechnungen!$B$67:$B$100" noThreeD="1" sel="18" val="0"/>
</file>

<file path=xl/ctrlProps/ctrlProp59.xml><?xml version="1.0" encoding="utf-8"?>
<formControlPr xmlns="http://schemas.microsoft.com/office/spreadsheetml/2009/9/main" objectType="Drop" dropLines="25" dropStyle="combo" dx="31" fmlaLink="'Gebäude (02,03)'!$G$114" fmlaRange="Rechnungen!$B$67:$B$100" noThreeD="1" sel="18" val="0"/>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Drop" dropLines="25" dropStyle="combo" dx="31" fmlaLink="'Gebäude (02,03)'!$G$115" fmlaRange="Rechnungen!$B$67:$B$100" noThreeD="1" sel="22" val="0"/>
</file>

<file path=xl/ctrlProps/ctrlProp61.xml><?xml version="1.0" encoding="utf-8"?>
<formControlPr xmlns="http://schemas.microsoft.com/office/spreadsheetml/2009/9/main" objectType="Drop" dropLines="25" dropStyle="combo" dx="31" fmlaLink="'Gebäude (02,03)'!$G$116" fmlaRange="Rechnungen!$B$67:$B$100" noThreeD="1" sel="22" val="0"/>
</file>

<file path=xl/ctrlProps/ctrlProp62.xml><?xml version="1.0" encoding="utf-8"?>
<formControlPr xmlns="http://schemas.microsoft.com/office/spreadsheetml/2009/9/main" objectType="Drop" dropLines="25" dropStyle="combo" dx="31" fmlaLink="'Gebäude (02,03)'!$G$117" fmlaRange="Rechnungen!$B$67:$B$100" noThreeD="1" sel="34" val="9"/>
</file>

<file path=xl/ctrlProps/ctrlProp63.xml><?xml version="1.0" encoding="utf-8"?>
<formControlPr xmlns="http://schemas.microsoft.com/office/spreadsheetml/2009/9/main" objectType="Drop" dropLines="25" dropStyle="combo" dx="31" fmlaLink="'Gebäude (02,03)'!$G$118" fmlaRange="Rechnungen!$B$67:$B$100" noThreeD="1" sel="34" val="0"/>
</file>

<file path=xl/ctrlProps/ctrlProp64.xml><?xml version="1.0" encoding="utf-8"?>
<formControlPr xmlns="http://schemas.microsoft.com/office/spreadsheetml/2009/9/main" objectType="Drop" dropLines="25" dropStyle="combo" dx="31" fmlaLink="'Gebäude (02,03)'!$G$119" fmlaRange="Rechnungen!$B$67:$B$100" noThreeD="1" sel="34" val="0"/>
</file>

<file path=xl/ctrlProps/ctrlProp65.xml><?xml version="1.0" encoding="utf-8"?>
<formControlPr xmlns="http://schemas.microsoft.com/office/spreadsheetml/2009/9/main" objectType="Drop" dropLines="25" dropStyle="combo" dx="31" fmlaLink="'Gebäude (02,03)'!$G$120" fmlaRange="Rechnungen!$B$67:$B$100" noThreeD="1" sel="3" val="0"/>
</file>

<file path=xl/ctrlProps/ctrlProp66.xml><?xml version="1.0" encoding="utf-8"?>
<formControlPr xmlns="http://schemas.microsoft.com/office/spreadsheetml/2009/9/main" objectType="Drop" dropLines="25" dropStyle="combo" dx="31" fmlaLink="'Gebäude (02,03)'!$G$121" fmlaRange="Rechnungen!$B$67:$B$100" noThreeD="1" sel="3" val="0"/>
</file>

<file path=xl/ctrlProps/ctrlProp67.xml><?xml version="1.0" encoding="utf-8"?>
<formControlPr xmlns="http://schemas.microsoft.com/office/spreadsheetml/2009/9/main" objectType="Drop" dropLines="25" dropStyle="combo" dx="31" fmlaLink="'Gebäude (02,03)'!$G$122" fmlaRange="Rechnungen!$B$67:$B$100" noThreeD="1" sel="31" val="9"/>
</file>

<file path=xl/ctrlProps/ctrlProp68.xml><?xml version="1.0" encoding="utf-8"?>
<formControlPr xmlns="http://schemas.microsoft.com/office/spreadsheetml/2009/9/main" objectType="Drop" dropLines="25" dropStyle="combo" dx="31" fmlaLink="'Gebäude (02,03)'!$G$123" fmlaRange="Rechnungen!$B$67:$B$100" noThreeD="1" sel="31" val="9"/>
</file>

<file path=xl/ctrlProps/ctrlProp69.xml><?xml version="1.0" encoding="utf-8"?>
<formControlPr xmlns="http://schemas.microsoft.com/office/spreadsheetml/2009/9/main" objectType="Drop" dropLines="25" dropStyle="combo" dx="31" fmlaLink="'Gebäude (02,03)'!$G$124" fmlaRange="Rechnungen!$B$67:$B$100" noThreeD="1" sel="1" val="0"/>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Drop" dropLines="25" dropStyle="combo" dx="31" fmlaLink="'Gebäude (02,03)'!$G$125" fmlaRange="Rechnungen!$B$67:$B$100" noThreeD="1" sel="1" val="0"/>
</file>

<file path=xl/ctrlProps/ctrlProp71.xml><?xml version="1.0" encoding="utf-8"?>
<formControlPr xmlns="http://schemas.microsoft.com/office/spreadsheetml/2009/9/main" objectType="Drop" dropLines="25" dropStyle="combo" dx="31" fmlaLink="'Gebäude (02,03)'!$G$126" fmlaRange="Rechnungen!$B$67:$B$100" noThreeD="1" sel="1" val="0"/>
</file>

<file path=xl/ctrlProps/ctrlProp72.xml><?xml version="1.0" encoding="utf-8"?>
<formControlPr xmlns="http://schemas.microsoft.com/office/spreadsheetml/2009/9/main" objectType="Drop" dropLines="25" dropStyle="combo" dx="31" fmlaLink="'Gebäude (02,03)'!$G$127" fmlaRange="Rechnungen!$B$67:$B$100" noThreeD="1" sel="1" val="0"/>
</file>

<file path=xl/ctrlProps/ctrlProp73.xml><?xml version="1.0" encoding="utf-8"?>
<formControlPr xmlns="http://schemas.microsoft.com/office/spreadsheetml/2009/9/main" objectType="Drop" dropLines="25" dropStyle="combo" dx="31" fmlaLink="'Gebäude (02,03)'!$G$128" fmlaRange="Rechnungen!$B$67:$B$100" noThreeD="1" sel="1" val="0"/>
</file>

<file path=xl/ctrlProps/ctrlProp74.xml><?xml version="1.0" encoding="utf-8"?>
<formControlPr xmlns="http://schemas.microsoft.com/office/spreadsheetml/2009/9/main" objectType="Drop" dropLines="25" dropStyle="combo" dx="31" fmlaLink="'Gebäude (02,03)'!$G$129" fmlaRange="Rechnungen!$B$67:$B$100" noThreeD="1" sel="1" val="0"/>
</file>

<file path=xl/ctrlProps/ctrlProp75.xml><?xml version="1.0" encoding="utf-8"?>
<formControlPr xmlns="http://schemas.microsoft.com/office/spreadsheetml/2009/9/main" objectType="Drop" dropLines="25" dropStyle="combo" dx="31" fmlaLink="'Gebäude (02,03)'!$G$130" fmlaRange="Rechnungen!$B$67:$B$100" noThreeD="1" sel="1" val="0"/>
</file>

<file path=xl/ctrlProps/ctrlProp76.xml><?xml version="1.0" encoding="utf-8"?>
<formControlPr xmlns="http://schemas.microsoft.com/office/spreadsheetml/2009/9/main" objectType="Drop" dropLines="25" dropStyle="combo" dx="31" fmlaLink="'Gebäude (02,03)'!$G$131" fmlaRange="Rechnungen!$B$67:$B$100" noThreeD="1" sel="1" val="0"/>
</file>

<file path=xl/ctrlProps/ctrlProp77.xml><?xml version="1.0" encoding="utf-8"?>
<formControlPr xmlns="http://schemas.microsoft.com/office/spreadsheetml/2009/9/main" objectType="Drop" dropLines="25" dropStyle="combo" dx="31" fmlaLink="'Gebäude (02,03)'!$G$132" fmlaRange="Rechnungen!$B$67:$B$100" noThreeD="1" sel="1" val="0"/>
</file>

<file path=xl/ctrlProps/ctrlProp78.xml><?xml version="1.0" encoding="utf-8"?>
<formControlPr xmlns="http://schemas.microsoft.com/office/spreadsheetml/2009/9/main" objectType="Drop" dropLines="25" dropStyle="combo" dx="31" fmlaLink="'Gebäude (02,03)'!$G$133" fmlaRange="Rechnungen!$B$67:$B$100" noThreeD="1" sel="1" val="0"/>
</file>

<file path=xl/ctrlProps/ctrlProp79.xml><?xml version="1.0" encoding="utf-8"?>
<formControlPr xmlns="http://schemas.microsoft.com/office/spreadsheetml/2009/9/main" objectType="Drop" dropLines="25" dropStyle="combo" dx="31" fmlaLink="'Gebäude (02,03)'!$G$134" fmlaRange="Rechnungen!$B$67:$B$100" noThreeD="1" sel="1" val="0"/>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Drop" dropLines="25" dropStyle="combo" dx="31" fmlaLink="'Gebäude (02,03)'!$G$135" fmlaRange="Rechnungen!$B$67:$B$100" noThreeD="1" sel="1" val="0"/>
</file>

<file path=xl/ctrlProps/ctrlProp81.xml><?xml version="1.0" encoding="utf-8"?>
<formControlPr xmlns="http://schemas.microsoft.com/office/spreadsheetml/2009/9/main" objectType="Drop" dropLines="25" dropStyle="combo" dx="31" fmlaLink="'Gebäude (02,03)'!$G$136" fmlaRange="Rechnungen!$B$67:$B$100" noThreeD="1" sel="1" val="0"/>
</file>

<file path=xl/ctrlProps/ctrlProp82.xml><?xml version="1.0" encoding="utf-8"?>
<formControlPr xmlns="http://schemas.microsoft.com/office/spreadsheetml/2009/9/main" objectType="Drop" dropLines="25" dropStyle="combo" dx="31" fmlaLink="'Gebäude (02,03)'!$G$137" fmlaRange="Rechnungen!$B$67:$B$100" noThreeD="1" sel="1" val="0"/>
</file>

<file path=xl/ctrlProps/ctrlProp83.xml><?xml version="1.0" encoding="utf-8"?>
<formControlPr xmlns="http://schemas.microsoft.com/office/spreadsheetml/2009/9/main" objectType="Drop" dropLines="25" dropStyle="combo" dx="31" fmlaLink="'Gebäude (02,03)'!$G$138" fmlaRange="Rechnungen!$B$67:$B$100" noThreeD="1" sel="1" val="0"/>
</file>

<file path=xl/ctrlProps/ctrlProp84.xml><?xml version="1.0" encoding="utf-8"?>
<formControlPr xmlns="http://schemas.microsoft.com/office/spreadsheetml/2009/9/main" objectType="Drop" dropLines="25" dropStyle="combo" dx="31" fmlaLink="'Gebäude (02,03)'!$G$139" fmlaRange="Rechnungen!$B$67:$B$100" noThreeD="1" sel="1" val="0"/>
</file>

<file path=xl/ctrlProps/ctrlProp85.xml><?xml version="1.0" encoding="utf-8"?>
<formControlPr xmlns="http://schemas.microsoft.com/office/spreadsheetml/2009/9/main" objectType="Drop" dropLines="25" dropStyle="combo" dx="31" fmlaLink="'Gebäude (02,03)'!$G$140" fmlaRange="Rechnungen!$B$67:$B$100" noThreeD="1" sel="1" val="0"/>
</file>

<file path=xl/ctrlProps/ctrlProp86.xml><?xml version="1.0" encoding="utf-8"?>
<formControlPr xmlns="http://schemas.microsoft.com/office/spreadsheetml/2009/9/main" objectType="Radio" firstButton="1" fmlaLink="'Gebäude (02,03)'!$A$98"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checked="Checked"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Drop" dropLines="10" dropStyle="combo" dx="31" fmlaLink="Rechnungen!$F$269" fmlaRange="Rechnungen!$A$271:$A$276" sel="1" val="0"/>
</file>

<file path=xl/ctrlProps/ctrlProp92.xml><?xml version="1.0" encoding="utf-8"?>
<formControlPr xmlns="http://schemas.microsoft.com/office/spreadsheetml/2009/9/main" objectType="Drop" dropLines="20" dropStyle="combo" dx="31" fmlaLink="Rechnungen!$F$283" fmlaRange="Rechnungen!$A$285:$A$297" sel="1" val="0"/>
</file>

<file path=xl/ctrlProps/ctrlProp93.xml><?xml version="1.0" encoding="utf-8"?>
<formControlPr xmlns="http://schemas.microsoft.com/office/spreadsheetml/2009/9/main" objectType="Drop" dropLines="10" dropStyle="combo" dx="31" fmlaLink="Rechnungen!$F$300" fmlaRange="Rechnungen!$A$302:$A$303" sel="1" val="0"/>
</file>

<file path=xl/ctrlProps/ctrlProp94.xml><?xml version="1.0" encoding="utf-8"?>
<formControlPr xmlns="http://schemas.microsoft.com/office/spreadsheetml/2009/9/main" objectType="Drop" dropLines="20" dropStyle="combo" dx="31" fmlaLink="Rechnungen!$F$310" fmlaRange="Rechnungen!$A$311:$A$322" sel="1" val="0"/>
</file>

<file path=xl/ctrlProps/ctrlProp95.xml><?xml version="1.0" encoding="utf-8"?>
<formControlPr xmlns="http://schemas.microsoft.com/office/spreadsheetml/2009/9/main" objectType="Drop" dropLines="30" dropStyle="combo" dx="31" fmlaLink="Rechnungen!$F$330" fmlaRange="Rechnungen!$A$332:$A$357" sel="1" val="0"/>
</file>

<file path=xl/ctrlProps/ctrlProp96.xml><?xml version="1.0" encoding="utf-8"?>
<formControlPr xmlns="http://schemas.microsoft.com/office/spreadsheetml/2009/9/main" objectType="Drop" dropLines="2" dropStyle="combo" dx="31" fmlaLink="Rechnungen!$F$361" fmlaRange="Rechnungen!$A$363:$A$364" sel="1" val="0"/>
</file>

<file path=xl/ctrlProps/ctrlProp97.xml><?xml version="1.0" encoding="utf-8"?>
<formControlPr xmlns="http://schemas.microsoft.com/office/spreadsheetml/2009/9/main" objectType="Drop" dropLines="20" dropStyle="combo" dx="31" fmlaLink="Rechnungen!$D$391" fmlaRange="Rechnungen!$A$392:$A$399" sel="2" val="0"/>
</file>

<file path=xl/ctrlProps/ctrlProp98.xml><?xml version="1.0" encoding="utf-8"?>
<formControlPr xmlns="http://schemas.microsoft.com/office/spreadsheetml/2009/9/main" objectType="Drop" dropLines="20" dropStyle="combo" dx="31" fmlaLink="Rechnungen!$H$414" fmlaRange="Rechnungen!$A$415:$A$420" sel="1" val="0"/>
</file>

<file path=xl/ctrlProps/ctrlProp99.xml><?xml version="1.0" encoding="utf-8"?>
<formControlPr xmlns="http://schemas.microsoft.com/office/spreadsheetml/2009/9/main" objectType="Drop" dropLines="20" dropStyle="combo" dx="31" fmlaLink="Rechnungen!$F$403" fmlaRange="Rechnungen!$A$404:$A$41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Fragebogen!A1"/></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hyperlink" Target="#Fragebogen!A1"/></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11</xdr:col>
      <xdr:colOff>9525</xdr:colOff>
      <xdr:row>30</xdr:row>
      <xdr:rowOff>28575</xdr:rowOff>
    </xdr:to>
    <xdr:sp macro="" textlink="">
      <xdr:nvSpPr>
        <xdr:cNvPr id="94209" name="Text 1">
          <a:extLst>
            <a:ext uri="{FF2B5EF4-FFF2-40B4-BE49-F238E27FC236}">
              <a16:creationId xmlns:a16="http://schemas.microsoft.com/office/drawing/2014/main" id="{00000000-0008-0000-0100-000001700100}"/>
            </a:ext>
          </a:extLst>
        </xdr:cNvPr>
        <xdr:cNvSpPr txBox="1">
          <a:spLocks noChangeArrowheads="1"/>
        </xdr:cNvSpPr>
      </xdr:nvSpPr>
      <xdr:spPr bwMode="auto">
        <a:xfrm>
          <a:off x="390525" y="1847850"/>
          <a:ext cx="8391525" cy="44767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22860" rIns="27432" bIns="0" anchor="t" upright="1"/>
        <a:lstStyle/>
        <a:p>
          <a:pPr algn="just" rtl="0">
            <a:defRPr sz="1000"/>
          </a:pPr>
          <a:r>
            <a:rPr lang="de-DE" sz="1000" b="1" i="0" u="none" strike="noStrike" baseline="0">
              <a:solidFill>
                <a:srgbClr val="000000"/>
              </a:solidFill>
              <a:latin typeface="Arial"/>
              <a:cs typeface="Arial"/>
            </a:rPr>
            <a:t>Das Programm kann für die Berechnung von Wohngebäuden nach dem GEG 2020 angewandt werden.</a:t>
          </a:r>
        </a:p>
        <a:p>
          <a:pPr algn="just" rtl="0">
            <a:defRPr sz="1000"/>
          </a:pPr>
          <a:endParaRPr lang="de-DE" sz="1000" b="1" i="0" u="none" strike="noStrike" baseline="0">
            <a:solidFill>
              <a:srgbClr val="000000"/>
            </a:solidFill>
            <a:latin typeface="Arial"/>
            <a:cs typeface="Arial"/>
          </a:endParaRPr>
        </a:p>
        <a:p>
          <a:pPr algn="just" rtl="0">
            <a:defRPr sz="1000"/>
          </a:pPr>
          <a:endParaRPr lang="de-DE" sz="1000" b="1"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hinterlegten Berechnungen zum "</a:t>
          </a:r>
          <a:r>
            <a:rPr lang="de-DE" sz="1000" b="1" i="0" u="none" strike="noStrike" baseline="0">
              <a:solidFill>
                <a:srgbClr val="000000"/>
              </a:solidFill>
              <a:latin typeface="Arial"/>
              <a:cs typeface="Arial"/>
            </a:rPr>
            <a:t>Gebäude</a:t>
          </a:r>
          <a:r>
            <a:rPr lang="de-DE" sz="1000" b="0" i="0" u="none" strike="noStrike" baseline="0">
              <a:solidFill>
                <a:srgbClr val="000000"/>
              </a:solidFill>
              <a:latin typeface="Arial"/>
              <a:cs typeface="Arial"/>
            </a:rPr>
            <a:t>" folgen dem Rechenablauf des Monatsbilanzverfahrens der DIN V 4108-6 (Stand 2003). Um einen Nachweis der Beschaffenheit der Gebäudehülle zu führen, sind die weiteren im GEG zitierten Rechenvorschriften zu verwenden (DIN EN 6946, </a:t>
          </a:r>
        </a:p>
        <a:p>
          <a:pPr algn="just" rtl="0">
            <a:defRPr sz="1000"/>
          </a:pPr>
          <a:r>
            <a:rPr lang="de-DE" sz="1000" b="0" i="0" u="none" strike="noStrike" baseline="0">
              <a:solidFill>
                <a:srgbClr val="000000"/>
              </a:solidFill>
              <a:latin typeface="Arial"/>
              <a:cs typeface="Arial"/>
            </a:rPr>
            <a:t>DIN EN ISO 10077-1 etc.). Die in der Berechnung verwendeten Klimadaten gelten für den Referenzstandort Potsdam nach DIN V 18599 (Stand 2018).</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Der Teil "</a:t>
          </a:r>
          <a:r>
            <a:rPr lang="de-DE" sz="1000" b="1" i="0" u="none" strike="noStrike" baseline="0">
              <a:solidFill>
                <a:srgbClr val="000000"/>
              </a:solidFill>
              <a:latin typeface="Arial"/>
              <a:cs typeface="Arial"/>
            </a:rPr>
            <a:t>Anlagentechnik</a:t>
          </a:r>
          <a:r>
            <a:rPr lang="de-DE" sz="1000" b="0" i="0" u="none" strike="noStrike" baseline="0">
              <a:solidFill>
                <a:srgbClr val="000000"/>
              </a:solidFill>
              <a:latin typeface="Arial"/>
              <a:cs typeface="Arial"/>
            </a:rPr>
            <a:t>" (ab der Eingabe des Heizwärmebedarfes q</a:t>
          </a:r>
          <a:r>
            <a:rPr lang="de-DE" sz="1000" b="0" i="0" u="none" strike="noStrike" baseline="-25000">
              <a:solidFill>
                <a:srgbClr val="000000"/>
              </a:solidFill>
              <a:latin typeface="Arial"/>
              <a:cs typeface="Arial"/>
            </a:rPr>
            <a:t>h</a:t>
          </a:r>
          <a:r>
            <a:rPr lang="de-DE" sz="1000" b="0" i="0" u="none" strike="noStrike" baseline="0">
              <a:solidFill>
                <a:srgbClr val="000000"/>
              </a:solidFill>
              <a:latin typeface="Arial"/>
              <a:cs typeface="Arial"/>
            </a:rPr>
            <a:t>) beruht auf dem Rechenverfahren der DIN V 4701 Teil 10 (Stand 2003) in Verbindung mit der Fortschreibung der Primärenergiefaktoren f</a:t>
          </a:r>
          <a:r>
            <a:rPr lang="de-DE" sz="1000" b="0" i="0" u="none" strike="noStrike" baseline="-25000">
              <a:solidFill>
                <a:srgbClr val="000000"/>
              </a:solidFill>
              <a:latin typeface="Arial"/>
              <a:cs typeface="Arial"/>
            </a:rPr>
            <a:t>P</a:t>
          </a:r>
          <a:r>
            <a:rPr lang="de-DE" sz="1000" b="0" i="0" u="none" strike="noStrike" baseline="0">
              <a:solidFill>
                <a:srgbClr val="000000"/>
              </a:solidFill>
              <a:latin typeface="Arial"/>
              <a:cs typeface="Arial"/>
            </a:rPr>
            <a:t> des GEG (Stand 2020).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Software berücksichtigt die Anlagentechnik anhand von Standardwerten der Norm (Standardwerte für das Tabellenverfahren). In der Praxis davon abweichende Anlagentechniken können durch ausführliches Rechnen (per Hand) in den Formblättern der Norm berücksichtigt werden oder mit entsprechender Profisoftware.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Sofern ein Wohngebäude </a:t>
          </a:r>
          <a:r>
            <a:rPr lang="de-DE" sz="1000" b="1" i="0" u="none" strike="noStrike" baseline="0">
              <a:solidFill>
                <a:srgbClr val="000000"/>
              </a:solidFill>
              <a:latin typeface="Arial"/>
              <a:cs typeface="Arial"/>
            </a:rPr>
            <a:t>Kühlung</a:t>
          </a:r>
          <a:r>
            <a:rPr lang="de-DE" sz="1000" b="0" i="0" u="none" strike="noStrike" baseline="0">
              <a:solidFill>
                <a:srgbClr val="000000"/>
              </a:solidFill>
              <a:latin typeface="Arial"/>
              <a:cs typeface="Arial"/>
            </a:rPr>
            <a:t> enthält oder </a:t>
          </a:r>
          <a:r>
            <a:rPr lang="de-DE" sz="1000" b="1" i="0" u="none" strike="noStrike" baseline="0">
              <a:solidFill>
                <a:srgbClr val="000000"/>
              </a:solidFill>
              <a:latin typeface="Arial"/>
              <a:cs typeface="Arial"/>
            </a:rPr>
            <a:t>Nichtwohnbauten</a:t>
          </a:r>
          <a:r>
            <a:rPr lang="de-DE" sz="1000" b="0" i="0" u="none" strike="noStrike" baseline="0">
              <a:solidFill>
                <a:srgbClr val="000000"/>
              </a:solidFill>
              <a:latin typeface="Arial"/>
              <a:cs typeface="Arial"/>
            </a:rPr>
            <a:t> bewertet werden sollen, muss auf die DIN V 18599 zurückgegriffen werden. Ebenfalls nur mit Hilfe von Profiprogrammen können </a:t>
          </a:r>
          <a:r>
            <a:rPr lang="de-DE" sz="1000" b="1" i="0" u="none" strike="noStrike" baseline="0">
              <a:solidFill>
                <a:srgbClr val="000000"/>
              </a:solidFill>
              <a:latin typeface="Arial"/>
              <a:cs typeface="Arial"/>
            </a:rPr>
            <a:t>Blockheizkraftwerke detailliert </a:t>
          </a:r>
          <a:r>
            <a:rPr lang="de-DE" sz="1000" b="0" i="0" u="none" strike="noStrike" baseline="0">
              <a:solidFill>
                <a:srgbClr val="000000"/>
              </a:solidFill>
              <a:latin typeface="Arial"/>
              <a:cs typeface="Arial"/>
            </a:rPr>
            <a:t>bewertet, </a:t>
          </a:r>
          <a:r>
            <a:rPr lang="de-DE" sz="1000" b="1" i="0" u="none" strike="noStrike" baseline="0">
              <a:solidFill>
                <a:srgbClr val="000000"/>
              </a:solidFill>
              <a:latin typeface="Arial"/>
              <a:cs typeface="Arial"/>
            </a:rPr>
            <a:t>Wintergärten</a:t>
          </a:r>
          <a:r>
            <a:rPr lang="de-DE" sz="1000" b="0" i="0" u="none" strike="noStrike" baseline="0">
              <a:solidFill>
                <a:srgbClr val="000000"/>
              </a:solidFill>
              <a:latin typeface="Arial"/>
              <a:cs typeface="Arial"/>
            </a:rPr>
            <a:t> abgebildet oder zusätzliche </a:t>
          </a:r>
          <a:r>
            <a:rPr lang="de-DE" sz="1000" b="1" i="0" u="none" strike="noStrike" baseline="0">
              <a:solidFill>
                <a:srgbClr val="000000"/>
              </a:solidFill>
              <a:latin typeface="Arial"/>
              <a:cs typeface="Arial"/>
            </a:rPr>
            <a:t>Kleinwindkraftanlagen</a:t>
          </a:r>
          <a:r>
            <a:rPr lang="de-DE" sz="1000" b="0" i="0" u="none" strike="noStrike" baseline="0">
              <a:solidFill>
                <a:srgbClr val="000000"/>
              </a:solidFill>
              <a:latin typeface="Arial"/>
              <a:cs typeface="Arial"/>
            </a:rPr>
            <a:t> im Nachweis berücksichtigt werden.</a:t>
          </a:r>
          <a:endParaRPr lang="de-DE" sz="1000" b="1"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Das vorliegende Programm hat kein offizielles Zertifikat (dena, DIN Certco etc.). Da es keine Schnittstelle zur einem Drucktool für Energieausweise hat und auch keine Energieausweisnummer des DIBt einlesen kann, ist es nicht automatisiert einsetzbar, um offizielle Ausweise zu erstellen.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Es ist ebenfalls  nicht geeignet, gültige Nachweise für die Förderung nach KfW (KfW-Effizienzhäuser) zu erstellen. Dies erfolgt hier nur näherungsweise, weil die Hinweise aus der "FAQ-Liste" der KfW nicht vollständig programmiert sind.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Das Programm kann und sollte verwendet werden, um die Vorgehensweise bei der Bilanzierung zu verstehen und wesentliche Einflussparameter für ein Projekt zu identifizieren. Es ist auch geeignet, eine Energiebilanz im Rahmen der Vorplanung zu erstellen und grob zu überprüfen, ob ein Objekt baubar ist. Jede Verwendung und Verbreitung von mit diesem Programm angefertigten Berechnungen erfolgt daher auf eigenes Risiko.</a:t>
          </a:r>
        </a:p>
      </xdr:txBody>
    </xdr:sp>
    <xdr:clientData/>
  </xdr:twoCellAnchor>
  <mc:AlternateContent xmlns:mc="http://schemas.openxmlformats.org/markup-compatibility/2006">
    <mc:Choice xmlns:a14="http://schemas.microsoft.com/office/drawing/2010/main" Requires="a14">
      <xdr:twoCellAnchor editAs="oneCell">
        <xdr:from>
          <xdr:col>1</xdr:col>
          <xdr:colOff>12700</xdr:colOff>
          <xdr:row>5</xdr:row>
          <xdr:rowOff>127000</xdr:rowOff>
        </xdr:from>
        <xdr:to>
          <xdr:col>2</xdr:col>
          <xdr:colOff>622300</xdr:colOff>
          <xdr:row>6</xdr:row>
          <xdr:rowOff>146050</xdr:rowOff>
        </xdr:to>
        <xdr:sp macro="" textlink="">
          <xdr:nvSpPr>
            <xdr:cNvPr id="94211" name="Drop Down 3" hidden="1">
              <a:extLst>
                <a:ext uri="{63B3BB69-23CF-44E3-9099-C40C66FF867C}">
                  <a14:compatExt spid="_x0000_s94211"/>
                </a:ext>
                <a:ext uri="{FF2B5EF4-FFF2-40B4-BE49-F238E27FC236}">
                  <a16:creationId xmlns:a16="http://schemas.microsoft.com/office/drawing/2014/main" id="{00000000-0008-0000-0100-000003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508000</xdr:colOff>
          <xdr:row>5</xdr:row>
          <xdr:rowOff>114300</xdr:rowOff>
        </xdr:from>
        <xdr:to>
          <xdr:col>3</xdr:col>
          <xdr:colOff>812800</xdr:colOff>
          <xdr:row>6</xdr:row>
          <xdr:rowOff>152400</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01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5</xdr:row>
          <xdr:rowOff>152400</xdr:rowOff>
        </xdr:from>
        <xdr:to>
          <xdr:col>5</xdr:col>
          <xdr:colOff>812800</xdr:colOff>
          <xdr:row>7</xdr:row>
          <xdr:rowOff>0</xdr:rowOff>
        </xdr:to>
        <xdr:sp macro="" textlink="">
          <xdr:nvSpPr>
            <xdr:cNvPr id="94213" name="Option Button 5" hidden="1">
              <a:extLst>
                <a:ext uri="{63B3BB69-23CF-44E3-9099-C40C66FF867C}">
                  <a14:compatExt spid="_x0000_s94213"/>
                </a:ext>
                <a:ext uri="{FF2B5EF4-FFF2-40B4-BE49-F238E27FC236}">
                  <a16:creationId xmlns:a16="http://schemas.microsoft.com/office/drawing/2014/main" id="{00000000-0008-0000-01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657225</xdr:colOff>
      <xdr:row>5</xdr:row>
      <xdr:rowOff>104775</xdr:rowOff>
    </xdr:from>
    <xdr:to>
      <xdr:col>10</xdr:col>
      <xdr:colOff>828675</xdr:colOff>
      <xdr:row>9</xdr:row>
      <xdr:rowOff>142875</xdr:rowOff>
    </xdr:to>
    <xdr:pic>
      <xdr:nvPicPr>
        <xdr:cNvPr id="94216" name="Picture 8">
          <a:extLst>
            <a:ext uri="{FF2B5EF4-FFF2-40B4-BE49-F238E27FC236}">
              <a16:creationId xmlns:a16="http://schemas.microsoft.com/office/drawing/2014/main" id="{00000000-0008-0000-0100-0000087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981075"/>
          <a:ext cx="2686050" cy="762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23</xdr:row>
      <xdr:rowOff>0</xdr:rowOff>
    </xdr:from>
    <xdr:to>
      <xdr:col>6</xdr:col>
      <xdr:colOff>1647825</xdr:colOff>
      <xdr:row>23</xdr:row>
      <xdr:rowOff>0</xdr:rowOff>
    </xdr:to>
    <xdr:sp macro="" textlink="">
      <xdr:nvSpPr>
        <xdr:cNvPr id="76801" name="Text Box 1">
          <a:extLst>
            <a:ext uri="{FF2B5EF4-FFF2-40B4-BE49-F238E27FC236}">
              <a16:creationId xmlns:a16="http://schemas.microsoft.com/office/drawing/2014/main" id="{00000000-0008-0000-0A00-0000012C0100}"/>
            </a:ext>
          </a:extLst>
        </xdr:cNvPr>
        <xdr:cNvSpPr txBox="1">
          <a:spLocks noChangeArrowheads="1"/>
        </xdr:cNvSpPr>
      </xdr:nvSpPr>
      <xdr:spPr bwMode="auto">
        <a:xfrm>
          <a:off x="38100" y="3943350"/>
          <a:ext cx="5724525" cy="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1" u="sng" strike="noStrike" baseline="0">
              <a:solidFill>
                <a:srgbClr val="000000"/>
              </a:solidFill>
              <a:latin typeface="Arial"/>
              <a:cs typeface="Arial"/>
            </a:rPr>
            <a:t>1. Die Primärenergiekennzahl eP wird nicht berechnet.</a:t>
          </a:r>
          <a:endParaRPr lang="de-DE" sz="800" b="1" i="1" u="none" strike="noStrike" baseline="0">
            <a:solidFill>
              <a:srgbClr val="000000"/>
            </a:solidFill>
            <a:latin typeface="Arial"/>
            <a:cs typeface="Arial"/>
          </a:endParaRPr>
        </a:p>
        <a:p>
          <a:pPr algn="l" rtl="0">
            <a:defRPr sz="1000"/>
          </a:pPr>
          <a:endParaRPr lang="de-DE" sz="800" b="1"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Sie müssen den Fragebogen korrekt ausfüllen. Die Primärenergieaufwandszahl wird erst bestimmt, wenn in keiner der Frageboxen mehr "- - -" steht.</a:t>
          </a:r>
        </a:p>
        <a:p>
          <a:pPr algn="l" rtl="0">
            <a:defRPr sz="1000"/>
          </a:pPr>
          <a:r>
            <a:rPr lang="de-DE" sz="800" b="0" i="1" u="none" strike="noStrike" baseline="0">
              <a:solidFill>
                <a:srgbClr val="000000"/>
              </a:solidFill>
              <a:latin typeface="Arial"/>
              <a:cs typeface="Arial"/>
            </a:rPr>
            <a:t> </a:t>
          </a:r>
          <a:endParaRPr lang="de-DE" sz="800" b="1" i="1" u="none" strike="noStrike" baseline="0">
            <a:solidFill>
              <a:srgbClr val="000000"/>
            </a:solidFill>
            <a:latin typeface="Arial"/>
            <a:cs typeface="Arial"/>
          </a:endParaRPr>
        </a:p>
        <a:p>
          <a:pPr algn="l" rtl="0">
            <a:defRPr sz="1000"/>
          </a:pPr>
          <a:r>
            <a:rPr lang="de-DE" sz="800" b="0" i="1" u="sng" strike="noStrike" baseline="0">
              <a:solidFill>
                <a:srgbClr val="000000"/>
              </a:solidFill>
              <a:latin typeface="Arial"/>
              <a:cs typeface="Arial"/>
            </a:rPr>
            <a:t>2. Das Programm gibt Kennwerte aus, die nicht denen der Tabellen der DIN V 4701-10 entsprechen.</a:t>
          </a: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Das Programm berechnet Kennwerte nach den Formeln des ausführlichen  Berechnungsverfahrens. </a:t>
          </a:r>
        </a:p>
        <a:p>
          <a:pPr algn="l" rtl="0">
            <a:defRPr sz="1000"/>
          </a:pPr>
          <a:r>
            <a:rPr lang="de-DE" sz="800" b="0" i="1" u="none" strike="noStrike" baseline="0">
              <a:solidFill>
                <a:srgbClr val="000000"/>
              </a:solidFill>
              <a:latin typeface="Arial"/>
              <a:cs typeface="Arial"/>
            </a:rPr>
            <a:t>Differenzen können für nicht tabellierte Zwischenwerte durch die lineare Interpolation entstehen.</a:t>
          </a: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Die Tabellen der DIN V 4701-10 sind teilweise nicht fehlerfrei erstellt. Wenn Sie den korrekten Wert nachprüfen wollen, ermitteln Sie ihn mit den Formeln des ausführlichen Verfahrens.</a:t>
          </a:r>
        </a:p>
        <a:p>
          <a:pPr algn="l" rtl="0">
            <a:defRPr sz="1000"/>
          </a:pPr>
          <a:endParaRPr lang="de-DE" sz="800" b="0" i="1" u="none" strike="noStrike" baseline="0">
            <a:solidFill>
              <a:srgbClr val="000000"/>
            </a:solidFill>
            <a:latin typeface="Arial"/>
            <a:cs typeface="Arial"/>
          </a:endParaRPr>
        </a:p>
        <a:p>
          <a:pPr algn="l" rtl="0">
            <a:defRPr sz="1000"/>
          </a:pPr>
          <a:r>
            <a:rPr lang="de-DE" sz="800" b="0" i="1" u="sng" strike="noStrike" baseline="0">
              <a:solidFill>
                <a:srgbClr val="000000"/>
              </a:solidFill>
              <a:latin typeface="Arial"/>
              <a:cs typeface="Arial"/>
            </a:rPr>
            <a:t>3. Bestimmte Anlagenkonfigurationen können nicht eingegeben werden.</a:t>
          </a: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Die Anlagenbeschreibung kann in der vorliegenden Programmversion größtenteils nur nach dem Tabellenverfahren der DIN V 4701-10 erfolgen. Damit sind bestimmte Randbedingungen verknüpft. Diese seinen im Folgenden kurz genannt:</a:t>
          </a: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 Die zentrale Warmwasserverteilung ohne Zirkulation ist nur bis zu einer Gebäudenutzfläche von 500m² zugelassen.</a:t>
          </a:r>
        </a:p>
        <a:p>
          <a:pPr algn="l" rtl="0">
            <a:defRPr sz="1000"/>
          </a:pPr>
          <a:r>
            <a:rPr lang="de-DE" sz="800" b="0" i="1" u="none" strike="noStrike" baseline="0">
              <a:solidFill>
                <a:srgbClr val="000000"/>
              </a:solidFill>
              <a:latin typeface="Arial"/>
              <a:cs typeface="Arial"/>
            </a:rPr>
            <a:t>- Wärmeerzeuger können nur bis zu Gebäudenutzfläche von 500m² innerhalb der gedämmten Hülle aufgestellt   </a:t>
          </a:r>
        </a:p>
        <a:p>
          <a:pPr algn="l" rtl="0">
            <a:defRPr sz="1000"/>
          </a:pPr>
          <a:r>
            <a:rPr lang="de-DE" sz="800" b="0" i="1" u="none" strike="noStrike" baseline="0">
              <a:solidFill>
                <a:srgbClr val="000000"/>
              </a:solidFill>
              <a:latin typeface="Arial"/>
              <a:cs typeface="Arial"/>
            </a:rPr>
            <a:t>   werden.</a:t>
          </a:r>
        </a:p>
        <a:p>
          <a:pPr algn="l" rtl="0">
            <a:defRPr sz="1000"/>
          </a:pPr>
          <a:r>
            <a:rPr lang="de-DE" sz="800" b="0" i="1" u="none" strike="noStrike" baseline="0">
              <a:solidFill>
                <a:srgbClr val="000000"/>
              </a:solidFill>
              <a:latin typeface="Arial"/>
              <a:cs typeface="Arial"/>
            </a:rPr>
            <a:t>- Zuluft/Abluft-Lüftungsanlagen können nur bis zu einer Gebäudenutzfläche von 500m² berechnet werden.</a:t>
          </a:r>
        </a:p>
        <a:p>
          <a:pPr algn="l" rtl="0">
            <a:defRPr sz="1000"/>
          </a:pPr>
          <a:r>
            <a:rPr lang="de-DE" sz="800" b="0" i="1" u="none" strike="noStrike" baseline="0">
              <a:solidFill>
                <a:srgbClr val="000000"/>
              </a:solidFill>
              <a:latin typeface="Arial"/>
              <a:cs typeface="Arial"/>
            </a:rPr>
            <a:t>- Deckungsanteile für die Kombination von bis zu drei Wärmeerzeugern (Solaranlage, Grundlastwärmeerzeuger und </a:t>
          </a:r>
        </a:p>
        <a:p>
          <a:pPr algn="l" rtl="0">
            <a:defRPr sz="1000"/>
          </a:pPr>
          <a:r>
            <a:rPr lang="de-DE" sz="800" b="0" i="1" u="none" strike="noStrike" baseline="0">
              <a:solidFill>
                <a:srgbClr val="000000"/>
              </a:solidFill>
              <a:latin typeface="Arial"/>
              <a:cs typeface="Arial"/>
            </a:rPr>
            <a:t>  Spitzenlastwärmeerzeuger) sind fest definierte Standardwerte.</a:t>
          </a:r>
        </a:p>
        <a:p>
          <a:pPr algn="l" rtl="0">
            <a:defRPr sz="1000"/>
          </a:pPr>
          <a:r>
            <a:rPr lang="de-DE" sz="800" b="0" i="1" u="none" strike="noStrike" baseline="0">
              <a:solidFill>
                <a:srgbClr val="000000"/>
              </a:solidFill>
              <a:latin typeface="Arial"/>
              <a:cs typeface="Arial"/>
            </a:rPr>
            <a:t>- Der Primärenergieträger Holz kann nicht gewählt werden.</a:t>
          </a:r>
        </a:p>
        <a:p>
          <a:pPr algn="l" rtl="0">
            <a:defRPr sz="1000"/>
          </a:pPr>
          <a:r>
            <a:rPr lang="de-DE" sz="800" b="0" i="1" u="none" strike="noStrike" baseline="0">
              <a:solidFill>
                <a:srgbClr val="000000"/>
              </a:solidFill>
              <a:latin typeface="Arial"/>
              <a:cs typeface="Arial"/>
            </a:rPr>
            <a:t>- Heizungspufferspeicher können für Systeme mit Heizkreistemperaturen von über 55/45°C nicht gewählt werden.</a:t>
          </a: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Für alle Anlagen, die nicht mit den in diesem Programm angebotenen Auswahlparametern beschrieben werden können, sei hier auf das ausführliche Berechnungsverfahren der DIN V 4701-10 verwiesen.</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6</xdr:col>
      <xdr:colOff>1619250</xdr:colOff>
      <xdr:row>0</xdr:row>
      <xdr:rowOff>0</xdr:rowOff>
    </xdr:to>
    <xdr:sp macro="" textlink="">
      <xdr:nvSpPr>
        <xdr:cNvPr id="76802" name="Text Box 2">
          <a:extLst>
            <a:ext uri="{FF2B5EF4-FFF2-40B4-BE49-F238E27FC236}">
              <a16:creationId xmlns:a16="http://schemas.microsoft.com/office/drawing/2014/main" id="{00000000-0008-0000-0A00-0000022C0100}"/>
            </a:ext>
          </a:extLst>
        </xdr:cNvPr>
        <xdr:cNvSpPr txBox="1">
          <a:spLocks noChangeArrowheads="1"/>
        </xdr:cNvSpPr>
      </xdr:nvSpPr>
      <xdr:spPr bwMode="auto">
        <a:xfrm>
          <a:off x="0" y="0"/>
          <a:ext cx="5734050" cy="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just" rtl="0">
            <a:defRPr sz="1000"/>
          </a:pPr>
          <a:endParaRPr lang="de-DE" sz="800" b="0" i="1" u="none" strike="noStrike" baseline="0">
            <a:solidFill>
              <a:srgbClr val="000000"/>
            </a:solidFill>
            <a:latin typeface="Arial"/>
            <a:cs typeface="Arial"/>
          </a:endParaRPr>
        </a:p>
        <a:p>
          <a:pPr algn="just" rtl="0">
            <a:defRPr sz="1000"/>
          </a:pPr>
          <a:r>
            <a:rPr lang="de-DE" sz="800" b="0" i="1" u="none" strike="noStrike" baseline="0">
              <a:solidFill>
                <a:srgbClr val="000000"/>
              </a:solidFill>
              <a:latin typeface="Arial"/>
              <a:cs typeface="Arial"/>
            </a:rPr>
            <a:t>Mit diesem Excel97-Programm können Sie den Primärenergiebedarf eines Gebäudes (mit Teil- und Unterergebnissen) bestimmen. </a:t>
          </a:r>
        </a:p>
        <a:p>
          <a:pPr algn="just" rtl="0">
            <a:defRPr sz="1000"/>
          </a:pPr>
          <a:endParaRPr lang="de-DE" sz="800" b="0" i="1" u="none" strike="noStrike" baseline="0">
            <a:solidFill>
              <a:srgbClr val="000000"/>
            </a:solidFill>
            <a:latin typeface="Arial"/>
            <a:cs typeface="Arial"/>
          </a:endParaRPr>
        </a:p>
        <a:p>
          <a:pPr algn="just" rtl="0">
            <a:defRPr sz="1000"/>
          </a:pPr>
          <a:r>
            <a:rPr lang="de-DE" sz="800" b="0" i="1" u="none" strike="noStrike" baseline="0">
              <a:solidFill>
                <a:srgbClr val="000000"/>
              </a:solidFill>
              <a:latin typeface="Arial"/>
              <a:cs typeface="Arial"/>
            </a:rPr>
            <a:t>Es empfielt sich zur Dokumentation alle Seiten zu drucken, da somit Anlagenbeschreibung und Ergebnisse zusammengefaßt dargestellt sind. Der eingegebene Projektname erscheint auf dem Kopf  jeder Seite.</a:t>
          </a:r>
        </a:p>
        <a:p>
          <a:pPr algn="just" rtl="0">
            <a:defRPr sz="1000"/>
          </a:pPr>
          <a:endParaRPr lang="de-DE" sz="800" b="0" i="1" u="none" strike="noStrike" baseline="0">
            <a:solidFill>
              <a:srgbClr val="000000"/>
            </a:solidFill>
            <a:latin typeface="Arial"/>
            <a:cs typeface="Arial"/>
          </a:endParaRPr>
        </a:p>
        <a:p>
          <a:pPr algn="just" rtl="0">
            <a:defRPr sz="1000"/>
          </a:pPr>
          <a:r>
            <a:rPr lang="de-DE" sz="800" b="0" i="1" u="none" strike="noStrike" baseline="0">
              <a:solidFill>
                <a:srgbClr val="000000"/>
              </a:solidFill>
              <a:latin typeface="Arial"/>
              <a:cs typeface="Arial"/>
            </a:rPr>
            <a:t>Die Berechnung der Primärenergieaufwandszahl erfolgt, wenn eine vollständige Beschreibung des Trinkwarmwasser-, Heizungs- und Lüftungssystem eingegeben ist. Es ist vorteilhaft (aber nicht zwangsläufig nötig) die Systemeigenschaften von oben nach unten durchgehend einzustellen. Die Beschreibung der Anlage gilt als abgeschlossen, wenn keine der Eingabeboxen mehr "- - -" anzeigt.</a:t>
          </a:r>
        </a:p>
        <a:p>
          <a:pPr algn="just" rtl="0">
            <a:defRPr sz="1000"/>
          </a:pPr>
          <a:endParaRPr lang="de-DE" sz="800" b="0" i="1" u="none" strike="noStrike" baseline="0">
            <a:solidFill>
              <a:srgbClr val="000000"/>
            </a:solidFill>
            <a:latin typeface="Arial"/>
            <a:cs typeface="Arial"/>
          </a:endParaRPr>
        </a:p>
        <a:p>
          <a:pPr algn="just" rtl="0">
            <a:defRPr sz="1000"/>
          </a:pPr>
          <a:r>
            <a:rPr lang="de-DE" sz="800" b="0" i="1" u="none" strike="noStrike" baseline="0">
              <a:solidFill>
                <a:srgbClr val="000000"/>
              </a:solidFill>
              <a:latin typeface="Arial"/>
              <a:cs typeface="Arial"/>
            </a:rPr>
            <a:t>Das Programm gilt für Wohngebäude und Gebäude mit wohnähnlicher Nutzung, deren Heizwärmebedarf qh nach Anhang 1 der EnEV berechnet wurde. </a:t>
          </a: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xdr:txBody>
    </xdr:sp>
    <xdr:clientData/>
  </xdr:twoCellAnchor>
  <xdr:twoCellAnchor>
    <xdr:from>
      <xdr:col>0</xdr:col>
      <xdr:colOff>162658</xdr:colOff>
      <xdr:row>1</xdr:row>
      <xdr:rowOff>106973</xdr:rowOff>
    </xdr:from>
    <xdr:to>
      <xdr:col>4</xdr:col>
      <xdr:colOff>60813</xdr:colOff>
      <xdr:row>23</xdr:row>
      <xdr:rowOff>60080</xdr:rowOff>
    </xdr:to>
    <xdr:sp macro="" textlink="">
      <xdr:nvSpPr>
        <xdr:cNvPr id="76803" name="Text Box 3">
          <a:extLst>
            <a:ext uri="{FF2B5EF4-FFF2-40B4-BE49-F238E27FC236}">
              <a16:creationId xmlns:a16="http://schemas.microsoft.com/office/drawing/2014/main" id="{00000000-0008-0000-0A00-0000032C0100}"/>
            </a:ext>
          </a:extLst>
        </xdr:cNvPr>
        <xdr:cNvSpPr txBox="1">
          <a:spLocks noChangeArrowheads="1"/>
        </xdr:cNvSpPr>
      </xdr:nvSpPr>
      <xdr:spPr bwMode="auto">
        <a:xfrm>
          <a:off x="162658" y="326781"/>
          <a:ext cx="2308713" cy="366053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val="000000"/>
              </a:solidFill>
              <a:miter lim="800000"/>
              <a:headEnd/>
              <a:tailEnd/>
            </a14:hiddenLine>
          </a:ext>
        </a:extLst>
      </xdr:spPr>
      <xdr:txBody>
        <a:bodyPr vertOverflow="clip" wrap="square" lIns="91440" tIns="45720" rIns="91440" bIns="45720" anchor="ctr" upright="1"/>
        <a:lstStyle/>
        <a:p>
          <a:pPr algn="l" rtl="0">
            <a:lnSpc>
              <a:spcPct val="100000"/>
            </a:lnSpc>
            <a:spcAft>
              <a:spcPts val="0"/>
            </a:spcAft>
            <a:defRPr sz="1000"/>
          </a:pPr>
          <a:r>
            <a:rPr lang="de-DE" sz="800" b="0" i="0" u="sng" strike="noStrike" baseline="0">
              <a:solidFill>
                <a:srgbClr val="000000"/>
              </a:solidFill>
              <a:latin typeface="Arial"/>
              <a:cs typeface="Arial"/>
            </a:rPr>
            <a:t>Formelzeichen:</a:t>
          </a: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r>
            <a:rPr lang="de-DE" sz="800" b="0" i="0" u="none" strike="noStrike" baseline="0">
              <a:solidFill>
                <a:srgbClr val="000000"/>
              </a:solidFill>
              <a:latin typeface="Arial"/>
              <a:cs typeface="Arial"/>
            </a:rPr>
            <a:t>q               spezifische Jahresenergiemenge </a:t>
          </a:r>
        </a:p>
        <a:p>
          <a:pPr algn="l" rtl="0">
            <a:lnSpc>
              <a:spcPct val="100000"/>
            </a:lnSpc>
            <a:spcAft>
              <a:spcPts val="0"/>
            </a:spcAft>
            <a:defRPr sz="1000"/>
          </a:pPr>
          <a:r>
            <a:rPr lang="de-DE" sz="800" b="0" i="0" u="none" strike="noStrike" baseline="0">
              <a:solidFill>
                <a:srgbClr val="000000"/>
              </a:solidFill>
              <a:latin typeface="Arial"/>
              <a:cs typeface="Arial"/>
            </a:rPr>
            <a:t>Q              Energiemenge</a:t>
          </a:r>
        </a:p>
        <a:p>
          <a:pPr algn="l" rtl="0">
            <a:lnSpc>
              <a:spcPct val="100000"/>
            </a:lnSpc>
            <a:spcAft>
              <a:spcPts val="0"/>
            </a:spcAft>
            <a:defRPr sz="1000"/>
          </a:pPr>
          <a:r>
            <a:rPr lang="de-DE" sz="800" b="0" i="0" u="none" strike="noStrike" baseline="0">
              <a:solidFill>
                <a:srgbClr val="000000"/>
              </a:solidFill>
              <a:latin typeface="Arial"/>
              <a:cs typeface="Arial"/>
            </a:rPr>
            <a:t>e               Aufwandszahl  </a:t>
          </a:r>
        </a:p>
        <a:p>
          <a:pPr algn="l" rtl="0">
            <a:lnSpc>
              <a:spcPct val="100000"/>
            </a:lnSpc>
            <a:spcAft>
              <a:spcPts val="0"/>
            </a:spcAft>
            <a:defRPr sz="1000"/>
          </a:pPr>
          <a:r>
            <a:rPr lang="de-DE" sz="800" b="0" i="0" u="none" strike="noStrike" baseline="0">
              <a:solidFill>
                <a:srgbClr val="000000"/>
              </a:solidFill>
              <a:latin typeface="Symbol"/>
            </a:rPr>
            <a:t>a </a:t>
          </a:r>
          <a:r>
            <a:rPr lang="de-DE" sz="800" b="0" i="0" u="none" strike="noStrike" baseline="0">
              <a:solidFill>
                <a:srgbClr val="000000"/>
              </a:solidFill>
              <a:latin typeface="Arial"/>
              <a:cs typeface="Arial"/>
            </a:rPr>
            <a:t>              Deckungsanteil      </a:t>
          </a:r>
        </a:p>
        <a:p>
          <a:pPr algn="l" rtl="0">
            <a:lnSpc>
              <a:spcPct val="100000"/>
            </a:lnSpc>
            <a:spcAft>
              <a:spcPts val="0"/>
            </a:spcAft>
            <a:defRPr sz="1000"/>
          </a:pPr>
          <a:r>
            <a:rPr lang="de-DE" sz="800" b="0" i="0" u="none" strike="noStrike" baseline="0">
              <a:solidFill>
                <a:srgbClr val="000000"/>
              </a:solidFill>
              <a:latin typeface="Arial"/>
              <a:cs typeface="Arial"/>
            </a:rPr>
            <a:t>f</a:t>
          </a:r>
          <a:r>
            <a:rPr lang="de-DE" sz="800" b="0" i="0" u="none" strike="noStrike" baseline="-25000">
              <a:solidFill>
                <a:srgbClr val="000000"/>
              </a:solidFill>
              <a:latin typeface="Arial"/>
              <a:cs typeface="Arial"/>
            </a:rPr>
            <a:t>P</a:t>
          </a:r>
          <a:r>
            <a:rPr lang="de-DE" sz="800" b="0" i="0" u="none" strike="noStrike" baseline="0">
              <a:solidFill>
                <a:srgbClr val="000000"/>
              </a:solidFill>
              <a:latin typeface="Arial"/>
              <a:cs typeface="Arial"/>
            </a:rPr>
            <a:t>              Primärenergiefaktor</a:t>
          </a:r>
        </a:p>
        <a:p>
          <a:pPr algn="l" rtl="0">
            <a:lnSpc>
              <a:spcPct val="100000"/>
            </a:lnSpc>
            <a:spcAft>
              <a:spcPts val="0"/>
            </a:spcAft>
            <a:defRPr sz="1000"/>
          </a:pPr>
          <a:r>
            <a:rPr lang="de-DE" sz="800" b="0" i="0" u="none" strike="noStrike" baseline="0">
              <a:solidFill>
                <a:srgbClr val="000000"/>
              </a:solidFill>
              <a:latin typeface="Arial"/>
              <a:cs typeface="Arial"/>
            </a:rPr>
            <a:t>A               Fläche</a:t>
          </a:r>
        </a:p>
        <a:p>
          <a:pPr algn="l" rtl="0">
            <a:lnSpc>
              <a:spcPct val="100000"/>
            </a:lnSpc>
            <a:spcAft>
              <a:spcPts val="0"/>
            </a:spcAft>
            <a:defRPr sz="1000"/>
          </a:pPr>
          <a:r>
            <a:rPr lang="de-DE" sz="800" b="0" i="0" u="none" strike="noStrike" baseline="0">
              <a:solidFill>
                <a:srgbClr val="000000"/>
              </a:solidFill>
              <a:latin typeface="Arial"/>
              <a:cs typeface="Arial"/>
            </a:rPr>
            <a:t>V               Volumen</a:t>
          </a:r>
        </a:p>
        <a:p>
          <a:pPr algn="l" rtl="0">
            <a:lnSpc>
              <a:spcPct val="100000"/>
            </a:lnSpc>
            <a:spcAft>
              <a:spcPts val="0"/>
            </a:spcAft>
            <a:defRPr sz="1000"/>
          </a:pPr>
          <a:r>
            <a:rPr lang="de-DE" sz="800" b="0" i="0" u="none" strike="noStrike" baseline="0">
              <a:solidFill>
                <a:srgbClr val="000000"/>
              </a:solidFill>
              <a:latin typeface="Arial"/>
              <a:cs typeface="Arial"/>
            </a:rPr>
            <a:t>g               g-Wert für Fenster</a:t>
          </a:r>
        </a:p>
        <a:p>
          <a:pPr algn="l" rtl="0">
            <a:lnSpc>
              <a:spcPct val="100000"/>
            </a:lnSpc>
            <a:spcAft>
              <a:spcPts val="0"/>
            </a:spcAft>
            <a:defRPr sz="1000"/>
          </a:pPr>
          <a:r>
            <a:rPr lang="de-DE" sz="800" b="0" i="0" u="none" strike="noStrike" baseline="0">
              <a:solidFill>
                <a:srgbClr val="000000"/>
              </a:solidFill>
              <a:latin typeface="Arial"/>
              <a:cs typeface="Arial"/>
            </a:rPr>
            <a:t>U              Wärmedurchgangskoeffizient</a:t>
          </a:r>
        </a:p>
        <a:p>
          <a:pPr algn="l" rtl="0">
            <a:lnSpc>
              <a:spcPct val="100000"/>
            </a:lnSpc>
            <a:spcAft>
              <a:spcPts val="0"/>
            </a:spcAft>
            <a:defRPr sz="1000"/>
          </a:pPr>
          <a:r>
            <a:rPr lang="de-DE" sz="800" b="0" i="0" u="none" strike="noStrike" baseline="0">
              <a:solidFill>
                <a:srgbClr val="000000"/>
              </a:solidFill>
              <a:latin typeface="Arial"/>
              <a:cs typeface="Arial"/>
            </a:rPr>
            <a:t>n               Luftwechsel</a:t>
          </a: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r>
            <a:rPr lang="de-DE" sz="800" b="0" i="0" u="sng" strike="noStrike" baseline="0">
              <a:solidFill>
                <a:srgbClr val="000000"/>
              </a:solidFill>
              <a:latin typeface="Arial"/>
              <a:cs typeface="Arial"/>
            </a:rPr>
            <a:t>Indices:</a:t>
          </a: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r>
            <a:rPr lang="de-DE" sz="800" b="0" i="0" u="none" strike="noStrike" baseline="0">
              <a:solidFill>
                <a:srgbClr val="000000"/>
              </a:solidFill>
              <a:latin typeface="Arial"/>
              <a:cs typeface="Arial"/>
            </a:rPr>
            <a:t>TW            Trinkwarmwasser (Energie)  </a:t>
          </a:r>
        </a:p>
        <a:p>
          <a:pPr algn="l" rtl="0">
            <a:lnSpc>
              <a:spcPct val="100000"/>
            </a:lnSpc>
            <a:spcAft>
              <a:spcPts val="0"/>
            </a:spcAft>
            <a:defRPr sz="1000"/>
          </a:pPr>
          <a:r>
            <a:rPr lang="de-DE" sz="800" b="0" i="0" u="none" strike="noStrike" baseline="0">
              <a:solidFill>
                <a:srgbClr val="000000"/>
              </a:solidFill>
              <a:latin typeface="Arial"/>
              <a:cs typeface="Arial"/>
            </a:rPr>
            <a:t>L                Lüftung (Energie)    </a:t>
          </a:r>
        </a:p>
        <a:p>
          <a:pPr algn="l" rtl="0">
            <a:lnSpc>
              <a:spcPct val="100000"/>
            </a:lnSpc>
            <a:spcAft>
              <a:spcPts val="0"/>
            </a:spcAft>
            <a:defRPr sz="1000"/>
          </a:pPr>
          <a:r>
            <a:rPr lang="de-DE" sz="800" b="0" i="0" u="none" strike="noStrike" baseline="0">
              <a:solidFill>
                <a:srgbClr val="000000"/>
              </a:solidFill>
              <a:latin typeface="Arial"/>
              <a:cs typeface="Arial"/>
            </a:rPr>
            <a:t>H               Heizung (Energie)</a:t>
          </a:r>
        </a:p>
        <a:p>
          <a:pPr algn="l" rtl="0">
            <a:lnSpc>
              <a:spcPct val="100000"/>
            </a:lnSpc>
            <a:spcAft>
              <a:spcPts val="0"/>
            </a:spcAft>
            <a:defRPr sz="1000"/>
          </a:pPr>
          <a:r>
            <a:rPr lang="de-DE" sz="800" b="0" i="0" u="none" strike="noStrike" baseline="0">
              <a:solidFill>
                <a:srgbClr val="000000"/>
              </a:solidFill>
              <a:latin typeface="Arial"/>
              <a:cs typeface="Arial"/>
            </a:rPr>
            <a:t>HE            Hilfsenergie</a:t>
          </a:r>
        </a:p>
        <a:p>
          <a:pPr algn="l" rtl="0">
            <a:lnSpc>
              <a:spcPct val="100000"/>
            </a:lnSpc>
            <a:spcAft>
              <a:spcPts val="0"/>
            </a:spcAft>
            <a:defRPr sz="1000"/>
          </a:pPr>
          <a:r>
            <a:rPr lang="de-DE" sz="800" b="0" i="0" u="none" strike="noStrike" baseline="0">
              <a:solidFill>
                <a:srgbClr val="000000"/>
              </a:solidFill>
              <a:latin typeface="Arial"/>
              <a:cs typeface="Arial"/>
            </a:rPr>
            <a:t>WE           Wärmeenergie (auch ohne Index)</a:t>
          </a:r>
        </a:p>
        <a:p>
          <a:pPr algn="l" rtl="0">
            <a:lnSpc>
              <a:spcPct val="100000"/>
            </a:lnSpc>
            <a:spcAft>
              <a:spcPts val="0"/>
            </a:spcAft>
            <a:defRPr sz="1000"/>
          </a:pPr>
          <a:r>
            <a:rPr lang="de-DE" sz="800" b="0" i="0" u="none" strike="noStrike" baseline="0">
              <a:solidFill>
                <a:srgbClr val="000000"/>
              </a:solidFill>
              <a:latin typeface="Arial"/>
              <a:cs typeface="Arial"/>
            </a:rPr>
            <a:t>P               Primärenergie            </a:t>
          </a: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r>
            <a:rPr lang="de-DE" sz="800" b="0" i="0" u="none" strike="noStrike" baseline="0">
              <a:solidFill>
                <a:srgbClr val="000000"/>
              </a:solidFill>
              <a:latin typeface="Arial"/>
              <a:cs typeface="Arial"/>
            </a:rPr>
            <a:t>tw             Trinkwarmwasser (Nutzwärme )</a:t>
          </a:r>
        </a:p>
        <a:p>
          <a:pPr algn="l" rtl="0">
            <a:lnSpc>
              <a:spcPct val="100000"/>
            </a:lnSpc>
            <a:spcAft>
              <a:spcPts val="0"/>
            </a:spcAft>
            <a:defRPr sz="1000"/>
          </a:pPr>
          <a:r>
            <a:rPr lang="de-DE" sz="800" b="0" i="0" u="none" strike="noStrike" baseline="0">
              <a:solidFill>
                <a:srgbClr val="000000"/>
              </a:solidFill>
              <a:latin typeface="Arial"/>
              <a:cs typeface="Arial"/>
            </a:rPr>
            <a:t>h               Heizwärmebedarf  (Nutzwärme)              </a:t>
          </a:r>
        </a:p>
        <a:p>
          <a:pPr algn="l" rtl="0">
            <a:lnSpc>
              <a:spcPct val="100000"/>
            </a:lnSpc>
            <a:spcAft>
              <a:spcPts val="0"/>
            </a:spcAft>
            <a:defRPr sz="1000"/>
          </a:pPr>
          <a:r>
            <a:rPr lang="de-DE" sz="800" b="0" i="0" u="none" strike="noStrike" baseline="0">
              <a:solidFill>
                <a:srgbClr val="000000"/>
              </a:solidFill>
              <a:latin typeface="Arial"/>
              <a:cs typeface="Arial"/>
            </a:rPr>
            <a:t>                                                                                                                </a:t>
          </a:r>
        </a:p>
        <a:p>
          <a:pPr algn="l" rtl="0">
            <a:lnSpc>
              <a:spcPct val="100000"/>
            </a:lnSpc>
            <a:spcAft>
              <a:spcPts val="0"/>
            </a:spcAft>
            <a:defRPr sz="1000"/>
          </a:pPr>
          <a:r>
            <a:rPr lang="de-DE" sz="800" b="0" i="0" u="none" strike="noStrike" baseline="0">
              <a:solidFill>
                <a:srgbClr val="000000"/>
              </a:solidFill>
              <a:latin typeface="Arial"/>
              <a:cs typeface="Arial"/>
            </a:rPr>
            <a:t>                                                         </a:t>
          </a: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a:p>
          <a:pPr algn="l" rtl="0">
            <a:lnSpc>
              <a:spcPct val="100000"/>
            </a:lnSpc>
            <a:spcAft>
              <a:spcPts val="0"/>
            </a:spcAft>
            <a:defRPr sz="1000"/>
          </a:pPr>
          <a:endParaRPr lang="de-DE" sz="800" b="0" i="0" u="none" strike="noStrike" baseline="0">
            <a:solidFill>
              <a:srgbClr val="000000"/>
            </a:solidFill>
            <a:latin typeface="Arial"/>
            <a:cs typeface="Arial"/>
          </a:endParaRPr>
        </a:p>
      </xdr:txBody>
    </xdr:sp>
    <xdr:clientData/>
  </xdr:twoCellAnchor>
  <xdr:twoCellAnchor>
    <xdr:from>
      <xdr:col>3</xdr:col>
      <xdr:colOff>729028</xdr:colOff>
      <xdr:row>2</xdr:row>
      <xdr:rowOff>60814</xdr:rowOff>
    </xdr:from>
    <xdr:to>
      <xdr:col>5</xdr:col>
      <xdr:colOff>595678</xdr:colOff>
      <xdr:row>24</xdr:row>
      <xdr:rowOff>13921</xdr:rowOff>
    </xdr:to>
    <xdr:sp macro="" textlink="">
      <xdr:nvSpPr>
        <xdr:cNvPr id="76804" name="Text Box 4">
          <a:extLst>
            <a:ext uri="{FF2B5EF4-FFF2-40B4-BE49-F238E27FC236}">
              <a16:creationId xmlns:a16="http://schemas.microsoft.com/office/drawing/2014/main" id="{00000000-0008-0000-0A00-0000042C0100}"/>
            </a:ext>
          </a:extLst>
        </xdr:cNvPr>
        <xdr:cNvSpPr txBox="1">
          <a:spLocks noChangeArrowheads="1"/>
        </xdr:cNvSpPr>
      </xdr:nvSpPr>
      <xdr:spPr bwMode="auto">
        <a:xfrm>
          <a:off x="2304316" y="441814"/>
          <a:ext cx="1559170" cy="366053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val="000000"/>
              </a:solidFill>
              <a:miter lim="800000"/>
              <a:headEnd/>
              <a:tailEnd/>
            </a14:hiddenLine>
          </a:ext>
        </a:extLst>
      </xdr:spPr>
      <xdr:txBody>
        <a:bodyPr vertOverflow="clip" wrap="square" lIns="91440" tIns="45720" rIns="91440" bIns="45720" anchor="ctr" upright="1"/>
        <a:lstStyle/>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r>
            <a:rPr lang="de-DE" sz="800" b="0" i="0" u="none" strike="noStrike" baseline="0">
              <a:solidFill>
                <a:srgbClr val="000000"/>
              </a:solidFill>
              <a:latin typeface="Arial"/>
              <a:cs typeface="Arial"/>
            </a:rPr>
            <a:t>kWh/(m²a)</a:t>
          </a:r>
        </a:p>
        <a:p>
          <a:pPr algn="l" rtl="0">
            <a:lnSpc>
              <a:spcPct val="100000"/>
            </a:lnSpc>
            <a:defRPr sz="1000"/>
          </a:pPr>
          <a:r>
            <a:rPr lang="de-DE" sz="800" b="0" i="0" u="none" strike="noStrike" baseline="0">
              <a:solidFill>
                <a:srgbClr val="000000"/>
              </a:solidFill>
              <a:latin typeface="Arial"/>
              <a:cs typeface="Arial"/>
            </a:rPr>
            <a:t>kWh/a oder kWh/Monat</a:t>
          </a:r>
        </a:p>
        <a:p>
          <a:pPr algn="l" rtl="0">
            <a:lnSpc>
              <a:spcPct val="100000"/>
            </a:lnSpc>
            <a:defRPr sz="1000"/>
          </a:pPr>
          <a:r>
            <a:rPr lang="de-DE" sz="800" b="0" i="0" u="none" strike="noStrike" baseline="0">
              <a:solidFill>
                <a:srgbClr val="000000"/>
              </a:solidFill>
              <a:latin typeface="Arial"/>
              <a:cs typeface="Arial"/>
            </a:rPr>
            <a:t>ohne Einheit</a:t>
          </a:r>
        </a:p>
        <a:p>
          <a:pPr algn="l" rtl="0">
            <a:lnSpc>
              <a:spcPct val="100000"/>
            </a:lnSpc>
            <a:defRPr sz="1000"/>
          </a:pPr>
          <a:r>
            <a:rPr lang="de-DE" sz="800" b="0" i="0" u="none" strike="noStrike" baseline="0">
              <a:solidFill>
                <a:srgbClr val="000000"/>
              </a:solidFill>
              <a:latin typeface="Arial"/>
              <a:cs typeface="Arial"/>
            </a:rPr>
            <a:t>ohne Einheit</a:t>
          </a:r>
        </a:p>
        <a:p>
          <a:pPr algn="l" rtl="0">
            <a:lnSpc>
              <a:spcPct val="100000"/>
            </a:lnSpc>
            <a:defRPr sz="1000"/>
          </a:pPr>
          <a:r>
            <a:rPr lang="de-DE" sz="800" b="0" i="0" u="none" strike="noStrike" baseline="0">
              <a:solidFill>
                <a:srgbClr val="000000"/>
              </a:solidFill>
              <a:latin typeface="Arial"/>
              <a:cs typeface="Arial"/>
            </a:rPr>
            <a:t>ohne Einheit</a:t>
          </a:r>
        </a:p>
        <a:p>
          <a:pPr algn="l" rtl="0">
            <a:lnSpc>
              <a:spcPct val="100000"/>
            </a:lnSpc>
            <a:defRPr sz="1000"/>
          </a:pPr>
          <a:r>
            <a:rPr lang="de-DE" sz="800" b="0" i="0" u="none" strike="noStrike" baseline="0">
              <a:solidFill>
                <a:srgbClr val="000000"/>
              </a:solidFill>
              <a:latin typeface="Arial"/>
              <a:cs typeface="Arial"/>
            </a:rPr>
            <a:t>m²</a:t>
          </a:r>
        </a:p>
        <a:p>
          <a:pPr algn="l" rtl="0">
            <a:lnSpc>
              <a:spcPct val="100000"/>
            </a:lnSpc>
            <a:defRPr sz="1000"/>
          </a:pPr>
          <a:r>
            <a:rPr lang="de-DE" sz="800" b="0" i="0" u="none" strike="noStrike" baseline="0">
              <a:solidFill>
                <a:srgbClr val="000000"/>
              </a:solidFill>
              <a:latin typeface="Arial"/>
              <a:cs typeface="Arial"/>
            </a:rPr>
            <a:t>m³</a:t>
          </a:r>
        </a:p>
        <a:p>
          <a:pPr algn="l" rtl="0">
            <a:lnSpc>
              <a:spcPct val="100000"/>
            </a:lnSpc>
            <a:defRPr sz="1000"/>
          </a:pPr>
          <a:r>
            <a:rPr lang="de-DE" sz="800" b="0" i="0" u="none" strike="noStrike" baseline="0">
              <a:solidFill>
                <a:srgbClr val="000000"/>
              </a:solidFill>
              <a:latin typeface="Arial"/>
              <a:cs typeface="Arial"/>
            </a:rPr>
            <a:t>ohne Einheit</a:t>
          </a:r>
        </a:p>
        <a:p>
          <a:pPr algn="l" rtl="0">
            <a:lnSpc>
              <a:spcPct val="100000"/>
            </a:lnSpc>
            <a:defRPr sz="1000"/>
          </a:pPr>
          <a:r>
            <a:rPr lang="de-DE" sz="800" b="0" i="0" u="none" strike="noStrike" baseline="0">
              <a:solidFill>
                <a:srgbClr val="000000"/>
              </a:solidFill>
              <a:latin typeface="Arial"/>
              <a:cs typeface="Arial"/>
            </a:rPr>
            <a:t>W/(m²K)</a:t>
          </a:r>
        </a:p>
        <a:p>
          <a:pPr algn="l" rtl="0">
            <a:lnSpc>
              <a:spcPct val="100000"/>
            </a:lnSpc>
            <a:defRPr sz="1000"/>
          </a:pPr>
          <a:r>
            <a:rPr lang="de-DE" sz="800" b="0" i="0" u="none" strike="noStrike" baseline="0">
              <a:solidFill>
                <a:srgbClr val="000000"/>
              </a:solidFill>
              <a:latin typeface="Arial"/>
              <a:cs typeface="Arial"/>
            </a:rPr>
            <a:t>h</a:t>
          </a:r>
          <a:r>
            <a:rPr lang="de-DE" sz="800" b="0" i="0" u="none" strike="noStrike" baseline="30000">
              <a:solidFill>
                <a:srgbClr val="000000"/>
              </a:solidFill>
              <a:latin typeface="Arial"/>
              <a:cs typeface="Arial"/>
            </a:rPr>
            <a:t>-1</a:t>
          </a: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r>
            <a:rPr lang="de-DE" sz="800" b="0" i="0" u="none" strike="noStrike" baseline="0">
              <a:solidFill>
                <a:srgbClr val="000000"/>
              </a:solidFill>
              <a:latin typeface="Arial"/>
              <a:cs typeface="Arial"/>
            </a:rPr>
            <a:t>V               Lüftung</a:t>
          </a:r>
        </a:p>
        <a:p>
          <a:pPr algn="l" rtl="0">
            <a:lnSpc>
              <a:spcPct val="100000"/>
            </a:lnSpc>
            <a:defRPr sz="1000"/>
          </a:pPr>
          <a:r>
            <a:rPr lang="de-DE" sz="800" b="0" i="0" u="none" strike="noStrike" baseline="0">
              <a:solidFill>
                <a:srgbClr val="000000"/>
              </a:solidFill>
              <a:latin typeface="Arial"/>
              <a:cs typeface="Arial"/>
            </a:rPr>
            <a:t>T               Transmission</a:t>
          </a:r>
        </a:p>
        <a:p>
          <a:pPr algn="l" rtl="0">
            <a:lnSpc>
              <a:spcPct val="100000"/>
            </a:lnSpc>
            <a:defRPr sz="1000"/>
          </a:pPr>
          <a:r>
            <a:rPr lang="de-DE" sz="800" b="0" i="0" u="none" strike="noStrike" baseline="0">
              <a:solidFill>
                <a:srgbClr val="000000"/>
              </a:solidFill>
              <a:latin typeface="Arial"/>
              <a:cs typeface="Arial"/>
            </a:rPr>
            <a:t>I                Innere Gewinne</a:t>
          </a:r>
        </a:p>
        <a:p>
          <a:pPr algn="l" rtl="0">
            <a:lnSpc>
              <a:spcPct val="100000"/>
            </a:lnSpc>
            <a:defRPr sz="1000"/>
          </a:pPr>
          <a:r>
            <a:rPr lang="de-DE" sz="800" b="0" i="0" u="none" strike="noStrike" baseline="0">
              <a:solidFill>
                <a:srgbClr val="000000"/>
              </a:solidFill>
              <a:latin typeface="Arial"/>
              <a:cs typeface="Arial"/>
            </a:rPr>
            <a:t>S              Solare Gewinne</a:t>
          </a: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r>
            <a:rPr lang="de-DE" sz="800" b="0" i="0" u="none" strike="noStrike" baseline="0">
              <a:solidFill>
                <a:srgbClr val="000000"/>
              </a:solidFill>
              <a:latin typeface="Arial"/>
              <a:cs typeface="Arial"/>
            </a:rPr>
            <a:t>ce              Übergabe</a:t>
          </a:r>
        </a:p>
        <a:p>
          <a:pPr algn="l" rtl="0">
            <a:lnSpc>
              <a:spcPct val="100000"/>
            </a:lnSpc>
            <a:defRPr sz="1000"/>
          </a:pPr>
          <a:r>
            <a:rPr lang="de-DE" sz="800" b="0" i="0" u="none" strike="noStrike" baseline="0">
              <a:solidFill>
                <a:srgbClr val="000000"/>
              </a:solidFill>
              <a:latin typeface="Arial"/>
              <a:cs typeface="Arial"/>
            </a:rPr>
            <a:t>d                Verteilung</a:t>
          </a:r>
        </a:p>
        <a:p>
          <a:pPr algn="l" rtl="0">
            <a:lnSpc>
              <a:spcPct val="100000"/>
            </a:lnSpc>
            <a:defRPr sz="1000"/>
          </a:pPr>
          <a:r>
            <a:rPr lang="de-DE" sz="800" b="0" i="0" u="none" strike="noStrike" baseline="0">
              <a:solidFill>
                <a:srgbClr val="000000"/>
              </a:solidFill>
              <a:latin typeface="Arial"/>
              <a:cs typeface="Arial"/>
            </a:rPr>
            <a:t>s                Speicherung                                               </a:t>
          </a:r>
        </a:p>
        <a:p>
          <a:pPr algn="l" rtl="0">
            <a:lnSpc>
              <a:spcPct val="100000"/>
            </a:lnSpc>
            <a:defRPr sz="1000"/>
          </a:pPr>
          <a:r>
            <a:rPr lang="de-DE" sz="800" b="0" i="0" u="none" strike="noStrike" baseline="0">
              <a:solidFill>
                <a:srgbClr val="000000"/>
              </a:solidFill>
              <a:latin typeface="Arial"/>
              <a:cs typeface="Arial"/>
            </a:rPr>
            <a:t>g                Erzeugung</a:t>
          </a: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a:p>
          <a:pPr algn="l" rtl="0">
            <a:lnSpc>
              <a:spcPct val="100000"/>
            </a:lnSpc>
            <a:defRPr sz="1000"/>
          </a:pPr>
          <a:endParaRPr lang="de-DE" sz="800" b="0" i="0" u="none" strike="noStrike" baseline="0">
            <a:solidFill>
              <a:srgbClr val="000000"/>
            </a:solidFill>
            <a:latin typeface="Arial"/>
            <a:cs typeface="Arial"/>
          </a:endParaRPr>
        </a:p>
      </xdr:txBody>
    </xdr:sp>
    <xdr:clientData/>
  </xdr:twoCellAnchor>
  <xdr:twoCellAnchor>
    <xdr:from>
      <xdr:col>2</xdr:col>
      <xdr:colOff>247650</xdr:colOff>
      <xdr:row>0</xdr:row>
      <xdr:rowOff>0</xdr:rowOff>
    </xdr:from>
    <xdr:to>
      <xdr:col>6</xdr:col>
      <xdr:colOff>771525</xdr:colOff>
      <xdr:row>0</xdr:row>
      <xdr:rowOff>0</xdr:rowOff>
    </xdr:to>
    <xdr:sp macro="" textlink="">
      <xdr:nvSpPr>
        <xdr:cNvPr id="76805" name="Text Box 5">
          <a:hlinkClick xmlns:r="http://schemas.openxmlformats.org/officeDocument/2006/relationships" r:id="rId1"/>
          <a:extLst>
            <a:ext uri="{FF2B5EF4-FFF2-40B4-BE49-F238E27FC236}">
              <a16:creationId xmlns:a16="http://schemas.microsoft.com/office/drawing/2014/main" id="{00000000-0008-0000-0A00-0000052C0100}"/>
            </a:ext>
          </a:extLst>
        </xdr:cNvPr>
        <xdr:cNvSpPr txBox="1">
          <a:spLocks noChangeArrowheads="1"/>
        </xdr:cNvSpPr>
      </xdr:nvSpPr>
      <xdr:spPr bwMode="auto">
        <a:xfrm>
          <a:off x="990600" y="0"/>
          <a:ext cx="3895725" cy="0"/>
        </a:xfrm>
        <a:prstGeom prst="rect">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0" anchor="t" upright="1"/>
        <a:lstStyle/>
        <a:p>
          <a:pPr algn="ctr" rtl="0">
            <a:defRPr sz="1000"/>
          </a:pPr>
          <a:r>
            <a:rPr lang="de-DE" sz="1600" b="1" i="1" u="none" strike="noStrike" baseline="0">
              <a:solidFill>
                <a:srgbClr val="FFFFFF"/>
              </a:solidFill>
              <a:latin typeface="Arial"/>
              <a:cs typeface="Arial"/>
            </a:rPr>
            <a:t>Bestimmung des </a:t>
          </a:r>
        </a:p>
        <a:p>
          <a:pPr algn="ctr" rtl="0">
            <a:defRPr sz="1000"/>
          </a:pPr>
          <a:r>
            <a:rPr lang="de-DE" sz="1600" b="1" i="1" u="none" strike="noStrike" baseline="0">
              <a:solidFill>
                <a:srgbClr val="FFFFFF"/>
              </a:solidFill>
              <a:latin typeface="Arial"/>
              <a:cs typeface="Arial"/>
            </a:rPr>
            <a:t>Primärenergiebedarfes für Gebäude </a:t>
          </a:r>
        </a:p>
        <a:p>
          <a:pPr algn="ctr" rtl="0">
            <a:defRPr sz="1000"/>
          </a:pPr>
          <a:r>
            <a:rPr lang="de-DE" sz="1600" b="1" i="1" u="none" strike="noStrike" baseline="0">
              <a:solidFill>
                <a:srgbClr val="FFFFFF"/>
              </a:solidFill>
              <a:latin typeface="Arial"/>
              <a:cs typeface="Arial"/>
            </a:rPr>
            <a:t>nach EnEV 2002 </a:t>
          </a:r>
        </a:p>
      </xdr:txBody>
    </xdr:sp>
    <xdr:clientData/>
  </xdr:twoCellAnchor>
  <xdr:twoCellAnchor>
    <xdr:from>
      <xdr:col>0</xdr:col>
      <xdr:colOff>38100</xdr:colOff>
      <xdr:row>22</xdr:row>
      <xdr:rowOff>28575</xdr:rowOff>
    </xdr:from>
    <xdr:to>
      <xdr:col>7</xdr:col>
      <xdr:colOff>95250</xdr:colOff>
      <xdr:row>30</xdr:row>
      <xdr:rowOff>95250</xdr:rowOff>
    </xdr:to>
    <xdr:sp macro="" textlink="">
      <xdr:nvSpPr>
        <xdr:cNvPr id="76806" name="Text Box 6">
          <a:extLst>
            <a:ext uri="{FF2B5EF4-FFF2-40B4-BE49-F238E27FC236}">
              <a16:creationId xmlns:a16="http://schemas.microsoft.com/office/drawing/2014/main" id="{00000000-0008-0000-0A00-0000062C0100}"/>
            </a:ext>
          </a:extLst>
        </xdr:cNvPr>
        <xdr:cNvSpPr txBox="1">
          <a:spLocks noChangeArrowheads="1"/>
        </xdr:cNvSpPr>
      </xdr:nvSpPr>
      <xdr:spPr bwMode="auto">
        <a:xfrm>
          <a:off x="38100" y="3810000"/>
          <a:ext cx="5762625" cy="1362075"/>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800" b="0" i="0" u="sng" strike="noStrike" baseline="0">
              <a:solidFill>
                <a:srgbClr val="000000"/>
              </a:solidFill>
              <a:latin typeface="Arial"/>
              <a:cs typeface="Arial"/>
            </a:rPr>
            <a:t>Beispiele:</a:t>
          </a: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q </a:t>
          </a:r>
          <a:r>
            <a:rPr lang="de-DE" sz="800" b="0" i="0" u="none" strike="noStrike" baseline="-25000">
              <a:solidFill>
                <a:srgbClr val="000000"/>
              </a:solidFill>
              <a:latin typeface="Arial"/>
              <a:cs typeface="Arial"/>
            </a:rPr>
            <a:t>H,d,HE</a:t>
          </a:r>
          <a:r>
            <a:rPr lang="de-DE" sz="800" b="0" i="0" u="none" strike="noStrike" baseline="0">
              <a:solidFill>
                <a:srgbClr val="000000"/>
              </a:solidFill>
              <a:latin typeface="Arial"/>
              <a:cs typeface="Arial"/>
            </a:rPr>
            <a:t>            spezifische Jahresenergiemenge (q) für die Hilfsenergie (HE) der Verteilung (d) der Heizungsanlage (H)</a:t>
          </a:r>
        </a:p>
        <a:p>
          <a:pPr algn="l" rtl="0">
            <a:defRPr sz="1000"/>
          </a:pPr>
          <a:r>
            <a:rPr lang="de-DE" sz="800" b="0" i="0" u="none" strike="noStrike" baseline="0">
              <a:solidFill>
                <a:srgbClr val="000000"/>
              </a:solidFill>
              <a:latin typeface="Arial"/>
              <a:cs typeface="Arial"/>
            </a:rPr>
            <a:t>                        (elektrische Hilfsenergie der Umwälzpumpe)</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e </a:t>
          </a:r>
          <a:r>
            <a:rPr lang="de-DE" sz="800" b="0" i="0" u="none" strike="noStrike" baseline="-25000">
              <a:solidFill>
                <a:srgbClr val="000000"/>
              </a:solidFill>
              <a:latin typeface="Arial"/>
              <a:cs typeface="Arial"/>
            </a:rPr>
            <a:t>L,g,WP</a:t>
          </a:r>
          <a:r>
            <a:rPr lang="de-DE" sz="800" b="0" i="0" u="none" strike="noStrike" baseline="0">
              <a:solidFill>
                <a:srgbClr val="000000"/>
              </a:solidFill>
              <a:latin typeface="Arial"/>
              <a:cs typeface="Arial"/>
            </a:rPr>
            <a:t>            Aufwandszahl (e) der Erzeugung (g) der Wärmepumpe (WP) in der Lüftungsanlage (L)</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                                        </a:t>
          </a:r>
        </a:p>
        <a:p>
          <a:pPr algn="l" rtl="0">
            <a:defRPr sz="1000"/>
          </a:pPr>
          <a:r>
            <a:rPr lang="de-DE" sz="800" b="0" i="0" u="none" strike="noStrike" baseline="0">
              <a:solidFill>
                <a:srgbClr val="000000"/>
              </a:solidFill>
              <a:latin typeface="Arial"/>
              <a:cs typeface="Arial"/>
            </a:rPr>
            <a:t>                                                         </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5</xdr:col>
      <xdr:colOff>534133</xdr:colOff>
      <xdr:row>12</xdr:row>
      <xdr:rowOff>53487</xdr:rowOff>
    </xdr:from>
    <xdr:to>
      <xdr:col>6</xdr:col>
      <xdr:colOff>1531327</xdr:colOff>
      <xdr:row>21</xdr:row>
      <xdr:rowOff>82062</xdr:rowOff>
    </xdr:to>
    <xdr:sp macro="" textlink="">
      <xdr:nvSpPr>
        <xdr:cNvPr id="76807" name="Text Box 7">
          <a:extLst>
            <a:ext uri="{FF2B5EF4-FFF2-40B4-BE49-F238E27FC236}">
              <a16:creationId xmlns:a16="http://schemas.microsoft.com/office/drawing/2014/main" id="{00000000-0008-0000-0A00-0000072C0100}"/>
            </a:ext>
          </a:extLst>
        </xdr:cNvPr>
        <xdr:cNvSpPr txBox="1">
          <a:spLocks noChangeArrowheads="1"/>
        </xdr:cNvSpPr>
      </xdr:nvSpPr>
      <xdr:spPr bwMode="auto">
        <a:xfrm>
          <a:off x="3801941" y="2207602"/>
          <a:ext cx="1832463" cy="1479306"/>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val="000000"/>
              </a:solidFill>
              <a:miter lim="800000"/>
              <a:headEnd/>
              <a:tailEnd/>
            </a14:hiddenLine>
          </a:ext>
        </a:extLst>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WRG        Wärmerückgewinnung</a:t>
          </a:r>
        </a:p>
        <a:p>
          <a:pPr algn="l" rtl="0">
            <a:defRPr sz="1000"/>
          </a:pPr>
          <a:r>
            <a:rPr lang="de-DE" sz="800" b="0" i="0" u="none" strike="noStrike" baseline="0">
              <a:solidFill>
                <a:srgbClr val="000000"/>
              </a:solidFill>
              <a:latin typeface="Arial"/>
              <a:cs typeface="Arial"/>
            </a:rPr>
            <a:t>WP           Wärmepumpe</a:t>
          </a:r>
        </a:p>
        <a:p>
          <a:pPr algn="l" rtl="0">
            <a:defRPr sz="1000"/>
          </a:pPr>
          <a:r>
            <a:rPr lang="de-DE" sz="800" b="0" i="0" u="none" strike="noStrike" baseline="0">
              <a:solidFill>
                <a:srgbClr val="000000"/>
              </a:solidFill>
              <a:latin typeface="Arial"/>
              <a:cs typeface="Arial"/>
            </a:rPr>
            <a:t>HR            Heizregister</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11</xdr:row>
          <xdr:rowOff>114300</xdr:rowOff>
        </xdr:from>
        <xdr:to>
          <xdr:col>4</xdr:col>
          <xdr:colOff>50800</xdr:colOff>
          <xdr:row>13</xdr:row>
          <xdr:rowOff>50800</xdr:rowOff>
        </xdr:to>
        <xdr:sp macro="" textlink="">
          <xdr:nvSpPr>
            <xdr:cNvPr id="55299" name="Group Box 3" hidden="1">
              <a:extLst>
                <a:ext uri="{63B3BB69-23CF-44E3-9099-C40C66FF867C}">
                  <a14:compatExt spid="_x0000_s55299"/>
                </a:ext>
                <a:ext uri="{FF2B5EF4-FFF2-40B4-BE49-F238E27FC236}">
                  <a16:creationId xmlns:a16="http://schemas.microsoft.com/office/drawing/2014/main" id="{00000000-0008-0000-0200-000003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de-DE" sz="800" b="0" i="0" u="none" strike="noStrike" baseline="0">
                  <a:solidFill>
                    <a:srgbClr val="000000"/>
                  </a:solidFill>
                  <a:latin typeface="Tahoma"/>
                  <a:ea typeface="Tahoma"/>
                  <a:cs typeface="Tahoma"/>
                </a:rPr>
                <a:t>Gebäudetyp: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31</xdr:row>
          <xdr:rowOff>114300</xdr:rowOff>
        </xdr:from>
        <xdr:to>
          <xdr:col>4</xdr:col>
          <xdr:colOff>57150</xdr:colOff>
          <xdr:row>33</xdr:row>
          <xdr:rowOff>69850</xdr:rowOff>
        </xdr:to>
        <xdr:sp macro="" textlink="">
          <xdr:nvSpPr>
            <xdr:cNvPr id="55300" name="Group Box 4" hidden="1">
              <a:extLst>
                <a:ext uri="{63B3BB69-23CF-44E3-9099-C40C66FF867C}">
                  <a14:compatExt spid="_x0000_s55300"/>
                </a:ext>
                <a:ext uri="{FF2B5EF4-FFF2-40B4-BE49-F238E27FC236}">
                  <a16:creationId xmlns:a16="http://schemas.microsoft.com/office/drawing/2014/main" id="{00000000-0008-0000-0200-000004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de-DE" sz="800" b="0" i="0" u="none" strike="noStrike" baseline="0">
                  <a:solidFill>
                    <a:srgbClr val="000000"/>
                  </a:solidFill>
                  <a:latin typeface="Tahoma"/>
                  <a:ea typeface="Tahoma"/>
                  <a:cs typeface="Tahoma"/>
                </a:rPr>
                <a:t>Datum: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31</xdr:row>
          <xdr:rowOff>107950</xdr:rowOff>
        </xdr:from>
        <xdr:to>
          <xdr:col>6</xdr:col>
          <xdr:colOff>95250</xdr:colOff>
          <xdr:row>33</xdr:row>
          <xdr:rowOff>57150</xdr:rowOff>
        </xdr:to>
        <xdr:sp macro="" textlink="">
          <xdr:nvSpPr>
            <xdr:cNvPr id="55301" name="Group Box 5" hidden="1">
              <a:extLst>
                <a:ext uri="{63B3BB69-23CF-44E3-9099-C40C66FF867C}">
                  <a14:compatExt spid="_x0000_s55301"/>
                </a:ext>
                <a:ext uri="{FF2B5EF4-FFF2-40B4-BE49-F238E27FC236}">
                  <a16:creationId xmlns:a16="http://schemas.microsoft.com/office/drawing/2014/main" id="{00000000-0008-0000-0200-000005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de-DE" sz="800" b="0" i="0" u="none" strike="noStrike" baseline="0">
                  <a:solidFill>
                    <a:srgbClr val="000000"/>
                  </a:solidFill>
                  <a:latin typeface="Tahoma"/>
                  <a:ea typeface="Tahoma"/>
                  <a:cs typeface="Tahoma"/>
                </a:rPr>
                <a:t>Bearbeiter: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13</xdr:row>
          <xdr:rowOff>228600</xdr:rowOff>
        </xdr:from>
        <xdr:to>
          <xdr:col>6</xdr:col>
          <xdr:colOff>107950</xdr:colOff>
          <xdr:row>18</xdr:row>
          <xdr:rowOff>69850</xdr:rowOff>
        </xdr:to>
        <xdr:sp macro="" textlink="">
          <xdr:nvSpPr>
            <xdr:cNvPr id="55328" name="Group Box 32" hidden="1">
              <a:extLst>
                <a:ext uri="{63B3BB69-23CF-44E3-9099-C40C66FF867C}">
                  <a14:compatExt spid="_x0000_s55328"/>
                </a:ext>
                <a:ext uri="{FF2B5EF4-FFF2-40B4-BE49-F238E27FC236}">
                  <a16:creationId xmlns:a16="http://schemas.microsoft.com/office/drawing/2014/main" id="{00000000-0008-0000-0200-000020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de-DE" sz="800" b="0" i="0" u="none" strike="noStrike" baseline="0">
                  <a:solidFill>
                    <a:srgbClr val="000000"/>
                  </a:solidFill>
                  <a:latin typeface="Tahoma"/>
                  <a:ea typeface="Tahoma"/>
                  <a:cs typeface="Tahoma"/>
                </a:rPr>
                <a:t>Adresse: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228600</xdr:rowOff>
        </xdr:from>
        <xdr:to>
          <xdr:col>6</xdr:col>
          <xdr:colOff>107950</xdr:colOff>
          <xdr:row>24</xdr:row>
          <xdr:rowOff>50800</xdr:rowOff>
        </xdr:to>
        <xdr:sp macro="" textlink="">
          <xdr:nvSpPr>
            <xdr:cNvPr id="55329" name="Group Box 33" hidden="1">
              <a:extLst>
                <a:ext uri="{63B3BB69-23CF-44E3-9099-C40C66FF867C}">
                  <a14:compatExt spid="_x0000_s55329"/>
                </a:ext>
                <a:ext uri="{FF2B5EF4-FFF2-40B4-BE49-F238E27FC236}">
                  <a16:creationId xmlns:a16="http://schemas.microsoft.com/office/drawing/2014/main" id="{00000000-0008-0000-0200-000021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de-DE" sz="800" b="0" i="0" u="none" strike="noStrike" baseline="0">
                  <a:solidFill>
                    <a:srgbClr val="000000"/>
                  </a:solidFill>
                  <a:latin typeface="Tahoma"/>
                  <a:ea typeface="Tahoma"/>
                  <a:cs typeface="Tahoma"/>
                </a:rPr>
                <a:t>Gebäudebeschreibung (informativ):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2</xdr:row>
          <xdr:rowOff>107950</xdr:rowOff>
        </xdr:from>
        <xdr:to>
          <xdr:col>6</xdr:col>
          <xdr:colOff>88900</xdr:colOff>
          <xdr:row>9</xdr:row>
          <xdr:rowOff>50800</xdr:rowOff>
        </xdr:to>
        <xdr:sp macro="" textlink="">
          <xdr:nvSpPr>
            <xdr:cNvPr id="55330" name="Group Box 34" hidden="1">
              <a:extLst>
                <a:ext uri="{63B3BB69-23CF-44E3-9099-C40C66FF867C}">
                  <a14:compatExt spid="_x0000_s55330"/>
                </a:ext>
                <a:ext uri="{FF2B5EF4-FFF2-40B4-BE49-F238E27FC236}">
                  <a16:creationId xmlns:a16="http://schemas.microsoft.com/office/drawing/2014/main" id="{00000000-0008-0000-0200-000022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33</xdr:row>
          <xdr:rowOff>209550</xdr:rowOff>
        </xdr:from>
        <xdr:to>
          <xdr:col>6</xdr:col>
          <xdr:colOff>95250</xdr:colOff>
          <xdr:row>45</xdr:row>
          <xdr:rowOff>57150</xdr:rowOff>
        </xdr:to>
        <xdr:sp macro="" textlink="">
          <xdr:nvSpPr>
            <xdr:cNvPr id="55331" name="Group Box 35" hidden="1">
              <a:extLst>
                <a:ext uri="{63B3BB69-23CF-44E3-9099-C40C66FF867C}">
                  <a14:compatExt spid="_x0000_s55331"/>
                </a:ext>
                <a:ext uri="{FF2B5EF4-FFF2-40B4-BE49-F238E27FC236}">
                  <a16:creationId xmlns:a16="http://schemas.microsoft.com/office/drawing/2014/main" id="{00000000-0008-0000-0200-000023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66675</xdr:colOff>
      <xdr:row>47</xdr:row>
      <xdr:rowOff>0</xdr:rowOff>
    </xdr:from>
    <xdr:to>
      <xdr:col>6</xdr:col>
      <xdr:colOff>390525</xdr:colOff>
      <xdr:row>47</xdr:row>
      <xdr:rowOff>0</xdr:rowOff>
    </xdr:to>
    <xdr:sp macro="" textlink="">
      <xdr:nvSpPr>
        <xdr:cNvPr id="55332" name="Text Box 36">
          <a:extLst>
            <a:ext uri="{FF2B5EF4-FFF2-40B4-BE49-F238E27FC236}">
              <a16:creationId xmlns:a16="http://schemas.microsoft.com/office/drawing/2014/main" id="{00000000-0008-0000-0200-000024D80000}"/>
            </a:ext>
          </a:extLst>
        </xdr:cNvPr>
        <xdr:cNvSpPr txBox="1">
          <a:spLocks noChangeArrowheads="1"/>
        </xdr:cNvSpPr>
      </xdr:nvSpPr>
      <xdr:spPr bwMode="auto">
        <a:xfrm>
          <a:off x="66675" y="9629775"/>
          <a:ext cx="5953125" cy="0"/>
        </a:xfrm>
        <a:prstGeom prst="rect">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de-DE" sz="1600" b="1" i="1" u="none" strike="noStrike" baseline="0">
              <a:solidFill>
                <a:srgbClr val="FFFFFF"/>
              </a:solidFill>
              <a:latin typeface="Times New Roman"/>
              <a:cs typeface="Times New Roman"/>
            </a:rPr>
            <a:t>ERGEBNISSE UND DRUCK</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285750</xdr:colOff>
          <xdr:row>11</xdr:row>
          <xdr:rowOff>114300</xdr:rowOff>
        </xdr:from>
        <xdr:to>
          <xdr:col>6</xdr:col>
          <xdr:colOff>107950</xdr:colOff>
          <xdr:row>13</xdr:row>
          <xdr:rowOff>50800</xdr:rowOff>
        </xdr:to>
        <xdr:sp macro="" textlink="">
          <xdr:nvSpPr>
            <xdr:cNvPr id="55333" name="Group Box 37" hidden="1">
              <a:extLst>
                <a:ext uri="{63B3BB69-23CF-44E3-9099-C40C66FF867C}">
                  <a14:compatExt spid="_x0000_s55333"/>
                </a:ext>
                <a:ext uri="{FF2B5EF4-FFF2-40B4-BE49-F238E27FC236}">
                  <a16:creationId xmlns:a16="http://schemas.microsoft.com/office/drawing/2014/main" id="{00000000-0008-0000-0200-000025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de-DE" sz="800" b="0" i="0" u="none" strike="noStrike" baseline="0">
                  <a:solidFill>
                    <a:srgbClr val="000000"/>
                  </a:solidFill>
                  <a:latin typeface="Tahoma"/>
                  <a:ea typeface="Tahoma"/>
                  <a:cs typeface="Tahoma"/>
                </a:rPr>
                <a:t>Projektname: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24</xdr:row>
          <xdr:rowOff>222250</xdr:rowOff>
        </xdr:from>
        <xdr:to>
          <xdr:col>6</xdr:col>
          <xdr:colOff>107950</xdr:colOff>
          <xdr:row>29</xdr:row>
          <xdr:rowOff>57150</xdr:rowOff>
        </xdr:to>
        <xdr:sp macro="" textlink="">
          <xdr:nvSpPr>
            <xdr:cNvPr id="55336" name="Group Box 40" hidden="1">
              <a:extLst>
                <a:ext uri="{63B3BB69-23CF-44E3-9099-C40C66FF867C}">
                  <a14:compatExt spid="_x0000_s55336"/>
                </a:ext>
                <a:ext uri="{FF2B5EF4-FFF2-40B4-BE49-F238E27FC236}">
                  <a16:creationId xmlns:a16="http://schemas.microsoft.com/office/drawing/2014/main" id="{00000000-0008-0000-0200-000028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de-DE" sz="800" b="0" i="0" u="none" strike="noStrike" baseline="0">
                  <a:solidFill>
                    <a:srgbClr val="000000"/>
                  </a:solidFill>
                  <a:latin typeface="Tahoma"/>
                  <a:ea typeface="Tahoma"/>
                  <a:cs typeface="Tahoma"/>
                </a:rPr>
                <a:t>Anlagenbeschreibung (informativ):</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107950</xdr:colOff>
          <xdr:row>36</xdr:row>
          <xdr:rowOff>19050</xdr:rowOff>
        </xdr:from>
        <xdr:to>
          <xdr:col>13</xdr:col>
          <xdr:colOff>457200</xdr:colOff>
          <xdr:row>37</xdr:row>
          <xdr:rowOff>0</xdr:rowOff>
        </xdr:to>
        <xdr:sp macro="" textlink="">
          <xdr:nvSpPr>
            <xdr:cNvPr id="99329" name="Drop Down 1" hidden="1">
              <a:extLst>
                <a:ext uri="{63B3BB69-23CF-44E3-9099-C40C66FF867C}">
                  <a14:compatExt spid="_x0000_s99329"/>
                </a:ext>
                <a:ext uri="{FF2B5EF4-FFF2-40B4-BE49-F238E27FC236}">
                  <a16:creationId xmlns:a16="http://schemas.microsoft.com/office/drawing/2014/main" id="{00000000-0008-0000-0300-00000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21</xdr:row>
          <xdr:rowOff>50800</xdr:rowOff>
        </xdr:from>
        <xdr:to>
          <xdr:col>1</xdr:col>
          <xdr:colOff>317500</xdr:colOff>
          <xdr:row>22</xdr:row>
          <xdr:rowOff>107950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03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69</xdr:row>
          <xdr:rowOff>0</xdr:rowOff>
        </xdr:from>
        <xdr:to>
          <xdr:col>3</xdr:col>
          <xdr:colOff>412750</xdr:colOff>
          <xdr:row>70</xdr:row>
          <xdr:rowOff>38100</xdr:rowOff>
        </xdr:to>
        <xdr:sp macro="" textlink="">
          <xdr:nvSpPr>
            <xdr:cNvPr id="99331" name="Option Button 3" hidden="1">
              <a:extLst>
                <a:ext uri="{63B3BB69-23CF-44E3-9099-C40C66FF867C}">
                  <a14:compatExt spid="_x0000_s99331"/>
                </a:ext>
                <a:ext uri="{FF2B5EF4-FFF2-40B4-BE49-F238E27FC236}">
                  <a16:creationId xmlns:a16="http://schemas.microsoft.com/office/drawing/2014/main" id="{00000000-0008-0000-0300-00000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70</xdr:row>
          <xdr:rowOff>31750</xdr:rowOff>
        </xdr:from>
        <xdr:to>
          <xdr:col>3</xdr:col>
          <xdr:colOff>400050</xdr:colOff>
          <xdr:row>71</xdr:row>
          <xdr:rowOff>38100</xdr:rowOff>
        </xdr:to>
        <xdr:sp macro="" textlink="">
          <xdr:nvSpPr>
            <xdr:cNvPr id="99332" name="Option Button 4" hidden="1">
              <a:extLst>
                <a:ext uri="{63B3BB69-23CF-44E3-9099-C40C66FF867C}">
                  <a14:compatExt spid="_x0000_s99332"/>
                </a:ext>
                <a:ext uri="{FF2B5EF4-FFF2-40B4-BE49-F238E27FC236}">
                  <a16:creationId xmlns:a16="http://schemas.microsoft.com/office/drawing/2014/main" id="{00000000-0008-0000-0300-00000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71</xdr:row>
          <xdr:rowOff>133350</xdr:rowOff>
        </xdr:from>
        <xdr:to>
          <xdr:col>3</xdr:col>
          <xdr:colOff>400050</xdr:colOff>
          <xdr:row>73</xdr:row>
          <xdr:rowOff>31750</xdr:rowOff>
        </xdr:to>
        <xdr:sp macro="" textlink="">
          <xdr:nvSpPr>
            <xdr:cNvPr id="99333" name="Option Button 5" hidden="1">
              <a:extLst>
                <a:ext uri="{63B3BB69-23CF-44E3-9099-C40C66FF867C}">
                  <a14:compatExt spid="_x0000_s99333"/>
                </a:ext>
                <a:ext uri="{FF2B5EF4-FFF2-40B4-BE49-F238E27FC236}">
                  <a16:creationId xmlns:a16="http://schemas.microsoft.com/office/drawing/2014/main" id="{00000000-0008-0000-0300-00000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68</xdr:row>
          <xdr:rowOff>19050</xdr:rowOff>
        </xdr:from>
        <xdr:to>
          <xdr:col>10</xdr:col>
          <xdr:colOff>628650</xdr:colOff>
          <xdr:row>76</xdr:row>
          <xdr:rowOff>19050</xdr:rowOff>
        </xdr:to>
        <xdr:sp macro="" textlink="">
          <xdr:nvSpPr>
            <xdr:cNvPr id="99334" name="Group Box 6" hidden="1">
              <a:extLst>
                <a:ext uri="{63B3BB69-23CF-44E3-9099-C40C66FF867C}">
                  <a14:compatExt spid="_x0000_s99334"/>
                </a:ext>
                <a:ext uri="{FF2B5EF4-FFF2-40B4-BE49-F238E27FC236}">
                  <a16:creationId xmlns:a16="http://schemas.microsoft.com/office/drawing/2014/main" id="{00000000-0008-0000-0300-00000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88900</xdr:rowOff>
        </xdr:from>
        <xdr:to>
          <xdr:col>11</xdr:col>
          <xdr:colOff>241300</xdr:colOff>
          <xdr:row>102</xdr:row>
          <xdr:rowOff>38100</xdr:rowOff>
        </xdr:to>
        <xdr:sp macro="" textlink="">
          <xdr:nvSpPr>
            <xdr:cNvPr id="99337" name="Group Box 9" hidden="1">
              <a:extLst>
                <a:ext uri="{63B3BB69-23CF-44E3-9099-C40C66FF867C}">
                  <a14:compatExt spid="_x0000_s99337"/>
                </a:ext>
                <a:ext uri="{FF2B5EF4-FFF2-40B4-BE49-F238E27FC236}">
                  <a16:creationId xmlns:a16="http://schemas.microsoft.com/office/drawing/2014/main" id="{00000000-0008-0000-0300-00000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110</xdr:row>
          <xdr:rowOff>12700</xdr:rowOff>
        </xdr:from>
        <xdr:to>
          <xdr:col>8</xdr:col>
          <xdr:colOff>336550</xdr:colOff>
          <xdr:row>111</xdr:row>
          <xdr:rowOff>0</xdr:rowOff>
        </xdr:to>
        <xdr:sp macro="" textlink="">
          <xdr:nvSpPr>
            <xdr:cNvPr id="99338" name="Drop Down 10" hidden="1">
              <a:extLst>
                <a:ext uri="{63B3BB69-23CF-44E3-9099-C40C66FF867C}">
                  <a14:compatExt spid="_x0000_s99338"/>
                </a:ext>
                <a:ext uri="{FF2B5EF4-FFF2-40B4-BE49-F238E27FC236}">
                  <a16:creationId xmlns:a16="http://schemas.microsoft.com/office/drawing/2014/main" id="{00000000-0008-0000-0300-00000A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87</xdr:row>
          <xdr:rowOff>0</xdr:rowOff>
        </xdr:from>
        <xdr:to>
          <xdr:col>13</xdr:col>
          <xdr:colOff>260350</xdr:colOff>
          <xdr:row>94</xdr:row>
          <xdr:rowOff>76200</xdr:rowOff>
        </xdr:to>
        <xdr:sp macro="" textlink="">
          <xdr:nvSpPr>
            <xdr:cNvPr id="99339" name="Group Box 11" hidden="1">
              <a:extLst>
                <a:ext uri="{63B3BB69-23CF-44E3-9099-C40C66FF867C}">
                  <a14:compatExt spid="_x0000_s99339"/>
                </a:ext>
                <a:ext uri="{FF2B5EF4-FFF2-40B4-BE49-F238E27FC236}">
                  <a16:creationId xmlns:a16="http://schemas.microsoft.com/office/drawing/2014/main" id="{00000000-0008-0000-0300-00000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88</xdr:row>
          <xdr:rowOff>127000</xdr:rowOff>
        </xdr:from>
        <xdr:to>
          <xdr:col>2</xdr:col>
          <xdr:colOff>342900</xdr:colOff>
          <xdr:row>90</xdr:row>
          <xdr:rowOff>19050</xdr:rowOff>
        </xdr:to>
        <xdr:sp macro="" textlink="">
          <xdr:nvSpPr>
            <xdr:cNvPr id="99340" name="Option Button 12" hidden="1">
              <a:extLst>
                <a:ext uri="{63B3BB69-23CF-44E3-9099-C40C66FF867C}">
                  <a14:compatExt spid="_x0000_s99340"/>
                </a:ext>
                <a:ext uri="{FF2B5EF4-FFF2-40B4-BE49-F238E27FC236}">
                  <a16:creationId xmlns:a16="http://schemas.microsoft.com/office/drawing/2014/main" id="{00000000-0008-0000-0300-00000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xdr:row>
          <xdr:rowOff>114300</xdr:rowOff>
        </xdr:from>
        <xdr:to>
          <xdr:col>2</xdr:col>
          <xdr:colOff>342900</xdr:colOff>
          <xdr:row>92</xdr:row>
          <xdr:rowOff>12700</xdr:rowOff>
        </xdr:to>
        <xdr:sp macro="" textlink="">
          <xdr:nvSpPr>
            <xdr:cNvPr id="99341" name="Option Button 13" hidden="1">
              <a:extLst>
                <a:ext uri="{63B3BB69-23CF-44E3-9099-C40C66FF867C}">
                  <a14:compatExt spid="_x0000_s99341"/>
                </a:ext>
                <a:ext uri="{FF2B5EF4-FFF2-40B4-BE49-F238E27FC236}">
                  <a16:creationId xmlns:a16="http://schemas.microsoft.com/office/drawing/2014/main" id="{00000000-0008-0000-0300-00000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92</xdr:row>
          <xdr:rowOff>127000</xdr:rowOff>
        </xdr:from>
        <xdr:to>
          <xdr:col>2</xdr:col>
          <xdr:colOff>342900</xdr:colOff>
          <xdr:row>94</xdr:row>
          <xdr:rowOff>0</xdr:rowOff>
        </xdr:to>
        <xdr:sp macro="" textlink="">
          <xdr:nvSpPr>
            <xdr:cNvPr id="99342" name="Option Button 14" hidden="1">
              <a:extLst>
                <a:ext uri="{63B3BB69-23CF-44E3-9099-C40C66FF867C}">
                  <a14:compatExt spid="_x0000_s99342"/>
                </a:ext>
                <a:ext uri="{FF2B5EF4-FFF2-40B4-BE49-F238E27FC236}">
                  <a16:creationId xmlns:a16="http://schemas.microsoft.com/office/drawing/2014/main" id="{00000000-0008-0000-0300-00000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127000</xdr:rowOff>
        </xdr:from>
        <xdr:to>
          <xdr:col>2</xdr:col>
          <xdr:colOff>304800</xdr:colOff>
          <xdr:row>83</xdr:row>
          <xdr:rowOff>19050</xdr:rowOff>
        </xdr:to>
        <xdr:sp macro="" textlink="">
          <xdr:nvSpPr>
            <xdr:cNvPr id="99343" name="Option Button 15" hidden="1">
              <a:extLst>
                <a:ext uri="{63B3BB69-23CF-44E3-9099-C40C66FF867C}">
                  <a14:compatExt spid="_x0000_s99343"/>
                </a:ext>
                <a:ext uri="{FF2B5EF4-FFF2-40B4-BE49-F238E27FC236}">
                  <a16:creationId xmlns:a16="http://schemas.microsoft.com/office/drawing/2014/main" id="{00000000-0008-0000-0300-00000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13</xdr:col>
          <xdr:colOff>266700</xdr:colOff>
          <xdr:row>86</xdr:row>
          <xdr:rowOff>57150</xdr:rowOff>
        </xdr:to>
        <xdr:sp macro="" textlink="">
          <xdr:nvSpPr>
            <xdr:cNvPr id="99344" name="Group Box 16" hidden="1">
              <a:extLst>
                <a:ext uri="{63B3BB69-23CF-44E3-9099-C40C66FF867C}">
                  <a14:compatExt spid="_x0000_s99344"/>
                </a:ext>
                <a:ext uri="{FF2B5EF4-FFF2-40B4-BE49-F238E27FC236}">
                  <a16:creationId xmlns:a16="http://schemas.microsoft.com/office/drawing/2014/main" id="{00000000-0008-0000-0300-00001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127000</xdr:rowOff>
        </xdr:from>
        <xdr:to>
          <xdr:col>2</xdr:col>
          <xdr:colOff>304800</xdr:colOff>
          <xdr:row>85</xdr:row>
          <xdr:rowOff>57150</xdr:rowOff>
        </xdr:to>
        <xdr:sp macro="" textlink="">
          <xdr:nvSpPr>
            <xdr:cNvPr id="99345" name="Option Button 17" hidden="1">
              <a:extLst>
                <a:ext uri="{63B3BB69-23CF-44E3-9099-C40C66FF867C}">
                  <a14:compatExt spid="_x0000_s99345"/>
                </a:ext>
                <a:ext uri="{FF2B5EF4-FFF2-40B4-BE49-F238E27FC236}">
                  <a16:creationId xmlns:a16="http://schemas.microsoft.com/office/drawing/2014/main" id="{00000000-0008-0000-0300-00001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37</xdr:row>
          <xdr:rowOff>19050</xdr:rowOff>
        </xdr:from>
        <xdr:to>
          <xdr:col>13</xdr:col>
          <xdr:colOff>457200</xdr:colOff>
          <xdr:row>38</xdr:row>
          <xdr:rowOff>0</xdr:rowOff>
        </xdr:to>
        <xdr:sp macro="" textlink="">
          <xdr:nvSpPr>
            <xdr:cNvPr id="99357" name="Drop Down 29" hidden="1">
              <a:extLst>
                <a:ext uri="{63B3BB69-23CF-44E3-9099-C40C66FF867C}">
                  <a14:compatExt spid="_x0000_s99357"/>
                </a:ext>
                <a:ext uri="{FF2B5EF4-FFF2-40B4-BE49-F238E27FC236}">
                  <a16:creationId xmlns:a16="http://schemas.microsoft.com/office/drawing/2014/main" id="{00000000-0008-0000-0300-00001D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38</xdr:row>
          <xdr:rowOff>19050</xdr:rowOff>
        </xdr:from>
        <xdr:to>
          <xdr:col>13</xdr:col>
          <xdr:colOff>457200</xdr:colOff>
          <xdr:row>39</xdr:row>
          <xdr:rowOff>0</xdr:rowOff>
        </xdr:to>
        <xdr:sp macro="" textlink="">
          <xdr:nvSpPr>
            <xdr:cNvPr id="99358" name="Drop Down 30" hidden="1">
              <a:extLst>
                <a:ext uri="{63B3BB69-23CF-44E3-9099-C40C66FF867C}">
                  <a14:compatExt spid="_x0000_s99358"/>
                </a:ext>
                <a:ext uri="{FF2B5EF4-FFF2-40B4-BE49-F238E27FC236}">
                  <a16:creationId xmlns:a16="http://schemas.microsoft.com/office/drawing/2014/main" id="{00000000-0008-0000-0300-00001E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39</xdr:row>
          <xdr:rowOff>19050</xdr:rowOff>
        </xdr:from>
        <xdr:to>
          <xdr:col>13</xdr:col>
          <xdr:colOff>457200</xdr:colOff>
          <xdr:row>40</xdr:row>
          <xdr:rowOff>0</xdr:rowOff>
        </xdr:to>
        <xdr:sp macro="" textlink="">
          <xdr:nvSpPr>
            <xdr:cNvPr id="99359" name="Drop Down 31" hidden="1">
              <a:extLst>
                <a:ext uri="{63B3BB69-23CF-44E3-9099-C40C66FF867C}">
                  <a14:compatExt spid="_x0000_s99359"/>
                </a:ext>
                <a:ext uri="{FF2B5EF4-FFF2-40B4-BE49-F238E27FC236}">
                  <a16:creationId xmlns:a16="http://schemas.microsoft.com/office/drawing/2014/main" id="{00000000-0008-0000-0300-00001F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40</xdr:row>
          <xdr:rowOff>19050</xdr:rowOff>
        </xdr:from>
        <xdr:to>
          <xdr:col>13</xdr:col>
          <xdr:colOff>457200</xdr:colOff>
          <xdr:row>41</xdr:row>
          <xdr:rowOff>0</xdr:rowOff>
        </xdr:to>
        <xdr:sp macro="" textlink="">
          <xdr:nvSpPr>
            <xdr:cNvPr id="99360" name="Drop Down 32" hidden="1">
              <a:extLst>
                <a:ext uri="{63B3BB69-23CF-44E3-9099-C40C66FF867C}">
                  <a14:compatExt spid="_x0000_s99360"/>
                </a:ext>
                <a:ext uri="{FF2B5EF4-FFF2-40B4-BE49-F238E27FC236}">
                  <a16:creationId xmlns:a16="http://schemas.microsoft.com/office/drawing/2014/main" id="{00000000-0008-0000-0300-000020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41</xdr:row>
          <xdr:rowOff>19050</xdr:rowOff>
        </xdr:from>
        <xdr:to>
          <xdr:col>13</xdr:col>
          <xdr:colOff>457200</xdr:colOff>
          <xdr:row>42</xdr:row>
          <xdr:rowOff>0</xdr:rowOff>
        </xdr:to>
        <xdr:sp macro="" textlink="">
          <xdr:nvSpPr>
            <xdr:cNvPr id="99361" name="Drop Down 33" hidden="1">
              <a:extLst>
                <a:ext uri="{63B3BB69-23CF-44E3-9099-C40C66FF867C}">
                  <a14:compatExt spid="_x0000_s99361"/>
                </a:ext>
                <a:ext uri="{FF2B5EF4-FFF2-40B4-BE49-F238E27FC236}">
                  <a16:creationId xmlns:a16="http://schemas.microsoft.com/office/drawing/2014/main" id="{00000000-0008-0000-0300-00002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42</xdr:row>
          <xdr:rowOff>19050</xdr:rowOff>
        </xdr:from>
        <xdr:to>
          <xdr:col>13</xdr:col>
          <xdr:colOff>457200</xdr:colOff>
          <xdr:row>43</xdr:row>
          <xdr:rowOff>0</xdr:rowOff>
        </xdr:to>
        <xdr:sp macro="" textlink="">
          <xdr:nvSpPr>
            <xdr:cNvPr id="99362" name="Drop Down 34" hidden="1">
              <a:extLst>
                <a:ext uri="{63B3BB69-23CF-44E3-9099-C40C66FF867C}">
                  <a14:compatExt spid="_x0000_s99362"/>
                </a:ext>
                <a:ext uri="{FF2B5EF4-FFF2-40B4-BE49-F238E27FC236}">
                  <a16:creationId xmlns:a16="http://schemas.microsoft.com/office/drawing/2014/main" id="{00000000-0008-0000-0300-000022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43</xdr:row>
          <xdr:rowOff>19050</xdr:rowOff>
        </xdr:from>
        <xdr:to>
          <xdr:col>13</xdr:col>
          <xdr:colOff>457200</xdr:colOff>
          <xdr:row>44</xdr:row>
          <xdr:rowOff>0</xdr:rowOff>
        </xdr:to>
        <xdr:sp macro="" textlink="">
          <xdr:nvSpPr>
            <xdr:cNvPr id="99363" name="Drop Down 35" hidden="1">
              <a:extLst>
                <a:ext uri="{63B3BB69-23CF-44E3-9099-C40C66FF867C}">
                  <a14:compatExt spid="_x0000_s99363"/>
                </a:ext>
                <a:ext uri="{FF2B5EF4-FFF2-40B4-BE49-F238E27FC236}">
                  <a16:creationId xmlns:a16="http://schemas.microsoft.com/office/drawing/2014/main" id="{00000000-0008-0000-0300-000023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44</xdr:row>
          <xdr:rowOff>19050</xdr:rowOff>
        </xdr:from>
        <xdr:to>
          <xdr:col>13</xdr:col>
          <xdr:colOff>457200</xdr:colOff>
          <xdr:row>45</xdr:row>
          <xdr:rowOff>0</xdr:rowOff>
        </xdr:to>
        <xdr:sp macro="" textlink="">
          <xdr:nvSpPr>
            <xdr:cNvPr id="99364" name="Drop Down 36" hidden="1">
              <a:extLst>
                <a:ext uri="{63B3BB69-23CF-44E3-9099-C40C66FF867C}">
                  <a14:compatExt spid="_x0000_s99364"/>
                </a:ext>
                <a:ext uri="{FF2B5EF4-FFF2-40B4-BE49-F238E27FC236}">
                  <a16:creationId xmlns:a16="http://schemas.microsoft.com/office/drawing/2014/main" id="{00000000-0008-0000-0300-000024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45</xdr:row>
          <xdr:rowOff>19050</xdr:rowOff>
        </xdr:from>
        <xdr:to>
          <xdr:col>13</xdr:col>
          <xdr:colOff>457200</xdr:colOff>
          <xdr:row>46</xdr:row>
          <xdr:rowOff>0</xdr:rowOff>
        </xdr:to>
        <xdr:sp macro="" textlink="">
          <xdr:nvSpPr>
            <xdr:cNvPr id="99365" name="Drop Down 37" hidden="1">
              <a:extLst>
                <a:ext uri="{63B3BB69-23CF-44E3-9099-C40C66FF867C}">
                  <a14:compatExt spid="_x0000_s99365"/>
                </a:ext>
                <a:ext uri="{FF2B5EF4-FFF2-40B4-BE49-F238E27FC236}">
                  <a16:creationId xmlns:a16="http://schemas.microsoft.com/office/drawing/2014/main" id="{00000000-0008-0000-0300-000025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46</xdr:row>
          <xdr:rowOff>19050</xdr:rowOff>
        </xdr:from>
        <xdr:to>
          <xdr:col>13</xdr:col>
          <xdr:colOff>457200</xdr:colOff>
          <xdr:row>47</xdr:row>
          <xdr:rowOff>0</xdr:rowOff>
        </xdr:to>
        <xdr:sp macro="" textlink="">
          <xdr:nvSpPr>
            <xdr:cNvPr id="99366" name="Drop Down 38" hidden="1">
              <a:extLst>
                <a:ext uri="{63B3BB69-23CF-44E3-9099-C40C66FF867C}">
                  <a14:compatExt spid="_x0000_s99366"/>
                </a:ext>
                <a:ext uri="{FF2B5EF4-FFF2-40B4-BE49-F238E27FC236}">
                  <a16:creationId xmlns:a16="http://schemas.microsoft.com/office/drawing/2014/main" id="{00000000-0008-0000-0300-000026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47</xdr:row>
          <xdr:rowOff>19050</xdr:rowOff>
        </xdr:from>
        <xdr:to>
          <xdr:col>13</xdr:col>
          <xdr:colOff>457200</xdr:colOff>
          <xdr:row>48</xdr:row>
          <xdr:rowOff>0</xdr:rowOff>
        </xdr:to>
        <xdr:sp macro="" textlink="">
          <xdr:nvSpPr>
            <xdr:cNvPr id="99367" name="Drop Down 39" hidden="1">
              <a:extLst>
                <a:ext uri="{63B3BB69-23CF-44E3-9099-C40C66FF867C}">
                  <a14:compatExt spid="_x0000_s99367"/>
                </a:ext>
                <a:ext uri="{FF2B5EF4-FFF2-40B4-BE49-F238E27FC236}">
                  <a16:creationId xmlns:a16="http://schemas.microsoft.com/office/drawing/2014/main" id="{00000000-0008-0000-0300-000027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48</xdr:row>
          <xdr:rowOff>19050</xdr:rowOff>
        </xdr:from>
        <xdr:to>
          <xdr:col>13</xdr:col>
          <xdr:colOff>457200</xdr:colOff>
          <xdr:row>49</xdr:row>
          <xdr:rowOff>0</xdr:rowOff>
        </xdr:to>
        <xdr:sp macro="" textlink="">
          <xdr:nvSpPr>
            <xdr:cNvPr id="99368" name="Drop Down 40" hidden="1">
              <a:extLst>
                <a:ext uri="{63B3BB69-23CF-44E3-9099-C40C66FF867C}">
                  <a14:compatExt spid="_x0000_s99368"/>
                </a:ext>
                <a:ext uri="{FF2B5EF4-FFF2-40B4-BE49-F238E27FC236}">
                  <a16:creationId xmlns:a16="http://schemas.microsoft.com/office/drawing/2014/main" id="{00000000-0008-0000-0300-000028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49</xdr:row>
          <xdr:rowOff>19050</xdr:rowOff>
        </xdr:from>
        <xdr:to>
          <xdr:col>13</xdr:col>
          <xdr:colOff>457200</xdr:colOff>
          <xdr:row>50</xdr:row>
          <xdr:rowOff>0</xdr:rowOff>
        </xdr:to>
        <xdr:sp macro="" textlink="">
          <xdr:nvSpPr>
            <xdr:cNvPr id="99369" name="Drop Down 41" hidden="1">
              <a:extLst>
                <a:ext uri="{63B3BB69-23CF-44E3-9099-C40C66FF867C}">
                  <a14:compatExt spid="_x0000_s99369"/>
                </a:ext>
                <a:ext uri="{FF2B5EF4-FFF2-40B4-BE49-F238E27FC236}">
                  <a16:creationId xmlns:a16="http://schemas.microsoft.com/office/drawing/2014/main" id="{00000000-0008-0000-0300-000029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50</xdr:row>
          <xdr:rowOff>19050</xdr:rowOff>
        </xdr:from>
        <xdr:to>
          <xdr:col>13</xdr:col>
          <xdr:colOff>457200</xdr:colOff>
          <xdr:row>51</xdr:row>
          <xdr:rowOff>0</xdr:rowOff>
        </xdr:to>
        <xdr:sp macro="" textlink="">
          <xdr:nvSpPr>
            <xdr:cNvPr id="99370" name="Drop Down 42" hidden="1">
              <a:extLst>
                <a:ext uri="{63B3BB69-23CF-44E3-9099-C40C66FF867C}">
                  <a14:compatExt spid="_x0000_s99370"/>
                </a:ext>
                <a:ext uri="{FF2B5EF4-FFF2-40B4-BE49-F238E27FC236}">
                  <a16:creationId xmlns:a16="http://schemas.microsoft.com/office/drawing/2014/main" id="{00000000-0008-0000-0300-00002A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51</xdr:row>
          <xdr:rowOff>19050</xdr:rowOff>
        </xdr:from>
        <xdr:to>
          <xdr:col>13</xdr:col>
          <xdr:colOff>457200</xdr:colOff>
          <xdr:row>52</xdr:row>
          <xdr:rowOff>0</xdr:rowOff>
        </xdr:to>
        <xdr:sp macro="" textlink="">
          <xdr:nvSpPr>
            <xdr:cNvPr id="99371" name="Drop Down 43" hidden="1">
              <a:extLst>
                <a:ext uri="{63B3BB69-23CF-44E3-9099-C40C66FF867C}">
                  <a14:compatExt spid="_x0000_s99371"/>
                </a:ext>
                <a:ext uri="{FF2B5EF4-FFF2-40B4-BE49-F238E27FC236}">
                  <a16:creationId xmlns:a16="http://schemas.microsoft.com/office/drawing/2014/main" id="{00000000-0008-0000-0300-00002B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52</xdr:row>
          <xdr:rowOff>19050</xdr:rowOff>
        </xdr:from>
        <xdr:to>
          <xdr:col>13</xdr:col>
          <xdr:colOff>457200</xdr:colOff>
          <xdr:row>53</xdr:row>
          <xdr:rowOff>0</xdr:rowOff>
        </xdr:to>
        <xdr:sp macro="" textlink="">
          <xdr:nvSpPr>
            <xdr:cNvPr id="99372" name="Drop Down 44" hidden="1">
              <a:extLst>
                <a:ext uri="{63B3BB69-23CF-44E3-9099-C40C66FF867C}">
                  <a14:compatExt spid="_x0000_s99372"/>
                </a:ext>
                <a:ext uri="{FF2B5EF4-FFF2-40B4-BE49-F238E27FC236}">
                  <a16:creationId xmlns:a16="http://schemas.microsoft.com/office/drawing/2014/main" id="{00000000-0008-0000-0300-00002C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53</xdr:row>
          <xdr:rowOff>19050</xdr:rowOff>
        </xdr:from>
        <xdr:to>
          <xdr:col>13</xdr:col>
          <xdr:colOff>457200</xdr:colOff>
          <xdr:row>54</xdr:row>
          <xdr:rowOff>0</xdr:rowOff>
        </xdr:to>
        <xdr:sp macro="" textlink="">
          <xdr:nvSpPr>
            <xdr:cNvPr id="99373" name="Drop Down 45" hidden="1">
              <a:extLst>
                <a:ext uri="{63B3BB69-23CF-44E3-9099-C40C66FF867C}">
                  <a14:compatExt spid="_x0000_s99373"/>
                </a:ext>
                <a:ext uri="{FF2B5EF4-FFF2-40B4-BE49-F238E27FC236}">
                  <a16:creationId xmlns:a16="http://schemas.microsoft.com/office/drawing/2014/main" id="{00000000-0008-0000-0300-00002D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54</xdr:row>
          <xdr:rowOff>19050</xdr:rowOff>
        </xdr:from>
        <xdr:to>
          <xdr:col>13</xdr:col>
          <xdr:colOff>457200</xdr:colOff>
          <xdr:row>55</xdr:row>
          <xdr:rowOff>0</xdr:rowOff>
        </xdr:to>
        <xdr:sp macro="" textlink="">
          <xdr:nvSpPr>
            <xdr:cNvPr id="99374" name="Drop Down 46" hidden="1">
              <a:extLst>
                <a:ext uri="{63B3BB69-23CF-44E3-9099-C40C66FF867C}">
                  <a14:compatExt spid="_x0000_s99374"/>
                </a:ext>
                <a:ext uri="{FF2B5EF4-FFF2-40B4-BE49-F238E27FC236}">
                  <a16:creationId xmlns:a16="http://schemas.microsoft.com/office/drawing/2014/main" id="{00000000-0008-0000-0300-00002E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55</xdr:row>
          <xdr:rowOff>19050</xdr:rowOff>
        </xdr:from>
        <xdr:to>
          <xdr:col>13</xdr:col>
          <xdr:colOff>457200</xdr:colOff>
          <xdr:row>56</xdr:row>
          <xdr:rowOff>0</xdr:rowOff>
        </xdr:to>
        <xdr:sp macro="" textlink="">
          <xdr:nvSpPr>
            <xdr:cNvPr id="99375" name="Drop Down 47" hidden="1">
              <a:extLst>
                <a:ext uri="{63B3BB69-23CF-44E3-9099-C40C66FF867C}">
                  <a14:compatExt spid="_x0000_s99375"/>
                </a:ext>
                <a:ext uri="{FF2B5EF4-FFF2-40B4-BE49-F238E27FC236}">
                  <a16:creationId xmlns:a16="http://schemas.microsoft.com/office/drawing/2014/main" id="{00000000-0008-0000-0300-00002F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56</xdr:row>
          <xdr:rowOff>19050</xdr:rowOff>
        </xdr:from>
        <xdr:to>
          <xdr:col>13</xdr:col>
          <xdr:colOff>457200</xdr:colOff>
          <xdr:row>57</xdr:row>
          <xdr:rowOff>0</xdr:rowOff>
        </xdr:to>
        <xdr:sp macro="" textlink="">
          <xdr:nvSpPr>
            <xdr:cNvPr id="99376" name="Drop Down 48" hidden="1">
              <a:extLst>
                <a:ext uri="{63B3BB69-23CF-44E3-9099-C40C66FF867C}">
                  <a14:compatExt spid="_x0000_s99376"/>
                </a:ext>
                <a:ext uri="{FF2B5EF4-FFF2-40B4-BE49-F238E27FC236}">
                  <a16:creationId xmlns:a16="http://schemas.microsoft.com/office/drawing/2014/main" id="{00000000-0008-0000-0300-000030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57</xdr:row>
          <xdr:rowOff>19050</xdr:rowOff>
        </xdr:from>
        <xdr:to>
          <xdr:col>13</xdr:col>
          <xdr:colOff>457200</xdr:colOff>
          <xdr:row>58</xdr:row>
          <xdr:rowOff>0</xdr:rowOff>
        </xdr:to>
        <xdr:sp macro="" textlink="">
          <xdr:nvSpPr>
            <xdr:cNvPr id="99377" name="Drop Down 49" hidden="1">
              <a:extLst>
                <a:ext uri="{63B3BB69-23CF-44E3-9099-C40C66FF867C}">
                  <a14:compatExt spid="_x0000_s99377"/>
                </a:ext>
                <a:ext uri="{FF2B5EF4-FFF2-40B4-BE49-F238E27FC236}">
                  <a16:creationId xmlns:a16="http://schemas.microsoft.com/office/drawing/2014/main" id="{00000000-0008-0000-0300-00003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58</xdr:row>
          <xdr:rowOff>19050</xdr:rowOff>
        </xdr:from>
        <xdr:to>
          <xdr:col>13</xdr:col>
          <xdr:colOff>457200</xdr:colOff>
          <xdr:row>59</xdr:row>
          <xdr:rowOff>0</xdr:rowOff>
        </xdr:to>
        <xdr:sp macro="" textlink="">
          <xdr:nvSpPr>
            <xdr:cNvPr id="99378" name="Drop Down 50" hidden="1">
              <a:extLst>
                <a:ext uri="{63B3BB69-23CF-44E3-9099-C40C66FF867C}">
                  <a14:compatExt spid="_x0000_s99378"/>
                </a:ext>
                <a:ext uri="{FF2B5EF4-FFF2-40B4-BE49-F238E27FC236}">
                  <a16:creationId xmlns:a16="http://schemas.microsoft.com/office/drawing/2014/main" id="{00000000-0008-0000-0300-000032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59</xdr:row>
          <xdr:rowOff>19050</xdr:rowOff>
        </xdr:from>
        <xdr:to>
          <xdr:col>13</xdr:col>
          <xdr:colOff>457200</xdr:colOff>
          <xdr:row>60</xdr:row>
          <xdr:rowOff>0</xdr:rowOff>
        </xdr:to>
        <xdr:sp macro="" textlink="">
          <xdr:nvSpPr>
            <xdr:cNvPr id="99379" name="Drop Down 51" hidden="1">
              <a:extLst>
                <a:ext uri="{63B3BB69-23CF-44E3-9099-C40C66FF867C}">
                  <a14:compatExt spid="_x0000_s99379"/>
                </a:ext>
                <a:ext uri="{FF2B5EF4-FFF2-40B4-BE49-F238E27FC236}">
                  <a16:creationId xmlns:a16="http://schemas.microsoft.com/office/drawing/2014/main" id="{00000000-0008-0000-0300-000033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60</xdr:row>
          <xdr:rowOff>19050</xdr:rowOff>
        </xdr:from>
        <xdr:to>
          <xdr:col>13</xdr:col>
          <xdr:colOff>457200</xdr:colOff>
          <xdr:row>61</xdr:row>
          <xdr:rowOff>0</xdr:rowOff>
        </xdr:to>
        <xdr:sp macro="" textlink="">
          <xdr:nvSpPr>
            <xdr:cNvPr id="99380" name="Drop Down 52" hidden="1">
              <a:extLst>
                <a:ext uri="{63B3BB69-23CF-44E3-9099-C40C66FF867C}">
                  <a14:compatExt spid="_x0000_s99380"/>
                </a:ext>
                <a:ext uri="{FF2B5EF4-FFF2-40B4-BE49-F238E27FC236}">
                  <a16:creationId xmlns:a16="http://schemas.microsoft.com/office/drawing/2014/main" id="{00000000-0008-0000-0300-000034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61</xdr:row>
          <xdr:rowOff>19050</xdr:rowOff>
        </xdr:from>
        <xdr:to>
          <xdr:col>13</xdr:col>
          <xdr:colOff>457200</xdr:colOff>
          <xdr:row>62</xdr:row>
          <xdr:rowOff>0</xdr:rowOff>
        </xdr:to>
        <xdr:sp macro="" textlink="">
          <xdr:nvSpPr>
            <xdr:cNvPr id="99381" name="Drop Down 53" hidden="1">
              <a:extLst>
                <a:ext uri="{63B3BB69-23CF-44E3-9099-C40C66FF867C}">
                  <a14:compatExt spid="_x0000_s99381"/>
                </a:ext>
                <a:ext uri="{FF2B5EF4-FFF2-40B4-BE49-F238E27FC236}">
                  <a16:creationId xmlns:a16="http://schemas.microsoft.com/office/drawing/2014/main" id="{00000000-0008-0000-0300-000035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62</xdr:row>
          <xdr:rowOff>19050</xdr:rowOff>
        </xdr:from>
        <xdr:to>
          <xdr:col>13</xdr:col>
          <xdr:colOff>457200</xdr:colOff>
          <xdr:row>63</xdr:row>
          <xdr:rowOff>0</xdr:rowOff>
        </xdr:to>
        <xdr:sp macro="" textlink="">
          <xdr:nvSpPr>
            <xdr:cNvPr id="99382" name="Drop Down 54" hidden="1">
              <a:extLst>
                <a:ext uri="{63B3BB69-23CF-44E3-9099-C40C66FF867C}">
                  <a14:compatExt spid="_x0000_s99382"/>
                </a:ext>
                <a:ext uri="{FF2B5EF4-FFF2-40B4-BE49-F238E27FC236}">
                  <a16:creationId xmlns:a16="http://schemas.microsoft.com/office/drawing/2014/main" id="{00000000-0008-0000-0300-000036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63</xdr:row>
          <xdr:rowOff>19050</xdr:rowOff>
        </xdr:from>
        <xdr:to>
          <xdr:col>13</xdr:col>
          <xdr:colOff>457200</xdr:colOff>
          <xdr:row>64</xdr:row>
          <xdr:rowOff>0</xdr:rowOff>
        </xdr:to>
        <xdr:sp macro="" textlink="">
          <xdr:nvSpPr>
            <xdr:cNvPr id="99383" name="Drop Down 55" hidden="1">
              <a:extLst>
                <a:ext uri="{63B3BB69-23CF-44E3-9099-C40C66FF867C}">
                  <a14:compatExt spid="_x0000_s99383"/>
                </a:ext>
                <a:ext uri="{FF2B5EF4-FFF2-40B4-BE49-F238E27FC236}">
                  <a16:creationId xmlns:a16="http://schemas.microsoft.com/office/drawing/2014/main" id="{00000000-0008-0000-0300-000037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64</xdr:row>
          <xdr:rowOff>19050</xdr:rowOff>
        </xdr:from>
        <xdr:to>
          <xdr:col>13</xdr:col>
          <xdr:colOff>457200</xdr:colOff>
          <xdr:row>65</xdr:row>
          <xdr:rowOff>0</xdr:rowOff>
        </xdr:to>
        <xdr:sp macro="" textlink="">
          <xdr:nvSpPr>
            <xdr:cNvPr id="99384" name="Drop Down 56" hidden="1">
              <a:extLst>
                <a:ext uri="{63B3BB69-23CF-44E3-9099-C40C66FF867C}">
                  <a14:compatExt spid="_x0000_s99384"/>
                </a:ext>
                <a:ext uri="{FF2B5EF4-FFF2-40B4-BE49-F238E27FC236}">
                  <a16:creationId xmlns:a16="http://schemas.microsoft.com/office/drawing/2014/main" id="{00000000-0008-0000-0300-000038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65</xdr:row>
          <xdr:rowOff>19050</xdr:rowOff>
        </xdr:from>
        <xdr:to>
          <xdr:col>13</xdr:col>
          <xdr:colOff>457200</xdr:colOff>
          <xdr:row>66</xdr:row>
          <xdr:rowOff>0</xdr:rowOff>
        </xdr:to>
        <xdr:sp macro="" textlink="">
          <xdr:nvSpPr>
            <xdr:cNvPr id="99385" name="Drop Down 57" hidden="1">
              <a:extLst>
                <a:ext uri="{63B3BB69-23CF-44E3-9099-C40C66FF867C}">
                  <a14:compatExt spid="_x0000_s99385"/>
                </a:ext>
                <a:ext uri="{FF2B5EF4-FFF2-40B4-BE49-F238E27FC236}">
                  <a16:creationId xmlns:a16="http://schemas.microsoft.com/office/drawing/2014/main" id="{00000000-0008-0000-0300-000039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111</xdr:row>
          <xdr:rowOff>0</xdr:rowOff>
        </xdr:from>
        <xdr:to>
          <xdr:col>8</xdr:col>
          <xdr:colOff>336550</xdr:colOff>
          <xdr:row>112</xdr:row>
          <xdr:rowOff>0</xdr:rowOff>
        </xdr:to>
        <xdr:sp macro="" textlink="">
          <xdr:nvSpPr>
            <xdr:cNvPr id="99386" name="Drop Down 58" hidden="1">
              <a:extLst>
                <a:ext uri="{63B3BB69-23CF-44E3-9099-C40C66FF867C}">
                  <a14:compatExt spid="_x0000_s99386"/>
                </a:ext>
                <a:ext uri="{FF2B5EF4-FFF2-40B4-BE49-F238E27FC236}">
                  <a16:creationId xmlns:a16="http://schemas.microsoft.com/office/drawing/2014/main" id="{00000000-0008-0000-0300-00003A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112</xdr:row>
          <xdr:rowOff>0</xdr:rowOff>
        </xdr:from>
        <xdr:to>
          <xdr:col>8</xdr:col>
          <xdr:colOff>336550</xdr:colOff>
          <xdr:row>112</xdr:row>
          <xdr:rowOff>203200</xdr:rowOff>
        </xdr:to>
        <xdr:sp macro="" textlink="">
          <xdr:nvSpPr>
            <xdr:cNvPr id="99387" name="Drop Down 59" hidden="1">
              <a:extLst>
                <a:ext uri="{63B3BB69-23CF-44E3-9099-C40C66FF867C}">
                  <a14:compatExt spid="_x0000_s99387"/>
                </a:ext>
                <a:ext uri="{FF2B5EF4-FFF2-40B4-BE49-F238E27FC236}">
                  <a16:creationId xmlns:a16="http://schemas.microsoft.com/office/drawing/2014/main" id="{00000000-0008-0000-0300-00003B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113</xdr:row>
          <xdr:rowOff>0</xdr:rowOff>
        </xdr:from>
        <xdr:to>
          <xdr:col>8</xdr:col>
          <xdr:colOff>336550</xdr:colOff>
          <xdr:row>114</xdr:row>
          <xdr:rowOff>0</xdr:rowOff>
        </xdr:to>
        <xdr:sp macro="" textlink="">
          <xdr:nvSpPr>
            <xdr:cNvPr id="99388" name="Drop Down 60" hidden="1">
              <a:extLst>
                <a:ext uri="{63B3BB69-23CF-44E3-9099-C40C66FF867C}">
                  <a14:compatExt spid="_x0000_s99388"/>
                </a:ext>
                <a:ext uri="{FF2B5EF4-FFF2-40B4-BE49-F238E27FC236}">
                  <a16:creationId xmlns:a16="http://schemas.microsoft.com/office/drawing/2014/main" id="{00000000-0008-0000-0300-00003C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114</xdr:row>
          <xdr:rowOff>0</xdr:rowOff>
        </xdr:from>
        <xdr:to>
          <xdr:col>8</xdr:col>
          <xdr:colOff>336550</xdr:colOff>
          <xdr:row>114</xdr:row>
          <xdr:rowOff>203200</xdr:rowOff>
        </xdr:to>
        <xdr:sp macro="" textlink="">
          <xdr:nvSpPr>
            <xdr:cNvPr id="99389" name="Drop Down 61" hidden="1">
              <a:extLst>
                <a:ext uri="{63B3BB69-23CF-44E3-9099-C40C66FF867C}">
                  <a14:compatExt spid="_x0000_s99389"/>
                </a:ext>
                <a:ext uri="{FF2B5EF4-FFF2-40B4-BE49-F238E27FC236}">
                  <a16:creationId xmlns:a16="http://schemas.microsoft.com/office/drawing/2014/main" id="{00000000-0008-0000-0300-00003D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115</xdr:row>
          <xdr:rowOff>0</xdr:rowOff>
        </xdr:from>
        <xdr:to>
          <xdr:col>8</xdr:col>
          <xdr:colOff>336550</xdr:colOff>
          <xdr:row>115</xdr:row>
          <xdr:rowOff>203200</xdr:rowOff>
        </xdr:to>
        <xdr:sp macro="" textlink="">
          <xdr:nvSpPr>
            <xdr:cNvPr id="99390" name="Drop Down 62" hidden="1">
              <a:extLst>
                <a:ext uri="{63B3BB69-23CF-44E3-9099-C40C66FF867C}">
                  <a14:compatExt spid="_x0000_s99390"/>
                </a:ext>
                <a:ext uri="{FF2B5EF4-FFF2-40B4-BE49-F238E27FC236}">
                  <a16:creationId xmlns:a16="http://schemas.microsoft.com/office/drawing/2014/main" id="{00000000-0008-0000-0300-00003E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116</xdr:row>
          <xdr:rowOff>0</xdr:rowOff>
        </xdr:from>
        <xdr:to>
          <xdr:col>8</xdr:col>
          <xdr:colOff>336550</xdr:colOff>
          <xdr:row>116</xdr:row>
          <xdr:rowOff>203200</xdr:rowOff>
        </xdr:to>
        <xdr:sp macro="" textlink="">
          <xdr:nvSpPr>
            <xdr:cNvPr id="99391" name="Drop Down 63" hidden="1">
              <a:extLst>
                <a:ext uri="{63B3BB69-23CF-44E3-9099-C40C66FF867C}">
                  <a14:compatExt spid="_x0000_s99391"/>
                </a:ext>
                <a:ext uri="{FF2B5EF4-FFF2-40B4-BE49-F238E27FC236}">
                  <a16:creationId xmlns:a16="http://schemas.microsoft.com/office/drawing/2014/main" id="{00000000-0008-0000-0300-00003F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117</xdr:row>
          <xdr:rowOff>0</xdr:rowOff>
        </xdr:from>
        <xdr:to>
          <xdr:col>8</xdr:col>
          <xdr:colOff>336550</xdr:colOff>
          <xdr:row>117</xdr:row>
          <xdr:rowOff>203200</xdr:rowOff>
        </xdr:to>
        <xdr:sp macro="" textlink="">
          <xdr:nvSpPr>
            <xdr:cNvPr id="99392" name="Drop Down 64" hidden="1">
              <a:extLst>
                <a:ext uri="{63B3BB69-23CF-44E3-9099-C40C66FF867C}">
                  <a14:compatExt spid="_x0000_s99392"/>
                </a:ext>
                <a:ext uri="{FF2B5EF4-FFF2-40B4-BE49-F238E27FC236}">
                  <a16:creationId xmlns:a16="http://schemas.microsoft.com/office/drawing/2014/main" id="{00000000-0008-0000-0300-000040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118</xdr:row>
          <xdr:rowOff>0</xdr:rowOff>
        </xdr:from>
        <xdr:to>
          <xdr:col>8</xdr:col>
          <xdr:colOff>336550</xdr:colOff>
          <xdr:row>118</xdr:row>
          <xdr:rowOff>203200</xdr:rowOff>
        </xdr:to>
        <xdr:sp macro="" textlink="">
          <xdr:nvSpPr>
            <xdr:cNvPr id="99393" name="Drop Down 65" hidden="1">
              <a:extLst>
                <a:ext uri="{63B3BB69-23CF-44E3-9099-C40C66FF867C}">
                  <a14:compatExt spid="_x0000_s99393"/>
                </a:ext>
                <a:ext uri="{FF2B5EF4-FFF2-40B4-BE49-F238E27FC236}">
                  <a16:creationId xmlns:a16="http://schemas.microsoft.com/office/drawing/2014/main" id="{00000000-0008-0000-0300-00004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119</xdr:row>
          <xdr:rowOff>0</xdr:rowOff>
        </xdr:from>
        <xdr:to>
          <xdr:col>8</xdr:col>
          <xdr:colOff>336550</xdr:colOff>
          <xdr:row>119</xdr:row>
          <xdr:rowOff>203200</xdr:rowOff>
        </xdr:to>
        <xdr:sp macro="" textlink="">
          <xdr:nvSpPr>
            <xdr:cNvPr id="99394" name="Drop Down 66" hidden="1">
              <a:extLst>
                <a:ext uri="{63B3BB69-23CF-44E3-9099-C40C66FF867C}">
                  <a14:compatExt spid="_x0000_s99394"/>
                </a:ext>
                <a:ext uri="{FF2B5EF4-FFF2-40B4-BE49-F238E27FC236}">
                  <a16:creationId xmlns:a16="http://schemas.microsoft.com/office/drawing/2014/main" id="{00000000-0008-0000-0300-000042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120</xdr:row>
          <xdr:rowOff>0</xdr:rowOff>
        </xdr:from>
        <xdr:to>
          <xdr:col>8</xdr:col>
          <xdr:colOff>336550</xdr:colOff>
          <xdr:row>120</xdr:row>
          <xdr:rowOff>203200</xdr:rowOff>
        </xdr:to>
        <xdr:sp macro="" textlink="">
          <xdr:nvSpPr>
            <xdr:cNvPr id="99395" name="Drop Down 67" hidden="1">
              <a:extLst>
                <a:ext uri="{63B3BB69-23CF-44E3-9099-C40C66FF867C}">
                  <a14:compatExt spid="_x0000_s99395"/>
                </a:ext>
                <a:ext uri="{FF2B5EF4-FFF2-40B4-BE49-F238E27FC236}">
                  <a16:creationId xmlns:a16="http://schemas.microsoft.com/office/drawing/2014/main" id="{00000000-0008-0000-0300-000043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121</xdr:row>
          <xdr:rowOff>0</xdr:rowOff>
        </xdr:from>
        <xdr:to>
          <xdr:col>8</xdr:col>
          <xdr:colOff>336550</xdr:colOff>
          <xdr:row>121</xdr:row>
          <xdr:rowOff>203200</xdr:rowOff>
        </xdr:to>
        <xdr:sp macro="" textlink="">
          <xdr:nvSpPr>
            <xdr:cNvPr id="99396" name="Drop Down 68" hidden="1">
              <a:extLst>
                <a:ext uri="{63B3BB69-23CF-44E3-9099-C40C66FF867C}">
                  <a14:compatExt spid="_x0000_s99396"/>
                </a:ext>
                <a:ext uri="{FF2B5EF4-FFF2-40B4-BE49-F238E27FC236}">
                  <a16:creationId xmlns:a16="http://schemas.microsoft.com/office/drawing/2014/main" id="{00000000-0008-0000-0300-000044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122</xdr:row>
          <xdr:rowOff>0</xdr:rowOff>
        </xdr:from>
        <xdr:to>
          <xdr:col>8</xdr:col>
          <xdr:colOff>336550</xdr:colOff>
          <xdr:row>122</xdr:row>
          <xdr:rowOff>203200</xdr:rowOff>
        </xdr:to>
        <xdr:sp macro="" textlink="">
          <xdr:nvSpPr>
            <xdr:cNvPr id="99397" name="Drop Down 69" hidden="1">
              <a:extLst>
                <a:ext uri="{63B3BB69-23CF-44E3-9099-C40C66FF867C}">
                  <a14:compatExt spid="_x0000_s99397"/>
                </a:ext>
                <a:ext uri="{FF2B5EF4-FFF2-40B4-BE49-F238E27FC236}">
                  <a16:creationId xmlns:a16="http://schemas.microsoft.com/office/drawing/2014/main" id="{00000000-0008-0000-0300-000045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123</xdr:row>
          <xdr:rowOff>0</xdr:rowOff>
        </xdr:from>
        <xdr:to>
          <xdr:col>8</xdr:col>
          <xdr:colOff>336550</xdr:colOff>
          <xdr:row>123</xdr:row>
          <xdr:rowOff>203200</xdr:rowOff>
        </xdr:to>
        <xdr:sp macro="" textlink="">
          <xdr:nvSpPr>
            <xdr:cNvPr id="99398" name="Drop Down 70" hidden="1">
              <a:extLst>
                <a:ext uri="{63B3BB69-23CF-44E3-9099-C40C66FF867C}">
                  <a14:compatExt spid="_x0000_s99398"/>
                </a:ext>
                <a:ext uri="{FF2B5EF4-FFF2-40B4-BE49-F238E27FC236}">
                  <a16:creationId xmlns:a16="http://schemas.microsoft.com/office/drawing/2014/main" id="{00000000-0008-0000-0300-000046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124</xdr:row>
          <xdr:rowOff>0</xdr:rowOff>
        </xdr:from>
        <xdr:to>
          <xdr:col>8</xdr:col>
          <xdr:colOff>336550</xdr:colOff>
          <xdr:row>124</xdr:row>
          <xdr:rowOff>203200</xdr:rowOff>
        </xdr:to>
        <xdr:sp macro="" textlink="">
          <xdr:nvSpPr>
            <xdr:cNvPr id="99399" name="Drop Down 71" hidden="1">
              <a:extLst>
                <a:ext uri="{63B3BB69-23CF-44E3-9099-C40C66FF867C}">
                  <a14:compatExt spid="_x0000_s99399"/>
                </a:ext>
                <a:ext uri="{FF2B5EF4-FFF2-40B4-BE49-F238E27FC236}">
                  <a16:creationId xmlns:a16="http://schemas.microsoft.com/office/drawing/2014/main" id="{00000000-0008-0000-0300-000047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125</xdr:row>
          <xdr:rowOff>0</xdr:rowOff>
        </xdr:from>
        <xdr:to>
          <xdr:col>8</xdr:col>
          <xdr:colOff>336550</xdr:colOff>
          <xdr:row>125</xdr:row>
          <xdr:rowOff>203200</xdr:rowOff>
        </xdr:to>
        <xdr:sp macro="" textlink="">
          <xdr:nvSpPr>
            <xdr:cNvPr id="99400" name="Drop Down 72" hidden="1">
              <a:extLst>
                <a:ext uri="{63B3BB69-23CF-44E3-9099-C40C66FF867C}">
                  <a14:compatExt spid="_x0000_s99400"/>
                </a:ext>
                <a:ext uri="{FF2B5EF4-FFF2-40B4-BE49-F238E27FC236}">
                  <a16:creationId xmlns:a16="http://schemas.microsoft.com/office/drawing/2014/main" id="{00000000-0008-0000-0300-000048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126</xdr:row>
          <xdr:rowOff>0</xdr:rowOff>
        </xdr:from>
        <xdr:to>
          <xdr:col>8</xdr:col>
          <xdr:colOff>336550</xdr:colOff>
          <xdr:row>126</xdr:row>
          <xdr:rowOff>203200</xdr:rowOff>
        </xdr:to>
        <xdr:sp macro="" textlink="">
          <xdr:nvSpPr>
            <xdr:cNvPr id="99401" name="Drop Down 73" hidden="1">
              <a:extLst>
                <a:ext uri="{63B3BB69-23CF-44E3-9099-C40C66FF867C}">
                  <a14:compatExt spid="_x0000_s99401"/>
                </a:ext>
                <a:ext uri="{FF2B5EF4-FFF2-40B4-BE49-F238E27FC236}">
                  <a16:creationId xmlns:a16="http://schemas.microsoft.com/office/drawing/2014/main" id="{00000000-0008-0000-0300-000049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127</xdr:row>
          <xdr:rowOff>0</xdr:rowOff>
        </xdr:from>
        <xdr:to>
          <xdr:col>8</xdr:col>
          <xdr:colOff>336550</xdr:colOff>
          <xdr:row>127</xdr:row>
          <xdr:rowOff>203200</xdr:rowOff>
        </xdr:to>
        <xdr:sp macro="" textlink="">
          <xdr:nvSpPr>
            <xdr:cNvPr id="99402" name="Drop Down 74" hidden="1">
              <a:extLst>
                <a:ext uri="{63B3BB69-23CF-44E3-9099-C40C66FF867C}">
                  <a14:compatExt spid="_x0000_s99402"/>
                </a:ext>
                <a:ext uri="{FF2B5EF4-FFF2-40B4-BE49-F238E27FC236}">
                  <a16:creationId xmlns:a16="http://schemas.microsoft.com/office/drawing/2014/main" id="{00000000-0008-0000-0300-00004A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128</xdr:row>
          <xdr:rowOff>0</xdr:rowOff>
        </xdr:from>
        <xdr:to>
          <xdr:col>8</xdr:col>
          <xdr:colOff>336550</xdr:colOff>
          <xdr:row>128</xdr:row>
          <xdr:rowOff>203200</xdr:rowOff>
        </xdr:to>
        <xdr:sp macro="" textlink="">
          <xdr:nvSpPr>
            <xdr:cNvPr id="99403" name="Drop Down 75" hidden="1">
              <a:extLst>
                <a:ext uri="{63B3BB69-23CF-44E3-9099-C40C66FF867C}">
                  <a14:compatExt spid="_x0000_s99403"/>
                </a:ext>
                <a:ext uri="{FF2B5EF4-FFF2-40B4-BE49-F238E27FC236}">
                  <a16:creationId xmlns:a16="http://schemas.microsoft.com/office/drawing/2014/main" id="{00000000-0008-0000-0300-00004B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129</xdr:row>
          <xdr:rowOff>0</xdr:rowOff>
        </xdr:from>
        <xdr:to>
          <xdr:col>8</xdr:col>
          <xdr:colOff>336550</xdr:colOff>
          <xdr:row>129</xdr:row>
          <xdr:rowOff>203200</xdr:rowOff>
        </xdr:to>
        <xdr:sp macro="" textlink="">
          <xdr:nvSpPr>
            <xdr:cNvPr id="99404" name="Drop Down 76" hidden="1">
              <a:extLst>
                <a:ext uri="{63B3BB69-23CF-44E3-9099-C40C66FF867C}">
                  <a14:compatExt spid="_x0000_s99404"/>
                </a:ext>
                <a:ext uri="{FF2B5EF4-FFF2-40B4-BE49-F238E27FC236}">
                  <a16:creationId xmlns:a16="http://schemas.microsoft.com/office/drawing/2014/main" id="{00000000-0008-0000-0300-00004C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130</xdr:row>
          <xdr:rowOff>0</xdr:rowOff>
        </xdr:from>
        <xdr:to>
          <xdr:col>8</xdr:col>
          <xdr:colOff>336550</xdr:colOff>
          <xdr:row>130</xdr:row>
          <xdr:rowOff>203200</xdr:rowOff>
        </xdr:to>
        <xdr:sp macro="" textlink="">
          <xdr:nvSpPr>
            <xdr:cNvPr id="99405" name="Drop Down 77" hidden="1">
              <a:extLst>
                <a:ext uri="{63B3BB69-23CF-44E3-9099-C40C66FF867C}">
                  <a14:compatExt spid="_x0000_s99405"/>
                </a:ext>
                <a:ext uri="{FF2B5EF4-FFF2-40B4-BE49-F238E27FC236}">
                  <a16:creationId xmlns:a16="http://schemas.microsoft.com/office/drawing/2014/main" id="{00000000-0008-0000-0300-00004D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131</xdr:row>
          <xdr:rowOff>0</xdr:rowOff>
        </xdr:from>
        <xdr:to>
          <xdr:col>8</xdr:col>
          <xdr:colOff>336550</xdr:colOff>
          <xdr:row>131</xdr:row>
          <xdr:rowOff>203200</xdr:rowOff>
        </xdr:to>
        <xdr:sp macro="" textlink="">
          <xdr:nvSpPr>
            <xdr:cNvPr id="99406" name="Drop Down 78" hidden="1">
              <a:extLst>
                <a:ext uri="{63B3BB69-23CF-44E3-9099-C40C66FF867C}">
                  <a14:compatExt spid="_x0000_s99406"/>
                </a:ext>
                <a:ext uri="{FF2B5EF4-FFF2-40B4-BE49-F238E27FC236}">
                  <a16:creationId xmlns:a16="http://schemas.microsoft.com/office/drawing/2014/main" id="{00000000-0008-0000-0300-00004E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132</xdr:row>
          <xdr:rowOff>0</xdr:rowOff>
        </xdr:from>
        <xdr:to>
          <xdr:col>8</xdr:col>
          <xdr:colOff>336550</xdr:colOff>
          <xdr:row>132</xdr:row>
          <xdr:rowOff>203200</xdr:rowOff>
        </xdr:to>
        <xdr:sp macro="" textlink="">
          <xdr:nvSpPr>
            <xdr:cNvPr id="99407" name="Drop Down 79" hidden="1">
              <a:extLst>
                <a:ext uri="{63B3BB69-23CF-44E3-9099-C40C66FF867C}">
                  <a14:compatExt spid="_x0000_s99407"/>
                </a:ext>
                <a:ext uri="{FF2B5EF4-FFF2-40B4-BE49-F238E27FC236}">
                  <a16:creationId xmlns:a16="http://schemas.microsoft.com/office/drawing/2014/main" id="{00000000-0008-0000-0300-00004F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133</xdr:row>
          <xdr:rowOff>0</xdr:rowOff>
        </xdr:from>
        <xdr:to>
          <xdr:col>8</xdr:col>
          <xdr:colOff>336550</xdr:colOff>
          <xdr:row>133</xdr:row>
          <xdr:rowOff>203200</xdr:rowOff>
        </xdr:to>
        <xdr:sp macro="" textlink="">
          <xdr:nvSpPr>
            <xdr:cNvPr id="99408" name="Drop Down 80" hidden="1">
              <a:extLst>
                <a:ext uri="{63B3BB69-23CF-44E3-9099-C40C66FF867C}">
                  <a14:compatExt spid="_x0000_s99408"/>
                </a:ext>
                <a:ext uri="{FF2B5EF4-FFF2-40B4-BE49-F238E27FC236}">
                  <a16:creationId xmlns:a16="http://schemas.microsoft.com/office/drawing/2014/main" id="{00000000-0008-0000-0300-000050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134</xdr:row>
          <xdr:rowOff>0</xdr:rowOff>
        </xdr:from>
        <xdr:to>
          <xdr:col>8</xdr:col>
          <xdr:colOff>336550</xdr:colOff>
          <xdr:row>134</xdr:row>
          <xdr:rowOff>203200</xdr:rowOff>
        </xdr:to>
        <xdr:sp macro="" textlink="">
          <xdr:nvSpPr>
            <xdr:cNvPr id="99409" name="Drop Down 81" hidden="1">
              <a:extLst>
                <a:ext uri="{63B3BB69-23CF-44E3-9099-C40C66FF867C}">
                  <a14:compatExt spid="_x0000_s99409"/>
                </a:ext>
                <a:ext uri="{FF2B5EF4-FFF2-40B4-BE49-F238E27FC236}">
                  <a16:creationId xmlns:a16="http://schemas.microsoft.com/office/drawing/2014/main" id="{00000000-0008-0000-0300-00005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135</xdr:row>
          <xdr:rowOff>0</xdr:rowOff>
        </xdr:from>
        <xdr:to>
          <xdr:col>8</xdr:col>
          <xdr:colOff>336550</xdr:colOff>
          <xdr:row>135</xdr:row>
          <xdr:rowOff>203200</xdr:rowOff>
        </xdr:to>
        <xdr:sp macro="" textlink="">
          <xdr:nvSpPr>
            <xdr:cNvPr id="99410" name="Drop Down 82" hidden="1">
              <a:extLst>
                <a:ext uri="{63B3BB69-23CF-44E3-9099-C40C66FF867C}">
                  <a14:compatExt spid="_x0000_s99410"/>
                </a:ext>
                <a:ext uri="{FF2B5EF4-FFF2-40B4-BE49-F238E27FC236}">
                  <a16:creationId xmlns:a16="http://schemas.microsoft.com/office/drawing/2014/main" id="{00000000-0008-0000-0300-000052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136</xdr:row>
          <xdr:rowOff>0</xdr:rowOff>
        </xdr:from>
        <xdr:to>
          <xdr:col>8</xdr:col>
          <xdr:colOff>336550</xdr:colOff>
          <xdr:row>136</xdr:row>
          <xdr:rowOff>203200</xdr:rowOff>
        </xdr:to>
        <xdr:sp macro="" textlink="">
          <xdr:nvSpPr>
            <xdr:cNvPr id="99411" name="Drop Down 83" hidden="1">
              <a:extLst>
                <a:ext uri="{63B3BB69-23CF-44E3-9099-C40C66FF867C}">
                  <a14:compatExt spid="_x0000_s99411"/>
                </a:ext>
                <a:ext uri="{FF2B5EF4-FFF2-40B4-BE49-F238E27FC236}">
                  <a16:creationId xmlns:a16="http://schemas.microsoft.com/office/drawing/2014/main" id="{00000000-0008-0000-0300-000053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137</xdr:row>
          <xdr:rowOff>0</xdr:rowOff>
        </xdr:from>
        <xdr:to>
          <xdr:col>8</xdr:col>
          <xdr:colOff>336550</xdr:colOff>
          <xdr:row>137</xdr:row>
          <xdr:rowOff>203200</xdr:rowOff>
        </xdr:to>
        <xdr:sp macro="" textlink="">
          <xdr:nvSpPr>
            <xdr:cNvPr id="99412" name="Drop Down 84" hidden="1">
              <a:extLst>
                <a:ext uri="{63B3BB69-23CF-44E3-9099-C40C66FF867C}">
                  <a14:compatExt spid="_x0000_s99412"/>
                </a:ext>
                <a:ext uri="{FF2B5EF4-FFF2-40B4-BE49-F238E27FC236}">
                  <a16:creationId xmlns:a16="http://schemas.microsoft.com/office/drawing/2014/main" id="{00000000-0008-0000-0300-000054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138</xdr:row>
          <xdr:rowOff>0</xdr:rowOff>
        </xdr:from>
        <xdr:to>
          <xdr:col>8</xdr:col>
          <xdr:colOff>336550</xdr:colOff>
          <xdr:row>138</xdr:row>
          <xdr:rowOff>203200</xdr:rowOff>
        </xdr:to>
        <xdr:sp macro="" textlink="">
          <xdr:nvSpPr>
            <xdr:cNvPr id="99413" name="Drop Down 85" hidden="1">
              <a:extLst>
                <a:ext uri="{63B3BB69-23CF-44E3-9099-C40C66FF867C}">
                  <a14:compatExt spid="_x0000_s99413"/>
                </a:ext>
                <a:ext uri="{FF2B5EF4-FFF2-40B4-BE49-F238E27FC236}">
                  <a16:creationId xmlns:a16="http://schemas.microsoft.com/office/drawing/2014/main" id="{00000000-0008-0000-0300-000055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139</xdr:row>
          <xdr:rowOff>0</xdr:rowOff>
        </xdr:from>
        <xdr:to>
          <xdr:col>8</xdr:col>
          <xdr:colOff>336550</xdr:colOff>
          <xdr:row>139</xdr:row>
          <xdr:rowOff>203200</xdr:rowOff>
        </xdr:to>
        <xdr:sp macro="" textlink="">
          <xdr:nvSpPr>
            <xdr:cNvPr id="99414" name="Drop Down 86" hidden="1">
              <a:extLst>
                <a:ext uri="{63B3BB69-23CF-44E3-9099-C40C66FF867C}">
                  <a14:compatExt spid="_x0000_s99414"/>
                </a:ext>
                <a:ext uri="{FF2B5EF4-FFF2-40B4-BE49-F238E27FC236}">
                  <a16:creationId xmlns:a16="http://schemas.microsoft.com/office/drawing/2014/main" id="{00000000-0008-0000-0300-000056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96</xdr:row>
          <xdr:rowOff>146050</xdr:rowOff>
        </xdr:from>
        <xdr:to>
          <xdr:col>4</xdr:col>
          <xdr:colOff>76200</xdr:colOff>
          <xdr:row>98</xdr:row>
          <xdr:rowOff>0</xdr:rowOff>
        </xdr:to>
        <xdr:sp macro="" textlink="">
          <xdr:nvSpPr>
            <xdr:cNvPr id="99541" name="Option Button 213" hidden="1">
              <a:extLst>
                <a:ext uri="{63B3BB69-23CF-44E3-9099-C40C66FF867C}">
                  <a14:compatExt spid="_x0000_s99541"/>
                </a:ext>
                <a:ext uri="{FF2B5EF4-FFF2-40B4-BE49-F238E27FC236}">
                  <a16:creationId xmlns:a16="http://schemas.microsoft.com/office/drawing/2014/main" id="{00000000-0008-0000-0300-0000D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97</xdr:row>
          <xdr:rowOff>171450</xdr:rowOff>
        </xdr:from>
        <xdr:to>
          <xdr:col>4</xdr:col>
          <xdr:colOff>76200</xdr:colOff>
          <xdr:row>99</xdr:row>
          <xdr:rowOff>12700</xdr:rowOff>
        </xdr:to>
        <xdr:sp macro="" textlink="">
          <xdr:nvSpPr>
            <xdr:cNvPr id="99542" name="Option Button 214" hidden="1">
              <a:extLst>
                <a:ext uri="{63B3BB69-23CF-44E3-9099-C40C66FF867C}">
                  <a14:compatExt spid="_x0000_s99542"/>
                </a:ext>
                <a:ext uri="{FF2B5EF4-FFF2-40B4-BE49-F238E27FC236}">
                  <a16:creationId xmlns:a16="http://schemas.microsoft.com/office/drawing/2014/main" id="{00000000-0008-0000-0300-0000D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98</xdr:row>
          <xdr:rowOff>171450</xdr:rowOff>
        </xdr:from>
        <xdr:to>
          <xdr:col>4</xdr:col>
          <xdr:colOff>76200</xdr:colOff>
          <xdr:row>100</xdr:row>
          <xdr:rowOff>31750</xdr:rowOff>
        </xdr:to>
        <xdr:sp macro="" textlink="">
          <xdr:nvSpPr>
            <xdr:cNvPr id="99543" name="Option Button 215" hidden="1">
              <a:extLst>
                <a:ext uri="{63B3BB69-23CF-44E3-9099-C40C66FF867C}">
                  <a14:compatExt spid="_x0000_s99543"/>
                </a:ext>
                <a:ext uri="{FF2B5EF4-FFF2-40B4-BE49-F238E27FC236}">
                  <a16:creationId xmlns:a16="http://schemas.microsoft.com/office/drawing/2014/main" id="{00000000-0008-0000-0300-0000D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100</xdr:row>
          <xdr:rowOff>133350</xdr:rowOff>
        </xdr:from>
        <xdr:to>
          <xdr:col>4</xdr:col>
          <xdr:colOff>76200</xdr:colOff>
          <xdr:row>102</xdr:row>
          <xdr:rowOff>19050</xdr:rowOff>
        </xdr:to>
        <xdr:sp macro="" textlink="">
          <xdr:nvSpPr>
            <xdr:cNvPr id="99544" name="Option Button 216" hidden="1">
              <a:extLst>
                <a:ext uri="{63B3BB69-23CF-44E3-9099-C40C66FF867C}">
                  <a14:compatExt spid="_x0000_s99544"/>
                </a:ext>
                <a:ext uri="{FF2B5EF4-FFF2-40B4-BE49-F238E27FC236}">
                  <a16:creationId xmlns:a16="http://schemas.microsoft.com/office/drawing/2014/main" id="{00000000-0008-0000-0300-0000D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73</xdr:row>
          <xdr:rowOff>127000</xdr:rowOff>
        </xdr:from>
        <xdr:to>
          <xdr:col>3</xdr:col>
          <xdr:colOff>393700</xdr:colOff>
          <xdr:row>75</xdr:row>
          <xdr:rowOff>19050</xdr:rowOff>
        </xdr:to>
        <xdr:sp macro="" textlink="">
          <xdr:nvSpPr>
            <xdr:cNvPr id="99939" name="Option Button 611" hidden="1">
              <a:extLst>
                <a:ext uri="{63B3BB69-23CF-44E3-9099-C40C66FF867C}">
                  <a14:compatExt spid="_x0000_s99939"/>
                </a:ext>
                <a:ext uri="{FF2B5EF4-FFF2-40B4-BE49-F238E27FC236}">
                  <a16:creationId xmlns:a16="http://schemas.microsoft.com/office/drawing/2014/main" id="{00000000-0008-0000-0300-000063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276225</xdr:colOff>
      <xdr:row>60</xdr:row>
      <xdr:rowOff>0</xdr:rowOff>
    </xdr:from>
    <xdr:to>
      <xdr:col>6</xdr:col>
      <xdr:colOff>133350</xdr:colOff>
      <xdr:row>60</xdr:row>
      <xdr:rowOff>0</xdr:rowOff>
    </xdr:to>
    <xdr:sp macro="[0]!weiter" textlink="">
      <xdr:nvSpPr>
        <xdr:cNvPr id="3182" name="AutoShape 110">
          <a:extLst>
            <a:ext uri="{FF2B5EF4-FFF2-40B4-BE49-F238E27FC236}">
              <a16:creationId xmlns:a16="http://schemas.microsoft.com/office/drawing/2014/main" id="{00000000-0008-0000-0400-00006E0C0000}"/>
            </a:ext>
          </a:extLst>
        </xdr:cNvPr>
        <xdr:cNvSpPr>
          <a:spLocks noChangeArrowheads="1"/>
        </xdr:cNvSpPr>
      </xdr:nvSpPr>
      <xdr:spPr bwMode="auto">
        <a:xfrm>
          <a:off x="1933575" y="10553700"/>
          <a:ext cx="4295775" cy="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de-DE" sz="1100" b="1" i="1" u="none" strike="noStrike" baseline="0">
            <a:solidFill>
              <a:srgbClr val="FFFFFF"/>
            </a:solidFill>
            <a:latin typeface="Times New Roman"/>
            <a:cs typeface="Times New Roman"/>
          </a:endParaRPr>
        </a:p>
        <a:p>
          <a:pPr algn="l" rtl="0">
            <a:defRPr sz="1000"/>
          </a:pPr>
          <a:r>
            <a:rPr lang="de-DE" sz="1100" b="1" i="1" u="none" strike="noStrike" baseline="0">
              <a:solidFill>
                <a:srgbClr val="FFFFFF"/>
              </a:solidFill>
              <a:latin typeface="Times New Roman"/>
              <a:cs typeface="Times New Roman"/>
            </a:rPr>
            <a:t>    </a:t>
          </a:r>
          <a:r>
            <a:rPr lang="de-DE" sz="1400" b="1" i="1" u="none" strike="noStrike" baseline="0">
              <a:solidFill>
                <a:srgbClr val="FFFFFF"/>
              </a:solidFill>
              <a:latin typeface="Times New Roman"/>
              <a:cs typeface="Times New Roman"/>
            </a:rPr>
            <a:t>Ergebnisse und Druck</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12700</xdr:colOff>
          <xdr:row>6</xdr:row>
          <xdr:rowOff>19050</xdr:rowOff>
        </xdr:from>
        <xdr:to>
          <xdr:col>6</xdr:col>
          <xdr:colOff>990600</xdr:colOff>
          <xdr:row>7</xdr:row>
          <xdr:rowOff>19050</xdr:rowOff>
        </xdr:to>
        <xdr:sp macro="" textlink="">
          <xdr:nvSpPr>
            <xdr:cNvPr id="3206" name="Drop Down 134" hidden="1">
              <a:extLst>
                <a:ext uri="{63B3BB69-23CF-44E3-9099-C40C66FF867C}">
                  <a14:compatExt spid="_x0000_s3206"/>
                </a:ext>
                <a:ext uri="{FF2B5EF4-FFF2-40B4-BE49-F238E27FC236}">
                  <a16:creationId xmlns:a16="http://schemas.microsoft.com/office/drawing/2014/main" id="{00000000-0008-0000-0400-00008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31750</xdr:rowOff>
        </xdr:from>
        <xdr:to>
          <xdr:col>6</xdr:col>
          <xdr:colOff>990600</xdr:colOff>
          <xdr:row>10</xdr:row>
          <xdr:rowOff>57150</xdr:rowOff>
        </xdr:to>
        <xdr:sp macro="" textlink="">
          <xdr:nvSpPr>
            <xdr:cNvPr id="3207" name="Drop Down 135" hidden="1">
              <a:extLst>
                <a:ext uri="{63B3BB69-23CF-44E3-9099-C40C66FF867C}">
                  <a14:compatExt spid="_x0000_s3207"/>
                </a:ext>
                <a:ext uri="{FF2B5EF4-FFF2-40B4-BE49-F238E27FC236}">
                  <a16:creationId xmlns:a16="http://schemas.microsoft.com/office/drawing/2014/main" id="{00000000-0008-0000-0400-00008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12</xdr:row>
          <xdr:rowOff>0</xdr:rowOff>
        </xdr:from>
        <xdr:to>
          <xdr:col>6</xdr:col>
          <xdr:colOff>984250</xdr:colOff>
          <xdr:row>13</xdr:row>
          <xdr:rowOff>12700</xdr:rowOff>
        </xdr:to>
        <xdr:sp macro="" textlink="">
          <xdr:nvSpPr>
            <xdr:cNvPr id="3209" name="Drop Down 137" hidden="1">
              <a:extLst>
                <a:ext uri="{63B3BB69-23CF-44E3-9099-C40C66FF867C}">
                  <a14:compatExt spid="_x0000_s3209"/>
                </a:ext>
                <a:ext uri="{FF2B5EF4-FFF2-40B4-BE49-F238E27FC236}">
                  <a16:creationId xmlns:a16="http://schemas.microsoft.com/office/drawing/2014/main" id="{00000000-0008-0000-0400-00008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14</xdr:row>
          <xdr:rowOff>0</xdr:rowOff>
        </xdr:from>
        <xdr:to>
          <xdr:col>6</xdr:col>
          <xdr:colOff>984250</xdr:colOff>
          <xdr:row>15</xdr:row>
          <xdr:rowOff>19050</xdr:rowOff>
        </xdr:to>
        <xdr:sp macro="" textlink="">
          <xdr:nvSpPr>
            <xdr:cNvPr id="3211" name="Drop Down 139" hidden="1">
              <a:extLst>
                <a:ext uri="{63B3BB69-23CF-44E3-9099-C40C66FF867C}">
                  <a14:compatExt spid="_x0000_s3211"/>
                </a:ext>
                <a:ext uri="{FF2B5EF4-FFF2-40B4-BE49-F238E27FC236}">
                  <a16:creationId xmlns:a16="http://schemas.microsoft.com/office/drawing/2014/main" id="{00000000-0008-0000-0400-00008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0</xdr:rowOff>
        </xdr:from>
        <xdr:to>
          <xdr:col>5</xdr:col>
          <xdr:colOff>152400</xdr:colOff>
          <xdr:row>15</xdr:row>
          <xdr:rowOff>19050</xdr:rowOff>
        </xdr:to>
        <xdr:sp macro="" textlink="">
          <xdr:nvSpPr>
            <xdr:cNvPr id="3212" name="Drop Down 140" hidden="1">
              <a:extLst>
                <a:ext uri="{63B3BB69-23CF-44E3-9099-C40C66FF867C}">
                  <a14:compatExt spid="_x0000_s3212"/>
                </a:ext>
                <a:ext uri="{FF2B5EF4-FFF2-40B4-BE49-F238E27FC236}">
                  <a16:creationId xmlns:a16="http://schemas.microsoft.com/office/drawing/2014/main" id="{00000000-0008-0000-0400-00008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xdr:row>
          <xdr:rowOff>0</xdr:rowOff>
        </xdr:from>
        <xdr:to>
          <xdr:col>6</xdr:col>
          <xdr:colOff>984250</xdr:colOff>
          <xdr:row>17</xdr:row>
          <xdr:rowOff>19050</xdr:rowOff>
        </xdr:to>
        <xdr:sp macro="" textlink="">
          <xdr:nvSpPr>
            <xdr:cNvPr id="3213" name="Drop Down 141" hidden="1">
              <a:extLst>
                <a:ext uri="{63B3BB69-23CF-44E3-9099-C40C66FF867C}">
                  <a14:compatExt spid="_x0000_s3213"/>
                </a:ext>
                <a:ext uri="{FF2B5EF4-FFF2-40B4-BE49-F238E27FC236}">
                  <a16:creationId xmlns:a16="http://schemas.microsoft.com/office/drawing/2014/main" id="{00000000-0008-0000-0400-00008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19050</xdr:rowOff>
        </xdr:from>
        <xdr:to>
          <xdr:col>6</xdr:col>
          <xdr:colOff>1009650</xdr:colOff>
          <xdr:row>45</xdr:row>
          <xdr:rowOff>0</xdr:rowOff>
        </xdr:to>
        <xdr:sp macro="" textlink="">
          <xdr:nvSpPr>
            <xdr:cNvPr id="3217" name="Drop Down 145" hidden="1">
              <a:extLst>
                <a:ext uri="{63B3BB69-23CF-44E3-9099-C40C66FF867C}">
                  <a14:compatExt spid="_x0000_s3217"/>
                </a:ext>
                <a:ext uri="{FF2B5EF4-FFF2-40B4-BE49-F238E27FC236}">
                  <a16:creationId xmlns:a16="http://schemas.microsoft.com/office/drawing/2014/main" id="{00000000-0008-0000-0400-00009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12700</xdr:rowOff>
        </xdr:from>
        <xdr:to>
          <xdr:col>5</xdr:col>
          <xdr:colOff>203200</xdr:colOff>
          <xdr:row>42</xdr:row>
          <xdr:rowOff>69850</xdr:rowOff>
        </xdr:to>
        <xdr:sp macro="" textlink="">
          <xdr:nvSpPr>
            <xdr:cNvPr id="3218" name="Drop Down 146" hidden="1">
              <a:extLst>
                <a:ext uri="{63B3BB69-23CF-44E3-9099-C40C66FF867C}">
                  <a14:compatExt spid="_x0000_s3218"/>
                </a:ext>
                <a:ext uri="{FF2B5EF4-FFF2-40B4-BE49-F238E27FC236}">
                  <a16:creationId xmlns:a16="http://schemas.microsoft.com/office/drawing/2014/main" id="{00000000-0008-0000-0400-00009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12700</xdr:rowOff>
        </xdr:from>
        <xdr:to>
          <xdr:col>6</xdr:col>
          <xdr:colOff>1003300</xdr:colOff>
          <xdr:row>48</xdr:row>
          <xdr:rowOff>38100</xdr:rowOff>
        </xdr:to>
        <xdr:sp macro="" textlink="">
          <xdr:nvSpPr>
            <xdr:cNvPr id="3219" name="Drop Down 147" hidden="1">
              <a:extLst>
                <a:ext uri="{63B3BB69-23CF-44E3-9099-C40C66FF867C}">
                  <a14:compatExt spid="_x0000_s3219"/>
                </a:ext>
                <a:ext uri="{FF2B5EF4-FFF2-40B4-BE49-F238E27FC236}">
                  <a16:creationId xmlns:a16="http://schemas.microsoft.com/office/drawing/2014/main" id="{00000000-0008-0000-0400-00009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19050</xdr:rowOff>
        </xdr:from>
        <xdr:to>
          <xdr:col>6</xdr:col>
          <xdr:colOff>1003300</xdr:colOff>
          <xdr:row>51</xdr:row>
          <xdr:rowOff>38100</xdr:rowOff>
        </xdr:to>
        <xdr:sp macro="" textlink="">
          <xdr:nvSpPr>
            <xdr:cNvPr id="3220" name="Drop Down 148" hidden="1">
              <a:extLst>
                <a:ext uri="{63B3BB69-23CF-44E3-9099-C40C66FF867C}">
                  <a14:compatExt spid="_x0000_s3220"/>
                </a:ext>
                <a:ext uri="{FF2B5EF4-FFF2-40B4-BE49-F238E27FC236}">
                  <a16:creationId xmlns:a16="http://schemas.microsoft.com/office/drawing/2014/main" id="{00000000-0008-0000-0400-00009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19050</xdr:rowOff>
        </xdr:from>
        <xdr:to>
          <xdr:col>6</xdr:col>
          <xdr:colOff>1003300</xdr:colOff>
          <xdr:row>54</xdr:row>
          <xdr:rowOff>50800</xdr:rowOff>
        </xdr:to>
        <xdr:sp macro="" textlink="">
          <xdr:nvSpPr>
            <xdr:cNvPr id="3221" name="Drop Down 149" hidden="1">
              <a:extLst>
                <a:ext uri="{63B3BB69-23CF-44E3-9099-C40C66FF867C}">
                  <a14:compatExt spid="_x0000_s3221"/>
                </a:ext>
                <a:ext uri="{FF2B5EF4-FFF2-40B4-BE49-F238E27FC236}">
                  <a16:creationId xmlns:a16="http://schemas.microsoft.com/office/drawing/2014/main" id="{00000000-0008-0000-0400-00009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38100</xdr:rowOff>
        </xdr:from>
        <xdr:to>
          <xdr:col>5</xdr:col>
          <xdr:colOff>171450</xdr:colOff>
          <xdr:row>57</xdr:row>
          <xdr:rowOff>0</xdr:rowOff>
        </xdr:to>
        <xdr:sp macro="" textlink="">
          <xdr:nvSpPr>
            <xdr:cNvPr id="3222" name="Drop Down 150" hidden="1">
              <a:extLst>
                <a:ext uri="{63B3BB69-23CF-44E3-9099-C40C66FF867C}">
                  <a14:compatExt spid="_x0000_s3222"/>
                </a:ext>
                <a:ext uri="{FF2B5EF4-FFF2-40B4-BE49-F238E27FC236}">
                  <a16:creationId xmlns:a16="http://schemas.microsoft.com/office/drawing/2014/main" id="{00000000-0008-0000-0400-00009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58</xdr:row>
          <xdr:rowOff>19050</xdr:rowOff>
        </xdr:from>
        <xdr:to>
          <xdr:col>6</xdr:col>
          <xdr:colOff>1009650</xdr:colOff>
          <xdr:row>59</xdr:row>
          <xdr:rowOff>38100</xdr:rowOff>
        </xdr:to>
        <xdr:sp macro="" textlink="">
          <xdr:nvSpPr>
            <xdr:cNvPr id="3223" name="Drop Down 151" hidden="1">
              <a:extLst>
                <a:ext uri="{63B3BB69-23CF-44E3-9099-C40C66FF867C}">
                  <a14:compatExt spid="_x0000_s3223"/>
                </a:ext>
                <a:ext uri="{FF2B5EF4-FFF2-40B4-BE49-F238E27FC236}">
                  <a16:creationId xmlns:a16="http://schemas.microsoft.com/office/drawing/2014/main" id="{00000000-0008-0000-0400-00009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56</xdr:row>
          <xdr:rowOff>31750</xdr:rowOff>
        </xdr:from>
        <xdr:to>
          <xdr:col>6</xdr:col>
          <xdr:colOff>1009650</xdr:colOff>
          <xdr:row>56</xdr:row>
          <xdr:rowOff>228600</xdr:rowOff>
        </xdr:to>
        <xdr:sp macro="" textlink="">
          <xdr:nvSpPr>
            <xdr:cNvPr id="3224" name="Drop Down 152" hidden="1">
              <a:extLst>
                <a:ext uri="{63B3BB69-23CF-44E3-9099-C40C66FF867C}">
                  <a14:compatExt spid="_x0000_s3224"/>
                </a:ext>
                <a:ext uri="{FF2B5EF4-FFF2-40B4-BE49-F238E27FC236}">
                  <a16:creationId xmlns:a16="http://schemas.microsoft.com/office/drawing/2014/main" id="{00000000-0008-0000-0400-00009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19050</xdr:rowOff>
        </xdr:from>
        <xdr:to>
          <xdr:col>6</xdr:col>
          <xdr:colOff>1003300</xdr:colOff>
          <xdr:row>24</xdr:row>
          <xdr:rowOff>76200</xdr:rowOff>
        </xdr:to>
        <xdr:sp macro="" textlink="">
          <xdr:nvSpPr>
            <xdr:cNvPr id="3226" name="Drop Down 154" hidden="1">
              <a:extLst>
                <a:ext uri="{63B3BB69-23CF-44E3-9099-C40C66FF867C}">
                  <a14:compatExt spid="_x0000_s3226"/>
                </a:ext>
                <a:ext uri="{FF2B5EF4-FFF2-40B4-BE49-F238E27FC236}">
                  <a16:creationId xmlns:a16="http://schemas.microsoft.com/office/drawing/2014/main" id="{00000000-0008-0000-0400-00009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0</xdr:rowOff>
        </xdr:from>
        <xdr:to>
          <xdr:col>5</xdr:col>
          <xdr:colOff>146050</xdr:colOff>
          <xdr:row>28</xdr:row>
          <xdr:rowOff>19050</xdr:rowOff>
        </xdr:to>
        <xdr:sp macro="" textlink="">
          <xdr:nvSpPr>
            <xdr:cNvPr id="3227" name="Drop Down 155" hidden="1">
              <a:extLst>
                <a:ext uri="{63B3BB69-23CF-44E3-9099-C40C66FF867C}">
                  <a14:compatExt spid="_x0000_s3227"/>
                </a:ext>
                <a:ext uri="{FF2B5EF4-FFF2-40B4-BE49-F238E27FC236}">
                  <a16:creationId xmlns:a16="http://schemas.microsoft.com/office/drawing/2014/main" id="{00000000-0008-0000-0400-00009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0</xdr:rowOff>
        </xdr:from>
        <xdr:to>
          <xdr:col>6</xdr:col>
          <xdr:colOff>1003300</xdr:colOff>
          <xdr:row>28</xdr:row>
          <xdr:rowOff>19050</xdr:rowOff>
        </xdr:to>
        <xdr:sp macro="" textlink="">
          <xdr:nvSpPr>
            <xdr:cNvPr id="3228" name="Drop Down 156" hidden="1">
              <a:extLst>
                <a:ext uri="{63B3BB69-23CF-44E3-9099-C40C66FF867C}">
                  <a14:compatExt spid="_x0000_s3228"/>
                </a:ext>
                <a:ext uri="{FF2B5EF4-FFF2-40B4-BE49-F238E27FC236}">
                  <a16:creationId xmlns:a16="http://schemas.microsoft.com/office/drawing/2014/main" id="{00000000-0008-0000-0400-00009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31750</xdr:rowOff>
        </xdr:from>
        <xdr:to>
          <xdr:col>6</xdr:col>
          <xdr:colOff>1003300</xdr:colOff>
          <xdr:row>31</xdr:row>
          <xdr:rowOff>50800</xdr:rowOff>
        </xdr:to>
        <xdr:sp macro="" textlink="">
          <xdr:nvSpPr>
            <xdr:cNvPr id="3229" name="Drop Down 157" hidden="1">
              <a:extLst>
                <a:ext uri="{63B3BB69-23CF-44E3-9099-C40C66FF867C}">
                  <a14:compatExt spid="_x0000_s3229"/>
                </a:ext>
                <a:ext uri="{FF2B5EF4-FFF2-40B4-BE49-F238E27FC236}">
                  <a16:creationId xmlns:a16="http://schemas.microsoft.com/office/drawing/2014/main" id="{00000000-0008-0000-0400-00009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32</xdr:row>
          <xdr:rowOff>184150</xdr:rowOff>
        </xdr:from>
        <xdr:to>
          <xdr:col>6</xdr:col>
          <xdr:colOff>1003300</xdr:colOff>
          <xdr:row>34</xdr:row>
          <xdr:rowOff>0</xdr:rowOff>
        </xdr:to>
        <xdr:sp macro="" textlink="">
          <xdr:nvSpPr>
            <xdr:cNvPr id="3230" name="Drop Down 158" hidden="1">
              <a:extLst>
                <a:ext uri="{63B3BB69-23CF-44E3-9099-C40C66FF867C}">
                  <a14:compatExt spid="_x0000_s3230"/>
                </a:ext>
                <a:ext uri="{FF2B5EF4-FFF2-40B4-BE49-F238E27FC236}">
                  <a16:creationId xmlns:a16="http://schemas.microsoft.com/office/drawing/2014/main" id="{00000000-0008-0000-0400-00009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0</xdr:rowOff>
        </xdr:from>
        <xdr:to>
          <xdr:col>5</xdr:col>
          <xdr:colOff>190500</xdr:colOff>
          <xdr:row>36</xdr:row>
          <xdr:rowOff>19050</xdr:rowOff>
        </xdr:to>
        <xdr:sp macro="" textlink="">
          <xdr:nvSpPr>
            <xdr:cNvPr id="3231" name="Drop Down 159" hidden="1">
              <a:extLst>
                <a:ext uri="{63B3BB69-23CF-44E3-9099-C40C66FF867C}">
                  <a14:compatExt spid="_x0000_s3231"/>
                </a:ext>
                <a:ext uri="{FF2B5EF4-FFF2-40B4-BE49-F238E27FC236}">
                  <a16:creationId xmlns:a16="http://schemas.microsoft.com/office/drawing/2014/main" id="{00000000-0008-0000-0400-00009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35</xdr:row>
          <xdr:rowOff>0</xdr:rowOff>
        </xdr:from>
        <xdr:to>
          <xdr:col>6</xdr:col>
          <xdr:colOff>1003300</xdr:colOff>
          <xdr:row>36</xdr:row>
          <xdr:rowOff>19050</xdr:rowOff>
        </xdr:to>
        <xdr:sp macro="" textlink="">
          <xdr:nvSpPr>
            <xdr:cNvPr id="3232" name="Drop Down 160" hidden="1">
              <a:extLst>
                <a:ext uri="{63B3BB69-23CF-44E3-9099-C40C66FF867C}">
                  <a14:compatExt spid="_x0000_s3232"/>
                </a:ext>
                <a:ext uri="{FF2B5EF4-FFF2-40B4-BE49-F238E27FC236}">
                  <a16:creationId xmlns:a16="http://schemas.microsoft.com/office/drawing/2014/main" id="{00000000-0008-0000-0400-0000A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0</xdr:rowOff>
        </xdr:from>
        <xdr:to>
          <xdr:col>6</xdr:col>
          <xdr:colOff>990600</xdr:colOff>
          <xdr:row>38</xdr:row>
          <xdr:rowOff>19050</xdr:rowOff>
        </xdr:to>
        <xdr:sp macro="" textlink="">
          <xdr:nvSpPr>
            <xdr:cNvPr id="3234" name="Drop Down 162" hidden="1">
              <a:extLst>
                <a:ext uri="{63B3BB69-23CF-44E3-9099-C40C66FF867C}">
                  <a14:compatExt spid="_x0000_s3234"/>
                </a:ext>
                <a:ext uri="{FF2B5EF4-FFF2-40B4-BE49-F238E27FC236}">
                  <a16:creationId xmlns:a16="http://schemas.microsoft.com/office/drawing/2014/main" id="{00000000-0008-0000-0400-0000A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19050</xdr:rowOff>
        </xdr:from>
        <xdr:to>
          <xdr:col>6</xdr:col>
          <xdr:colOff>1003300</xdr:colOff>
          <xdr:row>21</xdr:row>
          <xdr:rowOff>12700</xdr:rowOff>
        </xdr:to>
        <xdr:sp macro="" textlink="">
          <xdr:nvSpPr>
            <xdr:cNvPr id="3236" name="Drop Down 164" hidden="1">
              <a:extLst>
                <a:ext uri="{63B3BB69-23CF-44E3-9099-C40C66FF867C}">
                  <a14:compatExt spid="_x0000_s3236"/>
                </a:ext>
                <a:ext uri="{FF2B5EF4-FFF2-40B4-BE49-F238E27FC236}">
                  <a16:creationId xmlns:a16="http://schemas.microsoft.com/office/drawing/2014/main" id="{00000000-0008-0000-0400-0000A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66675</xdr:colOff>
      <xdr:row>60</xdr:row>
      <xdr:rowOff>0</xdr:rowOff>
    </xdr:from>
    <xdr:to>
      <xdr:col>6</xdr:col>
      <xdr:colOff>390525</xdr:colOff>
      <xdr:row>60</xdr:row>
      <xdr:rowOff>0</xdr:rowOff>
    </xdr:to>
    <xdr:sp macro="" textlink="">
      <xdr:nvSpPr>
        <xdr:cNvPr id="3241" name="Text Box 169">
          <a:extLst>
            <a:ext uri="{FF2B5EF4-FFF2-40B4-BE49-F238E27FC236}">
              <a16:creationId xmlns:a16="http://schemas.microsoft.com/office/drawing/2014/main" id="{00000000-0008-0000-0400-0000A90C0000}"/>
            </a:ext>
          </a:extLst>
        </xdr:cNvPr>
        <xdr:cNvSpPr txBox="1">
          <a:spLocks noChangeArrowheads="1"/>
        </xdr:cNvSpPr>
      </xdr:nvSpPr>
      <xdr:spPr bwMode="auto">
        <a:xfrm>
          <a:off x="66675" y="10553700"/>
          <a:ext cx="6419850" cy="0"/>
        </a:xfrm>
        <a:prstGeom prst="rect">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de-DE" sz="1600" b="1" i="1" u="none" strike="noStrike" baseline="0">
              <a:solidFill>
                <a:srgbClr val="FFFFFF"/>
              </a:solidFill>
              <a:latin typeface="Times New Roman"/>
              <a:cs typeface="Times New Roman"/>
            </a:rPr>
            <a:t>ERGEBNISSE UND DRUCK</a:t>
          </a:r>
        </a:p>
      </xdr:txBody>
    </xdr:sp>
    <xdr:clientData fPrintsWithSheet="0"/>
  </xdr:twoCellAnchor>
  <mc:AlternateContent xmlns:mc="http://schemas.openxmlformats.org/markup-compatibility/2006">
    <mc:Choice xmlns:a14="http://schemas.microsoft.com/office/drawing/2010/main" Requires="a14">
      <xdr:twoCellAnchor editAs="oneCell">
        <xdr:from>
          <xdr:col>5</xdr:col>
          <xdr:colOff>342900</xdr:colOff>
          <xdr:row>41</xdr:row>
          <xdr:rowOff>12700</xdr:rowOff>
        </xdr:from>
        <xdr:to>
          <xdr:col>6</xdr:col>
          <xdr:colOff>1022350</xdr:colOff>
          <xdr:row>42</xdr:row>
          <xdr:rowOff>76200</xdr:rowOff>
        </xdr:to>
        <xdr:sp macro="" textlink="">
          <xdr:nvSpPr>
            <xdr:cNvPr id="3257" name="Drop Down 185" hidden="1">
              <a:extLst>
                <a:ext uri="{63B3BB69-23CF-44E3-9099-C40C66FF867C}">
                  <a14:compatExt spid="_x0000_s3257"/>
                </a:ext>
                <a:ext uri="{FF2B5EF4-FFF2-40B4-BE49-F238E27FC236}">
                  <a16:creationId xmlns:a16="http://schemas.microsoft.com/office/drawing/2014/main" id="{00000000-0008-0000-0400-0000B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65</xdr:row>
          <xdr:rowOff>12700</xdr:rowOff>
        </xdr:from>
        <xdr:to>
          <xdr:col>5</xdr:col>
          <xdr:colOff>133350</xdr:colOff>
          <xdr:row>66</xdr:row>
          <xdr:rowOff>12700</xdr:rowOff>
        </xdr:to>
        <xdr:sp macro="" textlink="">
          <xdr:nvSpPr>
            <xdr:cNvPr id="3258" name="Drop Down 186" hidden="1">
              <a:extLst>
                <a:ext uri="{63B3BB69-23CF-44E3-9099-C40C66FF867C}">
                  <a14:compatExt spid="_x0000_s3258"/>
                </a:ext>
                <a:ext uri="{FF2B5EF4-FFF2-40B4-BE49-F238E27FC236}">
                  <a16:creationId xmlns:a16="http://schemas.microsoft.com/office/drawing/2014/main" id="{00000000-0008-0000-0400-0000B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65</xdr:row>
          <xdr:rowOff>12700</xdr:rowOff>
        </xdr:from>
        <xdr:to>
          <xdr:col>6</xdr:col>
          <xdr:colOff>984250</xdr:colOff>
          <xdr:row>66</xdr:row>
          <xdr:rowOff>12700</xdr:rowOff>
        </xdr:to>
        <xdr:sp macro="" textlink="">
          <xdr:nvSpPr>
            <xdr:cNvPr id="3259" name="Drop Down 187" hidden="1">
              <a:extLst>
                <a:ext uri="{63B3BB69-23CF-44E3-9099-C40C66FF867C}">
                  <a14:compatExt spid="_x0000_s3259"/>
                </a:ext>
                <a:ext uri="{FF2B5EF4-FFF2-40B4-BE49-F238E27FC236}">
                  <a16:creationId xmlns:a16="http://schemas.microsoft.com/office/drawing/2014/main" id="{00000000-0008-0000-0400-0000B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62</xdr:row>
          <xdr:rowOff>12700</xdr:rowOff>
        </xdr:from>
        <xdr:to>
          <xdr:col>6</xdr:col>
          <xdr:colOff>990600</xdr:colOff>
          <xdr:row>63</xdr:row>
          <xdr:rowOff>12700</xdr:rowOff>
        </xdr:to>
        <xdr:sp macro="" textlink="">
          <xdr:nvSpPr>
            <xdr:cNvPr id="3260" name="Drop Down 188" hidden="1">
              <a:extLst>
                <a:ext uri="{63B3BB69-23CF-44E3-9099-C40C66FF867C}">
                  <a14:compatExt spid="_x0000_s3260"/>
                </a:ext>
                <a:ext uri="{FF2B5EF4-FFF2-40B4-BE49-F238E27FC236}">
                  <a16:creationId xmlns:a16="http://schemas.microsoft.com/office/drawing/2014/main" id="{00000000-0008-0000-0400-0000B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183</xdr:row>
      <xdr:rowOff>47625</xdr:rowOff>
    </xdr:from>
    <xdr:to>
      <xdr:col>16</xdr:col>
      <xdr:colOff>0</xdr:colOff>
      <xdr:row>215</xdr:row>
      <xdr:rowOff>19050</xdr:rowOff>
    </xdr:to>
    <xdr:graphicFrame macro="">
      <xdr:nvGraphicFramePr>
        <xdr:cNvPr id="37898" name="Diagramm 10">
          <a:extLst>
            <a:ext uri="{FF2B5EF4-FFF2-40B4-BE49-F238E27FC236}">
              <a16:creationId xmlns:a16="http://schemas.microsoft.com/office/drawing/2014/main" id="{00000000-0008-0000-0500-00000A9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0</xdr:rowOff>
    </xdr:from>
    <xdr:to>
      <xdr:col>16</xdr:col>
      <xdr:colOff>9525</xdr:colOff>
      <xdr:row>55</xdr:row>
      <xdr:rowOff>28575</xdr:rowOff>
    </xdr:to>
    <xdr:graphicFrame macro="">
      <xdr:nvGraphicFramePr>
        <xdr:cNvPr id="37914" name="Diagramm 26">
          <a:extLst>
            <a:ext uri="{FF2B5EF4-FFF2-40B4-BE49-F238E27FC236}">
              <a16:creationId xmlns:a16="http://schemas.microsoft.com/office/drawing/2014/main" id="{00000000-0008-0000-0500-00001A9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0</xdr:rowOff>
    </xdr:from>
    <xdr:to>
      <xdr:col>16</xdr:col>
      <xdr:colOff>9525</xdr:colOff>
      <xdr:row>55</xdr:row>
      <xdr:rowOff>28575</xdr:rowOff>
    </xdr:to>
    <xdr:graphicFrame macro="">
      <xdr:nvGraphicFramePr>
        <xdr:cNvPr id="96260" name="Diagramm 4">
          <a:extLst>
            <a:ext uri="{FF2B5EF4-FFF2-40B4-BE49-F238E27FC236}">
              <a16:creationId xmlns:a16="http://schemas.microsoft.com/office/drawing/2014/main" id="{00000000-0008-0000-0600-0000047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183</xdr:row>
      <xdr:rowOff>47625</xdr:rowOff>
    </xdr:from>
    <xdr:to>
      <xdr:col>16</xdr:col>
      <xdr:colOff>0</xdr:colOff>
      <xdr:row>215</xdr:row>
      <xdr:rowOff>19050</xdr:rowOff>
    </xdr:to>
    <xdr:graphicFrame macro="">
      <xdr:nvGraphicFramePr>
        <xdr:cNvPr id="96261" name="Diagramm 5">
          <a:extLst>
            <a:ext uri="{FF2B5EF4-FFF2-40B4-BE49-F238E27FC236}">
              <a16:creationId xmlns:a16="http://schemas.microsoft.com/office/drawing/2014/main" id="{00000000-0008-0000-0600-0000057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52</xdr:row>
      <xdr:rowOff>0</xdr:rowOff>
    </xdr:from>
    <xdr:to>
      <xdr:col>5</xdr:col>
      <xdr:colOff>28575</xdr:colOff>
      <xdr:row>52</xdr:row>
      <xdr:rowOff>0</xdr:rowOff>
    </xdr:to>
    <xdr:sp macro="[0]!eP" textlink="">
      <xdr:nvSpPr>
        <xdr:cNvPr id="66561" name="Text Box 1">
          <a:extLst>
            <a:ext uri="{FF2B5EF4-FFF2-40B4-BE49-F238E27FC236}">
              <a16:creationId xmlns:a16="http://schemas.microsoft.com/office/drawing/2014/main" id="{00000000-0008-0000-0700-000001040100}"/>
            </a:ext>
          </a:extLst>
        </xdr:cNvPr>
        <xdr:cNvSpPr txBox="1">
          <a:spLocks noChangeArrowheads="1"/>
        </xdr:cNvSpPr>
      </xdr:nvSpPr>
      <xdr:spPr bwMode="auto">
        <a:xfrm>
          <a:off x="9525" y="14782800"/>
          <a:ext cx="3562350" cy="0"/>
        </a:xfrm>
        <a:prstGeom prst="rect">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de-DE" sz="1200" b="1" i="1" u="none" strike="noStrike" baseline="0">
              <a:solidFill>
                <a:srgbClr val="FFFFFF"/>
              </a:solidFill>
              <a:latin typeface="Times New Roman"/>
              <a:cs typeface="Times New Roman"/>
            </a:rPr>
            <a:t>Um die Berechnung auszulösen, klicken Sie bitte auf dieses Feld!</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12700</xdr:colOff>
          <xdr:row>35</xdr:row>
          <xdr:rowOff>38100</xdr:rowOff>
        </xdr:from>
        <xdr:to>
          <xdr:col>1</xdr:col>
          <xdr:colOff>317500</xdr:colOff>
          <xdr:row>36</xdr:row>
          <xdr:rowOff>76200</xdr:rowOff>
        </xdr:to>
        <xdr:sp macro="" textlink="">
          <xdr:nvSpPr>
            <xdr:cNvPr id="66576" name="Option Button 16" hidden="1">
              <a:extLst>
                <a:ext uri="{63B3BB69-23CF-44E3-9099-C40C66FF867C}">
                  <a14:compatExt spid="_x0000_s66576"/>
                </a:ext>
                <a:ext uri="{FF2B5EF4-FFF2-40B4-BE49-F238E27FC236}">
                  <a16:creationId xmlns:a16="http://schemas.microsoft.com/office/drawing/2014/main" id="{00000000-0008-0000-0700-00001004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34</xdr:row>
          <xdr:rowOff>133350</xdr:rowOff>
        </xdr:from>
        <xdr:to>
          <xdr:col>12</xdr:col>
          <xdr:colOff>1327150</xdr:colOff>
          <xdr:row>37</xdr:row>
          <xdr:rowOff>69850</xdr:rowOff>
        </xdr:to>
        <xdr:sp macro="" textlink="">
          <xdr:nvSpPr>
            <xdr:cNvPr id="66577" name="Group Box 17" hidden="1">
              <a:extLst>
                <a:ext uri="{63B3BB69-23CF-44E3-9099-C40C66FF867C}">
                  <a14:compatExt spid="_x0000_s66577"/>
                </a:ext>
                <a:ext uri="{FF2B5EF4-FFF2-40B4-BE49-F238E27FC236}">
                  <a16:creationId xmlns:a16="http://schemas.microsoft.com/office/drawing/2014/main" id="{00000000-0008-0000-0700-000011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336550</xdr:colOff>
          <xdr:row>35</xdr:row>
          <xdr:rowOff>0</xdr:rowOff>
        </xdr:from>
        <xdr:to>
          <xdr:col>9</xdr:col>
          <xdr:colOff>641350</xdr:colOff>
          <xdr:row>36</xdr:row>
          <xdr:rowOff>38100</xdr:rowOff>
        </xdr:to>
        <xdr:sp macro="" textlink="">
          <xdr:nvSpPr>
            <xdr:cNvPr id="66579" name="Option Button 19" hidden="1">
              <a:extLst>
                <a:ext uri="{63B3BB69-23CF-44E3-9099-C40C66FF867C}">
                  <a14:compatExt spid="_x0000_s66579"/>
                </a:ext>
                <a:ext uri="{FF2B5EF4-FFF2-40B4-BE49-F238E27FC236}">
                  <a16:creationId xmlns:a16="http://schemas.microsoft.com/office/drawing/2014/main" id="{00000000-0008-0000-0700-00001304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38100</xdr:colOff>
      <xdr:row>16</xdr:row>
      <xdr:rowOff>38100</xdr:rowOff>
    </xdr:from>
    <xdr:to>
      <xdr:col>6</xdr:col>
      <xdr:colOff>1647825</xdr:colOff>
      <xdr:row>44</xdr:row>
      <xdr:rowOff>0</xdr:rowOff>
    </xdr:to>
    <xdr:sp macro="" textlink="">
      <xdr:nvSpPr>
        <xdr:cNvPr id="77825" name="Text Box 1">
          <a:extLst>
            <a:ext uri="{FF2B5EF4-FFF2-40B4-BE49-F238E27FC236}">
              <a16:creationId xmlns:a16="http://schemas.microsoft.com/office/drawing/2014/main" id="{00000000-0008-0000-0800-000001300100}"/>
            </a:ext>
          </a:extLst>
        </xdr:cNvPr>
        <xdr:cNvSpPr txBox="1">
          <a:spLocks noChangeArrowheads="1"/>
        </xdr:cNvSpPr>
      </xdr:nvSpPr>
      <xdr:spPr bwMode="auto">
        <a:xfrm>
          <a:off x="38100" y="2752725"/>
          <a:ext cx="5724525" cy="449580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sng" strike="noStrike" baseline="0">
              <a:solidFill>
                <a:srgbClr val="000000"/>
              </a:solidFill>
              <a:latin typeface="Arial"/>
              <a:cs typeface="Arial"/>
            </a:rPr>
            <a:t>1. Die Primärenergiekennzahl e</a:t>
          </a:r>
          <a:r>
            <a:rPr lang="de-DE" sz="800" b="0" i="0" u="sng" strike="noStrike" baseline="-25000">
              <a:solidFill>
                <a:srgbClr val="000000"/>
              </a:solidFill>
              <a:latin typeface="Arial"/>
              <a:cs typeface="Arial"/>
            </a:rPr>
            <a:t>P</a:t>
          </a:r>
          <a:r>
            <a:rPr lang="de-DE" sz="800" b="0" i="0" u="sng" strike="noStrike" baseline="0">
              <a:solidFill>
                <a:srgbClr val="000000"/>
              </a:solidFill>
              <a:latin typeface="Arial"/>
              <a:cs typeface="Arial"/>
            </a:rPr>
            <a:t> bzw. der Primärenergiebedarf wird nicht berechnet.</a:t>
          </a:r>
          <a:endParaRPr lang="de-DE" sz="800" b="1" i="0" u="none" strike="noStrike" baseline="0">
            <a:solidFill>
              <a:srgbClr val="000000"/>
            </a:solidFill>
            <a:latin typeface="Arial"/>
            <a:cs typeface="Arial"/>
          </a:endParaRPr>
        </a:p>
        <a:p>
          <a:pPr algn="l" rtl="0">
            <a:defRPr sz="1000"/>
          </a:pPr>
          <a:endParaRPr lang="de-DE" sz="800" b="1"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Sie müssen den Fragebogen korrekt ausfüllen. Die Primärenergieaufwandszahl wird erst bestimmt, wenn in keiner der Frageboxen mehr "- - -" steht.</a:t>
          </a:r>
        </a:p>
        <a:p>
          <a:pPr algn="l" rtl="0">
            <a:defRPr sz="1000"/>
          </a:pPr>
          <a:r>
            <a:rPr lang="de-DE" sz="800" b="0" i="0" u="none" strike="noStrike" baseline="0">
              <a:solidFill>
                <a:srgbClr val="000000"/>
              </a:solidFill>
              <a:latin typeface="Arial"/>
              <a:cs typeface="Arial"/>
            </a:rPr>
            <a:t> </a:t>
          </a:r>
          <a:endParaRPr lang="de-DE" sz="800" b="1" i="0" u="none" strike="noStrike" baseline="0">
            <a:solidFill>
              <a:srgbClr val="000000"/>
            </a:solidFill>
            <a:latin typeface="Arial"/>
            <a:cs typeface="Arial"/>
          </a:endParaRPr>
        </a:p>
        <a:p>
          <a:pPr algn="l" rtl="0">
            <a:defRPr sz="1000"/>
          </a:pPr>
          <a:r>
            <a:rPr lang="de-DE" sz="800" b="0" i="0" u="sng" strike="noStrike" baseline="0">
              <a:solidFill>
                <a:srgbClr val="000000"/>
              </a:solidFill>
              <a:latin typeface="Arial"/>
              <a:cs typeface="Arial"/>
            </a:rPr>
            <a:t>2. Das Programm gibt Kennwerte aus, die nicht denen der Tabellen (Anhang C) der DIN V 4701-10 entsprechen.</a:t>
          </a: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Das Programm berechnet Kennwerte nach den Formeln des ausführlichen  Berechnungsverfahrens. </a:t>
          </a:r>
        </a:p>
        <a:p>
          <a:pPr algn="l" rtl="0">
            <a:defRPr sz="1000"/>
          </a:pPr>
          <a:r>
            <a:rPr lang="de-DE" sz="800" b="0" i="0" u="none" strike="noStrike" baseline="0">
              <a:solidFill>
                <a:srgbClr val="000000"/>
              </a:solidFill>
              <a:latin typeface="Arial"/>
              <a:cs typeface="Arial"/>
            </a:rPr>
            <a:t>Differenzen können für nicht tabellierte Zwischenwerte durch die lineare Interpolation entstehen.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Die Tabellen der DIN V 4701-10 sind teilweise nicht fehlerfrei erstellt. </a:t>
          </a:r>
        </a:p>
        <a:p>
          <a:pPr algn="l" rtl="0">
            <a:defRPr sz="1000"/>
          </a:pPr>
          <a:r>
            <a:rPr lang="de-DE" sz="800" b="0" i="0" u="none" strike="noStrike" baseline="0">
              <a:solidFill>
                <a:srgbClr val="000000"/>
              </a:solidFill>
              <a:latin typeface="Arial"/>
              <a:cs typeface="Arial"/>
            </a:rPr>
            <a:t>Wenn Sie den korrekten Wert nachprüfen wollen, ermitteln Sie ihn mit den Formeln des ausführlichen Verfahrens.</a:t>
          </a:r>
        </a:p>
        <a:p>
          <a:pPr algn="l" rtl="0">
            <a:defRPr sz="1000"/>
          </a:pPr>
          <a:endParaRPr lang="de-DE" sz="800" b="0" i="0" u="none" strike="noStrike" baseline="0">
            <a:solidFill>
              <a:srgbClr val="000000"/>
            </a:solidFill>
            <a:latin typeface="Arial"/>
            <a:cs typeface="Arial"/>
          </a:endParaRPr>
        </a:p>
        <a:p>
          <a:pPr algn="l" rtl="0">
            <a:defRPr sz="1000"/>
          </a:pPr>
          <a:r>
            <a:rPr lang="de-DE" sz="800" b="0" i="0" u="sng" strike="noStrike" baseline="0">
              <a:solidFill>
                <a:srgbClr val="000000"/>
              </a:solidFill>
              <a:latin typeface="Arial"/>
              <a:cs typeface="Arial"/>
            </a:rPr>
            <a:t>3. Bestimmte Anlagenkonfigurationen können nicht eingegeben werden.</a:t>
          </a: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Die Anlagenbeschreibung kann in der vorliegenden Programmversion größtenteils nur nach dem Tabellenverfahren der </a:t>
          </a:r>
        </a:p>
        <a:p>
          <a:pPr algn="l" rtl="0">
            <a:defRPr sz="1000"/>
          </a:pPr>
          <a:r>
            <a:rPr lang="de-DE" sz="800" b="0" i="0" u="none" strike="noStrike" baseline="0">
              <a:solidFill>
                <a:srgbClr val="000000"/>
              </a:solidFill>
              <a:latin typeface="Arial"/>
              <a:cs typeface="Arial"/>
            </a:rPr>
            <a:t>DIN V 4701-10 erfolgen. Damit sind bestimmte Randbedingungen verknüpft. Diese seinen im Folgenden kurz genannt:</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 Die zentrale Warmwasserverteilung ohne Zirkulation ist nur bis zu einer Gebäudenutzfläche von 500m² zugelassen.</a:t>
          </a:r>
        </a:p>
        <a:p>
          <a:pPr algn="l" rtl="0">
            <a:defRPr sz="1000"/>
          </a:pPr>
          <a:r>
            <a:rPr lang="de-DE" sz="800" b="0" i="0" u="none" strike="noStrike" baseline="0">
              <a:solidFill>
                <a:srgbClr val="000000"/>
              </a:solidFill>
              <a:latin typeface="Arial"/>
              <a:cs typeface="Arial"/>
            </a:rPr>
            <a:t>- Wärmeerzeuger können nur bis zu Gebäudenutzfläche von 500m² innerhalb der gedämmten Hülle aufgestellt   </a:t>
          </a:r>
        </a:p>
        <a:p>
          <a:pPr algn="l" rtl="0">
            <a:defRPr sz="1000"/>
          </a:pPr>
          <a:r>
            <a:rPr lang="de-DE" sz="800" b="0" i="0" u="none" strike="noStrike" baseline="0">
              <a:solidFill>
                <a:srgbClr val="000000"/>
              </a:solidFill>
              <a:latin typeface="Arial"/>
              <a:cs typeface="Arial"/>
            </a:rPr>
            <a:t>   werden.</a:t>
          </a:r>
        </a:p>
        <a:p>
          <a:pPr algn="l" rtl="0">
            <a:defRPr sz="1000"/>
          </a:pPr>
          <a:r>
            <a:rPr lang="de-DE" sz="800" b="0" i="0" u="none" strike="noStrike" baseline="0">
              <a:solidFill>
                <a:srgbClr val="000000"/>
              </a:solidFill>
              <a:latin typeface="Arial"/>
              <a:cs typeface="Arial"/>
            </a:rPr>
            <a:t>- Lüftungsanlagen können nur bis zu einer Gebäudenutzfläche von 500m² berechnet werden.</a:t>
          </a:r>
        </a:p>
        <a:p>
          <a:pPr algn="l" rtl="0">
            <a:defRPr sz="1000"/>
          </a:pPr>
          <a:r>
            <a:rPr lang="de-DE" sz="800" b="0" i="0" u="none" strike="noStrike" baseline="0">
              <a:solidFill>
                <a:srgbClr val="000000"/>
              </a:solidFill>
              <a:latin typeface="Arial"/>
              <a:cs typeface="Arial"/>
            </a:rPr>
            <a:t>- Deckungsanteile für die Kombination von bis zu drei Wärmeerzeugern (Solaranlage, Grundlastwärmeerzeuger und </a:t>
          </a:r>
        </a:p>
        <a:p>
          <a:pPr algn="l" rtl="0">
            <a:defRPr sz="1000"/>
          </a:pPr>
          <a:r>
            <a:rPr lang="de-DE" sz="800" b="0" i="0" u="none" strike="noStrike" baseline="0">
              <a:solidFill>
                <a:srgbClr val="000000"/>
              </a:solidFill>
              <a:latin typeface="Arial"/>
              <a:cs typeface="Arial"/>
            </a:rPr>
            <a:t>  Spitzenlastwärmeerzeuger) sind fest definierte Standardwerte.</a:t>
          </a:r>
        </a:p>
        <a:p>
          <a:pPr algn="l" rtl="0">
            <a:defRPr sz="1000"/>
          </a:pPr>
          <a:r>
            <a:rPr lang="de-DE" sz="800" b="0" i="0" u="none" strike="noStrike" baseline="0">
              <a:solidFill>
                <a:srgbClr val="000000"/>
              </a:solidFill>
              <a:latin typeface="Arial"/>
              <a:cs typeface="Arial"/>
            </a:rPr>
            <a:t>- Heizungspufferspeicher können für Systeme mit Heizkreistemperaturen von über 55/45°C nicht gewählt werden.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Für alle Anlagen, die nicht mit den in diesem Programm angebotenen Auswahlparametern beschrieben werden können, sei hier auf das ausführliche Berechnungsverfahren der DIN V 4701-10 verwiesen.</a:t>
          </a: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0</xdr:col>
      <xdr:colOff>76200</xdr:colOff>
      <xdr:row>0</xdr:row>
      <xdr:rowOff>209550</xdr:rowOff>
    </xdr:from>
    <xdr:to>
      <xdr:col>6</xdr:col>
      <xdr:colOff>1638300</xdr:colOff>
      <xdr:row>14</xdr:row>
      <xdr:rowOff>123825</xdr:rowOff>
    </xdr:to>
    <xdr:sp macro="" textlink="">
      <xdr:nvSpPr>
        <xdr:cNvPr id="77826" name="Text Box 2">
          <a:extLst>
            <a:ext uri="{FF2B5EF4-FFF2-40B4-BE49-F238E27FC236}">
              <a16:creationId xmlns:a16="http://schemas.microsoft.com/office/drawing/2014/main" id="{00000000-0008-0000-0800-000002300100}"/>
            </a:ext>
          </a:extLst>
        </xdr:cNvPr>
        <xdr:cNvSpPr txBox="1">
          <a:spLocks noChangeArrowheads="1"/>
        </xdr:cNvSpPr>
      </xdr:nvSpPr>
      <xdr:spPr bwMode="auto">
        <a:xfrm>
          <a:off x="76200" y="209550"/>
          <a:ext cx="5676900" cy="2238375"/>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just" rtl="0">
            <a:defRPr sz="1000"/>
          </a:pPr>
          <a:endParaRPr lang="de-DE" sz="800" b="0" i="0" u="none" strike="noStrike" baseline="0">
            <a:solidFill>
              <a:srgbClr val="000000"/>
            </a:solidFill>
            <a:latin typeface="Arial"/>
            <a:cs typeface="Arial"/>
          </a:endParaRPr>
        </a:p>
        <a:p>
          <a:pPr algn="just" rtl="0">
            <a:defRPr sz="1000"/>
          </a:pPr>
          <a:r>
            <a:rPr lang="de-DE" sz="800" b="0" i="0" u="none" strike="noStrike" baseline="0">
              <a:solidFill>
                <a:srgbClr val="000000"/>
              </a:solidFill>
              <a:latin typeface="Arial"/>
              <a:cs typeface="Arial"/>
            </a:rPr>
            <a:t>Mit diesem Excel-Programm können Sie den Nutz-, End- und Primärenergiebedarf eines Wohngebäudes (mit Teil- und Unterergebnissen) bestimmen. Der Teil "Anlagentechnik" entspricht dem Verfahren der DIN V 4701-10 unter Verwendung von Standardkennwerten. Der Teil "Gebäude" folgt dem Monatsbilanzverfahren der DIN V 4108-6. Die Klimadaten gelten für den Referenzstandort Potsdam der DIN V 18599-10. Die Primärenergiefaktoren entsprechen dem aktuellen GEG.</a:t>
          </a:r>
        </a:p>
        <a:p>
          <a:pPr algn="just" rtl="0">
            <a:defRPr sz="1000"/>
          </a:pPr>
          <a:endParaRPr lang="de-DE" sz="800" b="0" i="0" u="none" strike="noStrike" baseline="0">
            <a:solidFill>
              <a:srgbClr val="000000"/>
            </a:solidFill>
            <a:latin typeface="Arial"/>
            <a:cs typeface="Arial"/>
          </a:endParaRPr>
        </a:p>
        <a:p>
          <a:pPr algn="just" rtl="0">
            <a:defRPr sz="1000"/>
          </a:pPr>
          <a:r>
            <a:rPr lang="de-DE" sz="800" b="0" i="0" u="none" strike="noStrike" baseline="0">
              <a:solidFill>
                <a:srgbClr val="000000"/>
              </a:solidFill>
              <a:latin typeface="Arial"/>
              <a:cs typeface="Arial"/>
            </a:rPr>
            <a:t>Es empfiehlt sich zur Dokumentation alle Seiten zu drucken, da somit Eingabeprotokoll und Ergebnisse zusammengefaßt dargestellt sind. Der eingegebene Projektname erscheint auf dem Kopf  jeder Seite.</a:t>
          </a:r>
        </a:p>
        <a:p>
          <a:pPr algn="just" rtl="0">
            <a:defRPr sz="1000"/>
          </a:pPr>
          <a:endParaRPr lang="de-DE" sz="800" b="0" i="0" u="none" strike="noStrike" baseline="0">
            <a:solidFill>
              <a:srgbClr val="000000"/>
            </a:solidFill>
            <a:latin typeface="Arial"/>
            <a:cs typeface="Arial"/>
          </a:endParaRPr>
        </a:p>
        <a:p>
          <a:pPr algn="just" rtl="0">
            <a:defRPr sz="1000"/>
          </a:pPr>
          <a:r>
            <a:rPr lang="de-DE" sz="800" b="0" i="0" u="none" strike="noStrike" baseline="0">
              <a:solidFill>
                <a:srgbClr val="000000"/>
              </a:solidFill>
              <a:latin typeface="Arial"/>
              <a:cs typeface="Arial"/>
            </a:rPr>
            <a:t>Die Berechnung der Primärenergieaufwandszahl erfolgt erst, wenn eine vollständige Beschreibung des Trinkwarmwasser-, Heizungs- und Lüftungssystem eingegeben ist. Es ist vorteilhaft (aber nicht zwangsläufig nötig) die Systemeigenschaften von oben nach unten durchgehend einzustellen. Die Beschreibung der Anlage gilt als abgeschlossen, wenn keine der Eingabeboxen mehr "- - -" anzeigt.</a:t>
          </a:r>
        </a:p>
        <a:p>
          <a:pPr algn="just" rtl="0">
            <a:defRPr sz="1000"/>
          </a:pPr>
          <a:endParaRPr lang="de-DE" sz="800" b="0" i="0" u="none" strike="noStrike" baseline="0">
            <a:solidFill>
              <a:srgbClr val="000000"/>
            </a:solidFill>
            <a:latin typeface="Arial"/>
            <a:cs typeface="Arial"/>
          </a:endParaRPr>
        </a:p>
        <a:p>
          <a:pPr algn="just" rtl="0">
            <a:defRPr sz="1000"/>
          </a:pPr>
          <a:r>
            <a:rPr lang="de-DE" sz="800" b="0" i="0" u="none" strike="noStrike" baseline="0">
              <a:solidFill>
                <a:srgbClr val="000000"/>
              </a:solidFill>
              <a:latin typeface="Arial"/>
              <a:cs typeface="Arial"/>
            </a:rPr>
            <a:t>Das Programm gilt für Wohngebäude und Gebäude mit wohnähnlicher Nutzung.</a:t>
          </a:r>
        </a:p>
      </xdr:txBody>
    </xdr:sp>
    <xdr:clientData/>
  </xdr:twoCellAnchor>
  <xdr:twoCellAnchor>
    <xdr:from>
      <xdr:col>0</xdr:col>
      <xdr:colOff>38100</xdr:colOff>
      <xdr:row>15</xdr:row>
      <xdr:rowOff>0</xdr:rowOff>
    </xdr:from>
    <xdr:to>
      <xdr:col>3</xdr:col>
      <xdr:colOff>771525</xdr:colOff>
      <xdr:row>15</xdr:row>
      <xdr:rowOff>0</xdr:rowOff>
    </xdr:to>
    <xdr:sp macro="" textlink="">
      <xdr:nvSpPr>
        <xdr:cNvPr id="77827" name="Text Box 3">
          <a:extLst>
            <a:ext uri="{FF2B5EF4-FFF2-40B4-BE49-F238E27FC236}">
              <a16:creationId xmlns:a16="http://schemas.microsoft.com/office/drawing/2014/main" id="{00000000-0008-0000-0800-000003300100}"/>
            </a:ext>
          </a:extLst>
        </xdr:cNvPr>
        <xdr:cNvSpPr txBox="1">
          <a:spLocks noChangeArrowheads="1"/>
        </xdr:cNvSpPr>
      </xdr:nvSpPr>
      <xdr:spPr bwMode="auto">
        <a:xfrm>
          <a:off x="38100" y="2486025"/>
          <a:ext cx="2314575" cy="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800" b="0" i="1" u="sng" strike="noStrike" baseline="0">
              <a:solidFill>
                <a:srgbClr val="000000"/>
              </a:solidFill>
              <a:latin typeface="Arial"/>
              <a:cs typeface="Arial"/>
            </a:rPr>
            <a:t>Formelzeichen:</a:t>
          </a: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q               spezifische Jahresenergiemenge </a:t>
          </a:r>
        </a:p>
        <a:p>
          <a:pPr algn="l" rtl="0">
            <a:defRPr sz="1000"/>
          </a:pPr>
          <a:r>
            <a:rPr lang="de-DE" sz="800" b="0" i="1" u="none" strike="noStrike" baseline="0">
              <a:solidFill>
                <a:srgbClr val="000000"/>
              </a:solidFill>
              <a:latin typeface="Arial"/>
              <a:cs typeface="Arial"/>
            </a:rPr>
            <a:t>e               Aufwandszahl  </a:t>
          </a:r>
        </a:p>
        <a:p>
          <a:pPr algn="l" rtl="0">
            <a:defRPr sz="1000"/>
          </a:pPr>
          <a:r>
            <a:rPr lang="de-DE" sz="800" b="0" i="1" u="none" strike="noStrike" baseline="0">
              <a:solidFill>
                <a:srgbClr val="000000"/>
              </a:solidFill>
              <a:latin typeface="Arial"/>
              <a:cs typeface="Arial"/>
            </a:rPr>
            <a:t>a               Deckungsanteil      </a:t>
          </a:r>
        </a:p>
        <a:p>
          <a:pPr algn="l" rtl="0">
            <a:defRPr sz="1000"/>
          </a:pPr>
          <a:r>
            <a:rPr lang="de-DE" sz="800" b="0" i="1" u="none" strike="noStrike" baseline="0">
              <a:solidFill>
                <a:srgbClr val="000000"/>
              </a:solidFill>
              <a:latin typeface="Arial"/>
              <a:cs typeface="Arial"/>
            </a:rPr>
            <a:t>fprim         Primärenergiefaktor</a:t>
          </a:r>
        </a:p>
        <a:p>
          <a:pPr algn="l" rtl="0">
            <a:defRPr sz="1000"/>
          </a:pPr>
          <a:r>
            <a:rPr lang="de-DE" sz="800" b="0" i="1" u="none" strike="noStrike" baseline="0">
              <a:solidFill>
                <a:srgbClr val="000000"/>
              </a:solidFill>
              <a:latin typeface="Arial"/>
              <a:cs typeface="Arial"/>
            </a:rPr>
            <a:t>A              Fläche</a:t>
          </a:r>
        </a:p>
        <a:p>
          <a:pPr algn="l" rtl="0">
            <a:defRPr sz="1000"/>
          </a:pPr>
          <a:r>
            <a:rPr lang="de-DE" sz="800" b="0" i="1" u="none" strike="noStrike" baseline="0">
              <a:solidFill>
                <a:srgbClr val="000000"/>
              </a:solidFill>
              <a:latin typeface="Arial"/>
              <a:cs typeface="Arial"/>
            </a:rPr>
            <a:t>V              Volumen</a:t>
          </a:r>
        </a:p>
        <a:p>
          <a:pPr algn="l" rtl="0">
            <a:defRPr sz="1000"/>
          </a:pPr>
          <a:r>
            <a:rPr lang="de-DE" sz="800" b="0" i="1" u="none" strike="noStrike" baseline="0">
              <a:solidFill>
                <a:srgbClr val="000000"/>
              </a:solidFill>
              <a:latin typeface="Arial"/>
              <a:cs typeface="Arial"/>
            </a:rPr>
            <a:t>g               g-Wert für Fenster</a:t>
          </a:r>
        </a:p>
        <a:p>
          <a:pPr algn="l" rtl="0">
            <a:defRPr sz="1000"/>
          </a:pPr>
          <a:r>
            <a:rPr lang="de-DE" sz="800" b="0" i="1" u="none" strike="noStrike" baseline="0">
              <a:solidFill>
                <a:srgbClr val="000000"/>
              </a:solidFill>
              <a:latin typeface="Arial"/>
              <a:cs typeface="Arial"/>
            </a:rPr>
            <a:t>U               Wärmedurchgangskoeffizient</a:t>
          </a:r>
        </a:p>
        <a:p>
          <a:pPr algn="l" rtl="0">
            <a:defRPr sz="1000"/>
          </a:pPr>
          <a:r>
            <a:rPr lang="de-DE" sz="800" b="0" i="1" u="none" strike="noStrike" baseline="0">
              <a:solidFill>
                <a:srgbClr val="000000"/>
              </a:solidFill>
              <a:latin typeface="Arial"/>
              <a:cs typeface="Arial"/>
            </a:rPr>
            <a:t>n               Luftwechsel</a:t>
          </a:r>
        </a:p>
        <a:p>
          <a:pPr algn="l" rtl="0">
            <a:defRPr sz="1000"/>
          </a:pPr>
          <a:r>
            <a:rPr lang="de-DE" sz="800" b="0" i="1" u="none" strike="noStrike" baseline="0">
              <a:solidFill>
                <a:srgbClr val="000000"/>
              </a:solidFill>
              <a:latin typeface="Arial"/>
              <a:cs typeface="Arial"/>
            </a:rPr>
            <a:t>Gt              Gradtagszahl</a:t>
          </a:r>
        </a:p>
        <a:p>
          <a:pPr algn="l" rtl="0">
            <a:defRPr sz="1000"/>
          </a:pPr>
          <a:endParaRPr lang="de-DE" sz="800" b="0" i="1" u="none" strike="noStrike" baseline="0">
            <a:solidFill>
              <a:srgbClr val="000000"/>
            </a:solidFill>
            <a:latin typeface="Arial"/>
            <a:cs typeface="Arial"/>
          </a:endParaRPr>
        </a:p>
        <a:p>
          <a:pPr algn="l" rtl="0">
            <a:defRPr sz="1000"/>
          </a:pPr>
          <a:r>
            <a:rPr lang="de-DE" sz="800" b="0" i="1" u="sng" strike="noStrike" baseline="0">
              <a:solidFill>
                <a:srgbClr val="000000"/>
              </a:solidFill>
              <a:latin typeface="Arial"/>
              <a:cs typeface="Arial"/>
            </a:rPr>
            <a:t>Indizes:</a:t>
          </a: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TW             Trinkwarmwasser (Energie)  </a:t>
          </a:r>
        </a:p>
        <a:p>
          <a:pPr algn="l" rtl="0">
            <a:defRPr sz="1000"/>
          </a:pPr>
          <a:r>
            <a:rPr lang="de-DE" sz="800" b="0" i="1" u="none" strike="noStrike" baseline="0">
              <a:solidFill>
                <a:srgbClr val="000000"/>
              </a:solidFill>
              <a:latin typeface="Arial"/>
              <a:cs typeface="Arial"/>
            </a:rPr>
            <a:t>L                Lüftung (Energie)    </a:t>
          </a:r>
        </a:p>
        <a:p>
          <a:pPr algn="l" rtl="0">
            <a:defRPr sz="1000"/>
          </a:pPr>
          <a:r>
            <a:rPr lang="de-DE" sz="800" b="0" i="1" u="none" strike="noStrike" baseline="0">
              <a:solidFill>
                <a:srgbClr val="000000"/>
              </a:solidFill>
              <a:latin typeface="Arial"/>
              <a:cs typeface="Arial"/>
            </a:rPr>
            <a:t>H               Heizung (Energie)</a:t>
          </a:r>
        </a:p>
        <a:p>
          <a:pPr algn="l" rtl="0">
            <a:defRPr sz="1000"/>
          </a:pPr>
          <a:r>
            <a:rPr lang="de-DE" sz="800" b="0" i="1" u="none" strike="noStrike" baseline="0">
              <a:solidFill>
                <a:srgbClr val="000000"/>
              </a:solidFill>
              <a:latin typeface="Arial"/>
              <a:cs typeface="Arial"/>
            </a:rPr>
            <a:t>HE             Hilfsenergie</a:t>
          </a:r>
        </a:p>
        <a:p>
          <a:pPr algn="l" rtl="0">
            <a:defRPr sz="1000"/>
          </a:pPr>
          <a:r>
            <a:rPr lang="de-DE" sz="800" b="0" i="1" u="none" strike="noStrike" baseline="0">
              <a:solidFill>
                <a:srgbClr val="000000"/>
              </a:solidFill>
              <a:latin typeface="Arial"/>
              <a:cs typeface="Arial"/>
            </a:rPr>
            <a:t>WE            Wärmeenergie</a:t>
          </a:r>
        </a:p>
        <a:p>
          <a:pPr algn="l" rtl="0">
            <a:defRPr sz="1000"/>
          </a:pPr>
          <a:r>
            <a:rPr lang="de-DE" sz="800" b="0" i="1" u="none" strike="noStrike" baseline="0">
              <a:solidFill>
                <a:srgbClr val="000000"/>
              </a:solidFill>
              <a:latin typeface="Arial"/>
              <a:cs typeface="Arial"/>
            </a:rPr>
            <a:t>P                Primärenergie            </a:t>
          </a: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tw              Trinkwarmwassernutzwärme     </a:t>
          </a:r>
        </a:p>
        <a:p>
          <a:pPr algn="l" rtl="0">
            <a:defRPr sz="1000"/>
          </a:pPr>
          <a:r>
            <a:rPr lang="de-DE" sz="800" b="0" i="1" u="none" strike="noStrike" baseline="0">
              <a:solidFill>
                <a:srgbClr val="000000"/>
              </a:solidFill>
              <a:latin typeface="Arial"/>
              <a:cs typeface="Arial"/>
            </a:rPr>
            <a:t>h                Heizwärmebedarf               </a:t>
          </a:r>
        </a:p>
        <a:p>
          <a:pPr algn="l" rtl="0">
            <a:defRPr sz="1000"/>
          </a:pPr>
          <a:r>
            <a:rPr lang="de-DE" sz="800" b="0" i="1" u="none" strike="noStrike" baseline="0">
              <a:solidFill>
                <a:srgbClr val="000000"/>
              </a:solidFill>
              <a:latin typeface="Arial"/>
              <a:cs typeface="Arial"/>
            </a:rPr>
            <a:t>                                                                                                                </a:t>
          </a:r>
        </a:p>
        <a:p>
          <a:pPr algn="l" rtl="0">
            <a:defRPr sz="1000"/>
          </a:pPr>
          <a:r>
            <a:rPr lang="de-DE" sz="800" b="0" i="1" u="none" strike="noStrike" baseline="0">
              <a:solidFill>
                <a:srgbClr val="000000"/>
              </a:solidFill>
              <a:latin typeface="Arial"/>
              <a:cs typeface="Arial"/>
            </a:rPr>
            <a:t>                                                         </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xdr:txBody>
    </xdr:sp>
    <xdr:clientData/>
  </xdr:twoCellAnchor>
  <xdr:twoCellAnchor>
    <xdr:from>
      <xdr:col>3</xdr:col>
      <xdr:colOff>600075</xdr:colOff>
      <xdr:row>15</xdr:row>
      <xdr:rowOff>0</xdr:rowOff>
    </xdr:from>
    <xdr:to>
      <xdr:col>6</xdr:col>
      <xdr:colOff>1466850</xdr:colOff>
      <xdr:row>15</xdr:row>
      <xdr:rowOff>0</xdr:rowOff>
    </xdr:to>
    <xdr:sp macro="" textlink="">
      <xdr:nvSpPr>
        <xdr:cNvPr id="77828" name="Text Box 4">
          <a:extLst>
            <a:ext uri="{FF2B5EF4-FFF2-40B4-BE49-F238E27FC236}">
              <a16:creationId xmlns:a16="http://schemas.microsoft.com/office/drawing/2014/main" id="{00000000-0008-0000-0800-000004300100}"/>
            </a:ext>
          </a:extLst>
        </xdr:cNvPr>
        <xdr:cNvSpPr txBox="1">
          <a:spLocks noChangeArrowheads="1"/>
        </xdr:cNvSpPr>
      </xdr:nvSpPr>
      <xdr:spPr bwMode="auto">
        <a:xfrm>
          <a:off x="2181225" y="2486025"/>
          <a:ext cx="3400425" cy="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val="000000"/>
              </a:solidFill>
              <a:miter lim="800000"/>
              <a:headEnd/>
              <a:tailEnd/>
            </a14:hiddenLine>
          </a:ext>
        </a:extLst>
      </xdr:spPr>
      <xdr:txBody>
        <a:bodyPr vertOverflow="clip" wrap="square" lIns="91440" tIns="45720" rIns="91440" bIns="45720" anchor="ctr" upright="1"/>
        <a:lstStyle/>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kWh/(m²a)</a:t>
          </a:r>
        </a:p>
        <a:p>
          <a:pPr algn="l" rtl="0">
            <a:defRPr sz="1000"/>
          </a:pPr>
          <a:r>
            <a:rPr lang="de-DE" sz="800" b="0" i="1" u="none" strike="noStrike" baseline="0">
              <a:solidFill>
                <a:srgbClr val="000000"/>
              </a:solidFill>
              <a:latin typeface="Arial"/>
              <a:cs typeface="Arial"/>
            </a:rPr>
            <a:t>ohne Einheit</a:t>
          </a:r>
        </a:p>
        <a:p>
          <a:pPr algn="l" rtl="0">
            <a:defRPr sz="1000"/>
          </a:pPr>
          <a:r>
            <a:rPr lang="de-DE" sz="800" b="0" i="1" u="none" strike="noStrike" baseline="0">
              <a:solidFill>
                <a:srgbClr val="000000"/>
              </a:solidFill>
              <a:latin typeface="Arial"/>
              <a:cs typeface="Arial"/>
            </a:rPr>
            <a:t>ohne Einheit</a:t>
          </a:r>
        </a:p>
        <a:p>
          <a:pPr algn="l" rtl="0">
            <a:defRPr sz="1000"/>
          </a:pPr>
          <a:r>
            <a:rPr lang="de-DE" sz="800" b="0" i="1" u="none" strike="noStrike" baseline="0">
              <a:solidFill>
                <a:srgbClr val="000000"/>
              </a:solidFill>
              <a:latin typeface="Arial"/>
              <a:cs typeface="Arial"/>
            </a:rPr>
            <a:t>ohne Einheit</a:t>
          </a:r>
        </a:p>
        <a:p>
          <a:pPr algn="l" rtl="0">
            <a:defRPr sz="1000"/>
          </a:pPr>
          <a:r>
            <a:rPr lang="de-DE" sz="800" b="0" i="1" u="none" strike="noStrike" baseline="0">
              <a:solidFill>
                <a:srgbClr val="000000"/>
              </a:solidFill>
              <a:latin typeface="Arial"/>
              <a:cs typeface="Arial"/>
            </a:rPr>
            <a:t>m²</a:t>
          </a:r>
        </a:p>
        <a:p>
          <a:pPr algn="l" rtl="0">
            <a:defRPr sz="1000"/>
          </a:pPr>
          <a:r>
            <a:rPr lang="de-DE" sz="800" b="0" i="1" u="none" strike="noStrike" baseline="0">
              <a:solidFill>
                <a:srgbClr val="000000"/>
              </a:solidFill>
              <a:latin typeface="Arial"/>
              <a:cs typeface="Arial"/>
            </a:rPr>
            <a:t>m³</a:t>
          </a:r>
        </a:p>
        <a:p>
          <a:pPr algn="l" rtl="0">
            <a:defRPr sz="1000"/>
          </a:pPr>
          <a:r>
            <a:rPr lang="de-DE" sz="800" b="0" i="1" u="none" strike="noStrike" baseline="0">
              <a:solidFill>
                <a:srgbClr val="000000"/>
              </a:solidFill>
              <a:latin typeface="Arial"/>
              <a:cs typeface="Arial"/>
            </a:rPr>
            <a:t>ohne Einheit</a:t>
          </a:r>
        </a:p>
        <a:p>
          <a:pPr algn="l" rtl="0">
            <a:defRPr sz="1000"/>
          </a:pPr>
          <a:r>
            <a:rPr lang="de-DE" sz="800" b="0" i="1" u="none" strike="noStrike" baseline="0">
              <a:solidFill>
                <a:srgbClr val="000000"/>
              </a:solidFill>
              <a:latin typeface="Arial"/>
              <a:cs typeface="Arial"/>
            </a:rPr>
            <a:t>W/(m²K)</a:t>
          </a:r>
        </a:p>
        <a:p>
          <a:pPr algn="l" rtl="0">
            <a:defRPr sz="1000"/>
          </a:pPr>
          <a:r>
            <a:rPr lang="de-DE" sz="800" b="0" i="1" u="none" strike="noStrike" baseline="0">
              <a:solidFill>
                <a:srgbClr val="000000"/>
              </a:solidFill>
              <a:latin typeface="Arial"/>
              <a:cs typeface="Arial"/>
            </a:rPr>
            <a:t>h-1</a:t>
          </a:r>
        </a:p>
        <a:p>
          <a:pPr algn="l" rtl="0">
            <a:defRPr sz="1000"/>
          </a:pPr>
          <a:r>
            <a:rPr lang="de-DE" sz="800" b="0" i="1" u="none" strike="noStrike" baseline="0">
              <a:solidFill>
                <a:srgbClr val="000000"/>
              </a:solidFill>
              <a:latin typeface="Arial"/>
              <a:cs typeface="Arial"/>
            </a:rPr>
            <a:t>kKh/a</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V               Lüftung</a:t>
          </a:r>
        </a:p>
        <a:p>
          <a:pPr algn="l" rtl="0">
            <a:defRPr sz="1000"/>
          </a:pPr>
          <a:r>
            <a:rPr lang="de-DE" sz="800" b="0" i="1" u="none" strike="noStrike" baseline="0">
              <a:solidFill>
                <a:srgbClr val="000000"/>
              </a:solidFill>
              <a:latin typeface="Arial"/>
              <a:cs typeface="Arial"/>
            </a:rPr>
            <a:t>T               Transmission</a:t>
          </a:r>
        </a:p>
        <a:p>
          <a:pPr algn="l" rtl="0">
            <a:defRPr sz="1000"/>
          </a:pPr>
          <a:r>
            <a:rPr lang="de-DE" sz="800" b="0" i="1" u="none" strike="noStrike" baseline="0">
              <a:solidFill>
                <a:srgbClr val="000000"/>
              </a:solidFill>
              <a:latin typeface="Arial"/>
              <a:cs typeface="Arial"/>
            </a:rPr>
            <a:t>I                 Innere Gewinne</a:t>
          </a:r>
        </a:p>
        <a:p>
          <a:pPr algn="l" rtl="0">
            <a:defRPr sz="1000"/>
          </a:pPr>
          <a:r>
            <a:rPr lang="de-DE" sz="800" b="0" i="1" u="none" strike="noStrike" baseline="0">
              <a:solidFill>
                <a:srgbClr val="000000"/>
              </a:solidFill>
              <a:latin typeface="Arial"/>
              <a:cs typeface="Arial"/>
            </a:rPr>
            <a:t>S                Solare Gewinne</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ce              Übergabe</a:t>
          </a:r>
        </a:p>
        <a:p>
          <a:pPr algn="l" rtl="0">
            <a:defRPr sz="1000"/>
          </a:pPr>
          <a:r>
            <a:rPr lang="de-DE" sz="800" b="0" i="1" u="none" strike="noStrike" baseline="0">
              <a:solidFill>
                <a:srgbClr val="000000"/>
              </a:solidFill>
              <a:latin typeface="Arial"/>
              <a:cs typeface="Arial"/>
            </a:rPr>
            <a:t>d                Verteilung</a:t>
          </a:r>
        </a:p>
        <a:p>
          <a:pPr algn="l" rtl="0">
            <a:defRPr sz="1000"/>
          </a:pPr>
          <a:r>
            <a:rPr lang="de-DE" sz="800" b="0" i="1" u="none" strike="noStrike" baseline="0">
              <a:solidFill>
                <a:srgbClr val="000000"/>
              </a:solidFill>
              <a:latin typeface="Arial"/>
              <a:cs typeface="Arial"/>
            </a:rPr>
            <a:t>s                Speicherung                                               </a:t>
          </a:r>
        </a:p>
        <a:p>
          <a:pPr algn="l" rtl="0">
            <a:defRPr sz="1000"/>
          </a:pPr>
          <a:r>
            <a:rPr lang="de-DE" sz="800" b="0" i="1" u="none" strike="noStrike" baseline="0">
              <a:solidFill>
                <a:srgbClr val="000000"/>
              </a:solidFill>
              <a:latin typeface="Arial"/>
              <a:cs typeface="Arial"/>
            </a:rPr>
            <a:t>g                Erzeugung</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xdr:txBody>
    </xdr:sp>
    <xdr:clientData/>
  </xdr:twoCellAnchor>
  <xdr:twoCellAnchor>
    <xdr:from>
      <xdr:col>2</xdr:col>
      <xdr:colOff>247650</xdr:colOff>
      <xdr:row>0</xdr:row>
      <xdr:rowOff>0</xdr:rowOff>
    </xdr:from>
    <xdr:to>
      <xdr:col>6</xdr:col>
      <xdr:colOff>771525</xdr:colOff>
      <xdr:row>0</xdr:row>
      <xdr:rowOff>0</xdr:rowOff>
    </xdr:to>
    <xdr:sp macro="" textlink="">
      <xdr:nvSpPr>
        <xdr:cNvPr id="77829" name="Text Box 5">
          <a:hlinkClick xmlns:r="http://schemas.openxmlformats.org/officeDocument/2006/relationships" r:id="rId1"/>
          <a:extLst>
            <a:ext uri="{FF2B5EF4-FFF2-40B4-BE49-F238E27FC236}">
              <a16:creationId xmlns:a16="http://schemas.microsoft.com/office/drawing/2014/main" id="{00000000-0008-0000-0800-000005300100}"/>
            </a:ext>
          </a:extLst>
        </xdr:cNvPr>
        <xdr:cNvSpPr txBox="1">
          <a:spLocks noChangeArrowheads="1"/>
        </xdr:cNvSpPr>
      </xdr:nvSpPr>
      <xdr:spPr bwMode="auto">
        <a:xfrm>
          <a:off x="990600" y="0"/>
          <a:ext cx="3895725" cy="0"/>
        </a:xfrm>
        <a:prstGeom prst="rect">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0" anchor="t" upright="1"/>
        <a:lstStyle/>
        <a:p>
          <a:pPr algn="ctr" rtl="0">
            <a:defRPr sz="1000"/>
          </a:pPr>
          <a:r>
            <a:rPr lang="de-DE" sz="1600" b="1" i="1" u="none" strike="noStrike" baseline="0">
              <a:solidFill>
                <a:srgbClr val="FFFFFF"/>
              </a:solidFill>
              <a:latin typeface="Arial"/>
              <a:cs typeface="Arial"/>
            </a:rPr>
            <a:t>Bestimmung des </a:t>
          </a:r>
        </a:p>
        <a:p>
          <a:pPr algn="ctr" rtl="0">
            <a:defRPr sz="1000"/>
          </a:pPr>
          <a:r>
            <a:rPr lang="de-DE" sz="1600" b="1" i="1" u="none" strike="noStrike" baseline="0">
              <a:solidFill>
                <a:srgbClr val="FFFFFF"/>
              </a:solidFill>
              <a:latin typeface="Arial"/>
              <a:cs typeface="Arial"/>
            </a:rPr>
            <a:t>Primärenergiebedarfes für Gebäude </a:t>
          </a:r>
        </a:p>
        <a:p>
          <a:pPr algn="ctr" rtl="0">
            <a:defRPr sz="1000"/>
          </a:pPr>
          <a:r>
            <a:rPr lang="de-DE" sz="1600" b="1" i="1" u="none" strike="noStrike" baseline="0">
              <a:solidFill>
                <a:srgbClr val="FFFFFF"/>
              </a:solidFill>
              <a:latin typeface="Arial"/>
              <a:cs typeface="Arial"/>
            </a:rPr>
            <a:t>nach EnEV 2002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36</xdr:row>
      <xdr:rowOff>0</xdr:rowOff>
    </xdr:from>
    <xdr:to>
      <xdr:col>6</xdr:col>
      <xdr:colOff>1647825</xdr:colOff>
      <xdr:row>36</xdr:row>
      <xdr:rowOff>0</xdr:rowOff>
    </xdr:to>
    <xdr:sp macro="" textlink="">
      <xdr:nvSpPr>
        <xdr:cNvPr id="73729" name="Text Box 1">
          <a:extLst>
            <a:ext uri="{FF2B5EF4-FFF2-40B4-BE49-F238E27FC236}">
              <a16:creationId xmlns:a16="http://schemas.microsoft.com/office/drawing/2014/main" id="{00000000-0008-0000-0900-000001200100}"/>
            </a:ext>
          </a:extLst>
        </xdr:cNvPr>
        <xdr:cNvSpPr txBox="1">
          <a:spLocks noChangeArrowheads="1"/>
        </xdr:cNvSpPr>
      </xdr:nvSpPr>
      <xdr:spPr bwMode="auto">
        <a:xfrm>
          <a:off x="38100" y="6000750"/>
          <a:ext cx="5724525" cy="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1" u="sng" strike="noStrike" baseline="0">
              <a:solidFill>
                <a:srgbClr val="000000"/>
              </a:solidFill>
              <a:latin typeface="Arial"/>
              <a:cs typeface="Arial"/>
            </a:rPr>
            <a:t>1. Die Primärenergiekennzahl eP wird nicht berechnet.</a:t>
          </a:r>
          <a:endParaRPr lang="de-DE" sz="800" b="1" i="1" u="none" strike="noStrike" baseline="0">
            <a:solidFill>
              <a:srgbClr val="000000"/>
            </a:solidFill>
            <a:latin typeface="Arial"/>
            <a:cs typeface="Arial"/>
          </a:endParaRPr>
        </a:p>
        <a:p>
          <a:pPr algn="l" rtl="0">
            <a:defRPr sz="1000"/>
          </a:pPr>
          <a:endParaRPr lang="de-DE" sz="800" b="1"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Sie müssen den Fragebogen korrekt ausfüllen. Die Primärenergieaufwandszahl wird erst bestimmt, wenn in keiner der Frageboxen mehr "- - -" steht.</a:t>
          </a:r>
        </a:p>
        <a:p>
          <a:pPr algn="l" rtl="0">
            <a:defRPr sz="1000"/>
          </a:pPr>
          <a:r>
            <a:rPr lang="de-DE" sz="800" b="0" i="1" u="none" strike="noStrike" baseline="0">
              <a:solidFill>
                <a:srgbClr val="000000"/>
              </a:solidFill>
              <a:latin typeface="Arial"/>
              <a:cs typeface="Arial"/>
            </a:rPr>
            <a:t> </a:t>
          </a:r>
          <a:endParaRPr lang="de-DE" sz="800" b="1" i="1" u="none" strike="noStrike" baseline="0">
            <a:solidFill>
              <a:srgbClr val="000000"/>
            </a:solidFill>
            <a:latin typeface="Arial"/>
            <a:cs typeface="Arial"/>
          </a:endParaRPr>
        </a:p>
        <a:p>
          <a:pPr algn="l" rtl="0">
            <a:defRPr sz="1000"/>
          </a:pPr>
          <a:r>
            <a:rPr lang="de-DE" sz="800" b="0" i="1" u="sng" strike="noStrike" baseline="0">
              <a:solidFill>
                <a:srgbClr val="000000"/>
              </a:solidFill>
              <a:latin typeface="Arial"/>
              <a:cs typeface="Arial"/>
            </a:rPr>
            <a:t>2. Das Programm gibt Kennwerte aus, die nicht denen der Tabellen der DIN V 4701-10 entsprechen.</a:t>
          </a: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Das Programm berechnet Kennwerte nach den Formeln des ausführlichen  Berechnungsverfahrens. </a:t>
          </a:r>
        </a:p>
        <a:p>
          <a:pPr algn="l" rtl="0">
            <a:defRPr sz="1000"/>
          </a:pPr>
          <a:r>
            <a:rPr lang="de-DE" sz="800" b="0" i="1" u="none" strike="noStrike" baseline="0">
              <a:solidFill>
                <a:srgbClr val="000000"/>
              </a:solidFill>
              <a:latin typeface="Arial"/>
              <a:cs typeface="Arial"/>
            </a:rPr>
            <a:t>Differenzen können für nicht tabellierte Zwischenwerte durch die lineare Interpolation entstehen.</a:t>
          </a: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Die Tabellen der DIN V 4701-10 sind teilweise nicht fehlerfrei erstellt. Wenn Sie den korrekten Wert nachprüfen wollen, ermitteln Sie ihn mit den Formeln des ausführlichen Verfahrens.</a:t>
          </a:r>
        </a:p>
        <a:p>
          <a:pPr algn="l" rtl="0">
            <a:defRPr sz="1000"/>
          </a:pPr>
          <a:endParaRPr lang="de-DE" sz="800" b="0" i="1" u="none" strike="noStrike" baseline="0">
            <a:solidFill>
              <a:srgbClr val="000000"/>
            </a:solidFill>
            <a:latin typeface="Arial"/>
            <a:cs typeface="Arial"/>
          </a:endParaRPr>
        </a:p>
        <a:p>
          <a:pPr algn="l" rtl="0">
            <a:defRPr sz="1000"/>
          </a:pPr>
          <a:r>
            <a:rPr lang="de-DE" sz="800" b="0" i="1" u="sng" strike="noStrike" baseline="0">
              <a:solidFill>
                <a:srgbClr val="000000"/>
              </a:solidFill>
              <a:latin typeface="Arial"/>
              <a:cs typeface="Arial"/>
            </a:rPr>
            <a:t>3. Bestimmte Anlagenkonfigurationen können nicht eingegeben werden.</a:t>
          </a: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Die Anlagenbeschreibung kann in der vorliegenden Programmversion größtenteils nur nach dem Tabellenverfahren der DIN V 4701-10 erfolgen. Damit sind bestimmte Randbedingungen verknüpft. Diese seinen im Folgenden kurz genannt:</a:t>
          </a: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 Die zentrale Warmwasserverteilung ohne Zirkulation ist nur bis zu einer Gebäudenutzfläche von 500m² zugelassen.</a:t>
          </a:r>
        </a:p>
        <a:p>
          <a:pPr algn="l" rtl="0">
            <a:defRPr sz="1000"/>
          </a:pPr>
          <a:r>
            <a:rPr lang="de-DE" sz="800" b="0" i="1" u="none" strike="noStrike" baseline="0">
              <a:solidFill>
                <a:srgbClr val="000000"/>
              </a:solidFill>
              <a:latin typeface="Arial"/>
              <a:cs typeface="Arial"/>
            </a:rPr>
            <a:t>- Wärmeerzeuger können nur bis zu Gebäudenutzfläche von 500m² innerhalb der gedämmten Hülle aufgestellt   </a:t>
          </a:r>
        </a:p>
        <a:p>
          <a:pPr algn="l" rtl="0">
            <a:defRPr sz="1000"/>
          </a:pPr>
          <a:r>
            <a:rPr lang="de-DE" sz="800" b="0" i="1" u="none" strike="noStrike" baseline="0">
              <a:solidFill>
                <a:srgbClr val="000000"/>
              </a:solidFill>
              <a:latin typeface="Arial"/>
              <a:cs typeface="Arial"/>
            </a:rPr>
            <a:t>   werden.</a:t>
          </a:r>
        </a:p>
        <a:p>
          <a:pPr algn="l" rtl="0">
            <a:defRPr sz="1000"/>
          </a:pPr>
          <a:r>
            <a:rPr lang="de-DE" sz="800" b="0" i="1" u="none" strike="noStrike" baseline="0">
              <a:solidFill>
                <a:srgbClr val="000000"/>
              </a:solidFill>
              <a:latin typeface="Arial"/>
              <a:cs typeface="Arial"/>
            </a:rPr>
            <a:t>- Zuluft/Abluft-Lüftungsanlagen können nur bis zu einer Gebäudenutzfläche von 500m² berechnet werden.</a:t>
          </a:r>
        </a:p>
        <a:p>
          <a:pPr algn="l" rtl="0">
            <a:defRPr sz="1000"/>
          </a:pPr>
          <a:r>
            <a:rPr lang="de-DE" sz="800" b="0" i="1" u="none" strike="noStrike" baseline="0">
              <a:solidFill>
                <a:srgbClr val="000000"/>
              </a:solidFill>
              <a:latin typeface="Arial"/>
              <a:cs typeface="Arial"/>
            </a:rPr>
            <a:t>- Deckungsanteile für die Kombination von bis zu drei Wärmeerzeugern (Solaranlage, Grundlastwärmeerzeuger und </a:t>
          </a:r>
        </a:p>
        <a:p>
          <a:pPr algn="l" rtl="0">
            <a:defRPr sz="1000"/>
          </a:pPr>
          <a:r>
            <a:rPr lang="de-DE" sz="800" b="0" i="1" u="none" strike="noStrike" baseline="0">
              <a:solidFill>
                <a:srgbClr val="000000"/>
              </a:solidFill>
              <a:latin typeface="Arial"/>
              <a:cs typeface="Arial"/>
            </a:rPr>
            <a:t>  Spitzenlastwärmeerzeuger) sind fest definierte Standardwerte.</a:t>
          </a:r>
        </a:p>
        <a:p>
          <a:pPr algn="l" rtl="0">
            <a:defRPr sz="1000"/>
          </a:pPr>
          <a:r>
            <a:rPr lang="de-DE" sz="800" b="0" i="1" u="none" strike="noStrike" baseline="0">
              <a:solidFill>
                <a:srgbClr val="000000"/>
              </a:solidFill>
              <a:latin typeface="Arial"/>
              <a:cs typeface="Arial"/>
            </a:rPr>
            <a:t>- Der Primärenergieträger Holz kann nicht gewählt werden.</a:t>
          </a:r>
        </a:p>
        <a:p>
          <a:pPr algn="l" rtl="0">
            <a:defRPr sz="1000"/>
          </a:pPr>
          <a:r>
            <a:rPr lang="de-DE" sz="800" b="0" i="1" u="none" strike="noStrike" baseline="0">
              <a:solidFill>
                <a:srgbClr val="000000"/>
              </a:solidFill>
              <a:latin typeface="Arial"/>
              <a:cs typeface="Arial"/>
            </a:rPr>
            <a:t>- Heizungspufferspeicher können für Systeme mit Heizkreistemperaturen von über 55/45°C nicht gewählt werden.</a:t>
          </a: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Für alle Anlagen, die nicht mit den in diesem Programm angebotenen Auswahlparametern beschrieben werden können, sei hier auf das ausführliche Berechnungsverfahren der DIN V 4701-10 verwiesen.</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xdr:txBody>
    </xdr:sp>
    <xdr:clientData/>
  </xdr:twoCellAnchor>
  <xdr:twoCellAnchor>
    <xdr:from>
      <xdr:col>0</xdr:col>
      <xdr:colOff>0</xdr:colOff>
      <xdr:row>36</xdr:row>
      <xdr:rowOff>0</xdr:rowOff>
    </xdr:from>
    <xdr:to>
      <xdr:col>6</xdr:col>
      <xdr:colOff>1619250</xdr:colOff>
      <xdr:row>36</xdr:row>
      <xdr:rowOff>0</xdr:rowOff>
    </xdr:to>
    <xdr:sp macro="" textlink="">
      <xdr:nvSpPr>
        <xdr:cNvPr id="73730" name="Text Box 2">
          <a:extLst>
            <a:ext uri="{FF2B5EF4-FFF2-40B4-BE49-F238E27FC236}">
              <a16:creationId xmlns:a16="http://schemas.microsoft.com/office/drawing/2014/main" id="{00000000-0008-0000-0900-000002200100}"/>
            </a:ext>
          </a:extLst>
        </xdr:cNvPr>
        <xdr:cNvSpPr txBox="1">
          <a:spLocks noChangeArrowheads="1"/>
        </xdr:cNvSpPr>
      </xdr:nvSpPr>
      <xdr:spPr bwMode="auto">
        <a:xfrm>
          <a:off x="0" y="6000750"/>
          <a:ext cx="5734050" cy="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just" rtl="0">
            <a:defRPr sz="1000"/>
          </a:pPr>
          <a:endParaRPr lang="de-DE" sz="800" b="0" i="1" u="none" strike="noStrike" baseline="0">
            <a:solidFill>
              <a:srgbClr val="000000"/>
            </a:solidFill>
            <a:latin typeface="Arial"/>
            <a:cs typeface="Arial"/>
          </a:endParaRPr>
        </a:p>
        <a:p>
          <a:pPr algn="just" rtl="0">
            <a:defRPr sz="1000"/>
          </a:pPr>
          <a:r>
            <a:rPr lang="de-DE" sz="800" b="0" i="1" u="none" strike="noStrike" baseline="0">
              <a:solidFill>
                <a:srgbClr val="000000"/>
              </a:solidFill>
              <a:latin typeface="Arial"/>
              <a:cs typeface="Arial"/>
            </a:rPr>
            <a:t>Mit diesem Excel97-Programm können Sie den Primärenergiebedarf eines Gebäudes (mit Teil- und Unterergebnissen) bestimmen. </a:t>
          </a:r>
        </a:p>
        <a:p>
          <a:pPr algn="just" rtl="0">
            <a:defRPr sz="1000"/>
          </a:pPr>
          <a:endParaRPr lang="de-DE" sz="800" b="0" i="1" u="none" strike="noStrike" baseline="0">
            <a:solidFill>
              <a:srgbClr val="000000"/>
            </a:solidFill>
            <a:latin typeface="Arial"/>
            <a:cs typeface="Arial"/>
          </a:endParaRPr>
        </a:p>
        <a:p>
          <a:pPr algn="just" rtl="0">
            <a:defRPr sz="1000"/>
          </a:pPr>
          <a:r>
            <a:rPr lang="de-DE" sz="800" b="0" i="1" u="none" strike="noStrike" baseline="0">
              <a:solidFill>
                <a:srgbClr val="000000"/>
              </a:solidFill>
              <a:latin typeface="Arial"/>
              <a:cs typeface="Arial"/>
            </a:rPr>
            <a:t>Es empfielt sich zur Dokumentation alle Seiten zu drucken, da somit Anlagenbeschreibung und Ergebnisse zusammengefaßt dargestellt sind. Der eingegebene Projektname erscheint auf dem Kopf  jeder Seite.</a:t>
          </a:r>
        </a:p>
        <a:p>
          <a:pPr algn="just" rtl="0">
            <a:defRPr sz="1000"/>
          </a:pPr>
          <a:endParaRPr lang="de-DE" sz="800" b="0" i="1" u="none" strike="noStrike" baseline="0">
            <a:solidFill>
              <a:srgbClr val="000000"/>
            </a:solidFill>
            <a:latin typeface="Arial"/>
            <a:cs typeface="Arial"/>
          </a:endParaRPr>
        </a:p>
        <a:p>
          <a:pPr algn="just" rtl="0">
            <a:defRPr sz="1000"/>
          </a:pPr>
          <a:r>
            <a:rPr lang="de-DE" sz="800" b="0" i="1" u="none" strike="noStrike" baseline="0">
              <a:solidFill>
                <a:srgbClr val="000000"/>
              </a:solidFill>
              <a:latin typeface="Arial"/>
              <a:cs typeface="Arial"/>
            </a:rPr>
            <a:t>Die Berechnung der Primärenergieaufwandszahl erfolgt, wenn eine vollständige Beschreibung des Trinkwarmwasser-, Heizungs- und Lüftungssystem eingegeben ist. Es ist vorteilhaft (aber nicht zwangsläufig nötig) die Systemeigenschaften von oben nach unten durchgehend einzustellen. Die Beschreibung der Anlage gilt als abgeschlossen, wenn keine der Eingabeboxen mehr "- - -" anzeigt.</a:t>
          </a:r>
        </a:p>
        <a:p>
          <a:pPr algn="just" rtl="0">
            <a:defRPr sz="1000"/>
          </a:pPr>
          <a:endParaRPr lang="de-DE" sz="800" b="0" i="1" u="none" strike="noStrike" baseline="0">
            <a:solidFill>
              <a:srgbClr val="000000"/>
            </a:solidFill>
            <a:latin typeface="Arial"/>
            <a:cs typeface="Arial"/>
          </a:endParaRPr>
        </a:p>
        <a:p>
          <a:pPr algn="just" rtl="0">
            <a:defRPr sz="1000"/>
          </a:pPr>
          <a:r>
            <a:rPr lang="de-DE" sz="800" b="0" i="1" u="none" strike="noStrike" baseline="0">
              <a:solidFill>
                <a:srgbClr val="000000"/>
              </a:solidFill>
              <a:latin typeface="Arial"/>
              <a:cs typeface="Arial"/>
            </a:rPr>
            <a:t>Das Programm gilt für Wohngebäude und Gebäude mit wohnähnlicher Nutzung, deren Heizwärmebedarf qh nach Anhang 1 der EnEV berechnet wurde. </a:t>
          </a: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a:p>
          <a:pPr algn="just" rtl="0">
            <a:defRPr sz="1000"/>
          </a:pPr>
          <a:endParaRPr lang="de-DE" sz="800" b="0" i="1" u="none" strike="noStrike" baseline="0">
            <a:solidFill>
              <a:srgbClr val="000000"/>
            </a:solidFill>
            <a:latin typeface="Arial"/>
            <a:cs typeface="Arial"/>
          </a:endParaRPr>
        </a:p>
      </xdr:txBody>
    </xdr:sp>
    <xdr:clientData/>
  </xdr:twoCellAnchor>
  <xdr:twoCellAnchor>
    <xdr:from>
      <xdr:col>0</xdr:col>
      <xdr:colOff>38100</xdr:colOff>
      <xdr:row>36</xdr:row>
      <xdr:rowOff>0</xdr:rowOff>
    </xdr:from>
    <xdr:to>
      <xdr:col>3</xdr:col>
      <xdr:colOff>771525</xdr:colOff>
      <xdr:row>36</xdr:row>
      <xdr:rowOff>0</xdr:rowOff>
    </xdr:to>
    <xdr:sp macro="" textlink="">
      <xdr:nvSpPr>
        <xdr:cNvPr id="73731" name="Text Box 3">
          <a:extLst>
            <a:ext uri="{FF2B5EF4-FFF2-40B4-BE49-F238E27FC236}">
              <a16:creationId xmlns:a16="http://schemas.microsoft.com/office/drawing/2014/main" id="{00000000-0008-0000-0900-000003200100}"/>
            </a:ext>
          </a:extLst>
        </xdr:cNvPr>
        <xdr:cNvSpPr txBox="1">
          <a:spLocks noChangeArrowheads="1"/>
        </xdr:cNvSpPr>
      </xdr:nvSpPr>
      <xdr:spPr bwMode="auto">
        <a:xfrm>
          <a:off x="38100" y="6000750"/>
          <a:ext cx="2314575" cy="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800" b="0" i="1" u="sng" strike="noStrike" baseline="0">
              <a:solidFill>
                <a:srgbClr val="000000"/>
              </a:solidFill>
              <a:latin typeface="Arial"/>
              <a:cs typeface="Arial"/>
            </a:rPr>
            <a:t>Formelzeichen:</a:t>
          </a: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q               spezifische Jahresenergiemenge </a:t>
          </a:r>
        </a:p>
        <a:p>
          <a:pPr algn="l" rtl="0">
            <a:defRPr sz="1000"/>
          </a:pPr>
          <a:r>
            <a:rPr lang="de-DE" sz="800" b="0" i="1" u="none" strike="noStrike" baseline="0">
              <a:solidFill>
                <a:srgbClr val="000000"/>
              </a:solidFill>
              <a:latin typeface="Arial"/>
              <a:cs typeface="Arial"/>
            </a:rPr>
            <a:t>e               Aufwandszahl  </a:t>
          </a:r>
        </a:p>
        <a:p>
          <a:pPr algn="l" rtl="0">
            <a:defRPr sz="1000"/>
          </a:pPr>
          <a:r>
            <a:rPr lang="de-DE" sz="800" b="0" i="1" u="none" strike="noStrike" baseline="0">
              <a:solidFill>
                <a:srgbClr val="000000"/>
              </a:solidFill>
              <a:latin typeface="Arial"/>
              <a:cs typeface="Arial"/>
            </a:rPr>
            <a:t>a               Deckungsanteil      </a:t>
          </a:r>
        </a:p>
        <a:p>
          <a:pPr algn="l" rtl="0">
            <a:defRPr sz="1000"/>
          </a:pPr>
          <a:r>
            <a:rPr lang="de-DE" sz="800" b="0" i="1" u="none" strike="noStrike" baseline="0">
              <a:solidFill>
                <a:srgbClr val="000000"/>
              </a:solidFill>
              <a:latin typeface="Arial"/>
              <a:cs typeface="Arial"/>
            </a:rPr>
            <a:t>fprim         Primärenergiefaktor</a:t>
          </a:r>
        </a:p>
        <a:p>
          <a:pPr algn="l" rtl="0">
            <a:defRPr sz="1000"/>
          </a:pPr>
          <a:r>
            <a:rPr lang="de-DE" sz="800" b="0" i="1" u="none" strike="noStrike" baseline="0">
              <a:solidFill>
                <a:srgbClr val="000000"/>
              </a:solidFill>
              <a:latin typeface="Arial"/>
              <a:cs typeface="Arial"/>
            </a:rPr>
            <a:t>A              Fläche</a:t>
          </a:r>
        </a:p>
        <a:p>
          <a:pPr algn="l" rtl="0">
            <a:defRPr sz="1000"/>
          </a:pPr>
          <a:r>
            <a:rPr lang="de-DE" sz="800" b="0" i="1" u="none" strike="noStrike" baseline="0">
              <a:solidFill>
                <a:srgbClr val="000000"/>
              </a:solidFill>
              <a:latin typeface="Arial"/>
              <a:cs typeface="Arial"/>
            </a:rPr>
            <a:t>V              Volumen</a:t>
          </a:r>
        </a:p>
        <a:p>
          <a:pPr algn="l" rtl="0">
            <a:defRPr sz="1000"/>
          </a:pPr>
          <a:r>
            <a:rPr lang="de-DE" sz="800" b="0" i="1" u="none" strike="noStrike" baseline="0">
              <a:solidFill>
                <a:srgbClr val="000000"/>
              </a:solidFill>
              <a:latin typeface="Arial"/>
              <a:cs typeface="Arial"/>
            </a:rPr>
            <a:t>g               g-Wert für Fenster</a:t>
          </a:r>
        </a:p>
        <a:p>
          <a:pPr algn="l" rtl="0">
            <a:defRPr sz="1000"/>
          </a:pPr>
          <a:r>
            <a:rPr lang="de-DE" sz="800" b="0" i="1" u="none" strike="noStrike" baseline="0">
              <a:solidFill>
                <a:srgbClr val="000000"/>
              </a:solidFill>
              <a:latin typeface="Arial"/>
              <a:cs typeface="Arial"/>
            </a:rPr>
            <a:t>U               Wärmedurchgangskoeffizient</a:t>
          </a:r>
        </a:p>
        <a:p>
          <a:pPr algn="l" rtl="0">
            <a:defRPr sz="1000"/>
          </a:pPr>
          <a:r>
            <a:rPr lang="de-DE" sz="800" b="0" i="1" u="none" strike="noStrike" baseline="0">
              <a:solidFill>
                <a:srgbClr val="000000"/>
              </a:solidFill>
              <a:latin typeface="Arial"/>
              <a:cs typeface="Arial"/>
            </a:rPr>
            <a:t>n               Luftwechsel</a:t>
          </a:r>
        </a:p>
        <a:p>
          <a:pPr algn="l" rtl="0">
            <a:defRPr sz="1000"/>
          </a:pPr>
          <a:r>
            <a:rPr lang="de-DE" sz="800" b="0" i="1" u="none" strike="noStrike" baseline="0">
              <a:solidFill>
                <a:srgbClr val="000000"/>
              </a:solidFill>
              <a:latin typeface="Arial"/>
              <a:cs typeface="Arial"/>
            </a:rPr>
            <a:t>Gt              Gradtagszahl</a:t>
          </a:r>
        </a:p>
        <a:p>
          <a:pPr algn="l" rtl="0">
            <a:defRPr sz="1000"/>
          </a:pPr>
          <a:endParaRPr lang="de-DE" sz="800" b="0" i="1" u="none" strike="noStrike" baseline="0">
            <a:solidFill>
              <a:srgbClr val="000000"/>
            </a:solidFill>
            <a:latin typeface="Arial"/>
            <a:cs typeface="Arial"/>
          </a:endParaRPr>
        </a:p>
        <a:p>
          <a:pPr algn="l" rtl="0">
            <a:defRPr sz="1000"/>
          </a:pPr>
          <a:r>
            <a:rPr lang="de-DE" sz="800" b="0" i="1" u="sng" strike="noStrike" baseline="0">
              <a:solidFill>
                <a:srgbClr val="000000"/>
              </a:solidFill>
              <a:latin typeface="Arial"/>
              <a:cs typeface="Arial"/>
            </a:rPr>
            <a:t>Indices:</a:t>
          </a: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TW             Trinkwarmwasser (Energie)  </a:t>
          </a:r>
        </a:p>
        <a:p>
          <a:pPr algn="l" rtl="0">
            <a:defRPr sz="1000"/>
          </a:pPr>
          <a:r>
            <a:rPr lang="de-DE" sz="800" b="0" i="1" u="none" strike="noStrike" baseline="0">
              <a:solidFill>
                <a:srgbClr val="000000"/>
              </a:solidFill>
              <a:latin typeface="Arial"/>
              <a:cs typeface="Arial"/>
            </a:rPr>
            <a:t>L                Lüftung (Energie)    </a:t>
          </a:r>
        </a:p>
        <a:p>
          <a:pPr algn="l" rtl="0">
            <a:defRPr sz="1000"/>
          </a:pPr>
          <a:r>
            <a:rPr lang="de-DE" sz="800" b="0" i="1" u="none" strike="noStrike" baseline="0">
              <a:solidFill>
                <a:srgbClr val="000000"/>
              </a:solidFill>
              <a:latin typeface="Arial"/>
              <a:cs typeface="Arial"/>
            </a:rPr>
            <a:t>H               Heizung (Energie)</a:t>
          </a:r>
        </a:p>
        <a:p>
          <a:pPr algn="l" rtl="0">
            <a:defRPr sz="1000"/>
          </a:pPr>
          <a:r>
            <a:rPr lang="de-DE" sz="800" b="0" i="1" u="none" strike="noStrike" baseline="0">
              <a:solidFill>
                <a:srgbClr val="000000"/>
              </a:solidFill>
              <a:latin typeface="Arial"/>
              <a:cs typeface="Arial"/>
            </a:rPr>
            <a:t>HE             Hilfsenergie</a:t>
          </a:r>
        </a:p>
        <a:p>
          <a:pPr algn="l" rtl="0">
            <a:defRPr sz="1000"/>
          </a:pPr>
          <a:r>
            <a:rPr lang="de-DE" sz="800" b="0" i="1" u="none" strike="noStrike" baseline="0">
              <a:solidFill>
                <a:srgbClr val="000000"/>
              </a:solidFill>
              <a:latin typeface="Arial"/>
              <a:cs typeface="Arial"/>
            </a:rPr>
            <a:t>WE            Wärmeenergie</a:t>
          </a:r>
        </a:p>
        <a:p>
          <a:pPr algn="l" rtl="0">
            <a:defRPr sz="1000"/>
          </a:pPr>
          <a:r>
            <a:rPr lang="de-DE" sz="800" b="0" i="1" u="none" strike="noStrike" baseline="0">
              <a:solidFill>
                <a:srgbClr val="000000"/>
              </a:solidFill>
              <a:latin typeface="Arial"/>
              <a:cs typeface="Arial"/>
            </a:rPr>
            <a:t>P                Primärenergie            </a:t>
          </a: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tw              Trinkwarmwassernutzwärme     </a:t>
          </a:r>
        </a:p>
        <a:p>
          <a:pPr algn="l" rtl="0">
            <a:defRPr sz="1000"/>
          </a:pPr>
          <a:r>
            <a:rPr lang="de-DE" sz="800" b="0" i="1" u="none" strike="noStrike" baseline="0">
              <a:solidFill>
                <a:srgbClr val="000000"/>
              </a:solidFill>
              <a:latin typeface="Arial"/>
              <a:cs typeface="Arial"/>
            </a:rPr>
            <a:t>h                Heizwärmebedarf               </a:t>
          </a:r>
        </a:p>
        <a:p>
          <a:pPr algn="l" rtl="0">
            <a:defRPr sz="1000"/>
          </a:pPr>
          <a:r>
            <a:rPr lang="de-DE" sz="800" b="0" i="1" u="none" strike="noStrike" baseline="0">
              <a:solidFill>
                <a:srgbClr val="000000"/>
              </a:solidFill>
              <a:latin typeface="Arial"/>
              <a:cs typeface="Arial"/>
            </a:rPr>
            <a:t>                                                                                                                </a:t>
          </a:r>
        </a:p>
        <a:p>
          <a:pPr algn="l" rtl="0">
            <a:defRPr sz="1000"/>
          </a:pPr>
          <a:r>
            <a:rPr lang="de-DE" sz="800" b="0" i="1" u="none" strike="noStrike" baseline="0">
              <a:solidFill>
                <a:srgbClr val="000000"/>
              </a:solidFill>
              <a:latin typeface="Arial"/>
              <a:cs typeface="Arial"/>
            </a:rPr>
            <a:t>                                                         </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xdr:txBody>
    </xdr:sp>
    <xdr:clientData/>
  </xdr:twoCellAnchor>
  <xdr:twoCellAnchor>
    <xdr:from>
      <xdr:col>3</xdr:col>
      <xdr:colOff>600075</xdr:colOff>
      <xdr:row>36</xdr:row>
      <xdr:rowOff>0</xdr:rowOff>
    </xdr:from>
    <xdr:to>
      <xdr:col>6</xdr:col>
      <xdr:colOff>1466850</xdr:colOff>
      <xdr:row>36</xdr:row>
      <xdr:rowOff>0</xdr:rowOff>
    </xdr:to>
    <xdr:sp macro="" textlink="">
      <xdr:nvSpPr>
        <xdr:cNvPr id="73732" name="Text Box 4">
          <a:extLst>
            <a:ext uri="{FF2B5EF4-FFF2-40B4-BE49-F238E27FC236}">
              <a16:creationId xmlns:a16="http://schemas.microsoft.com/office/drawing/2014/main" id="{00000000-0008-0000-0900-000004200100}"/>
            </a:ext>
          </a:extLst>
        </xdr:cNvPr>
        <xdr:cNvSpPr txBox="1">
          <a:spLocks noChangeArrowheads="1"/>
        </xdr:cNvSpPr>
      </xdr:nvSpPr>
      <xdr:spPr bwMode="auto">
        <a:xfrm>
          <a:off x="2181225" y="6000750"/>
          <a:ext cx="3400425" cy="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19050">
              <a:solidFill>
                <a:srgbClr val="000000"/>
              </a:solidFill>
              <a:miter lim="800000"/>
              <a:headEnd/>
              <a:tailEnd/>
            </a14:hiddenLine>
          </a:ext>
        </a:extLst>
      </xdr:spPr>
      <xdr:txBody>
        <a:bodyPr vertOverflow="clip" wrap="square" lIns="91440" tIns="45720" rIns="91440" bIns="45720" anchor="ctr" upright="1"/>
        <a:lstStyle/>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kWh/(m²a)</a:t>
          </a:r>
        </a:p>
        <a:p>
          <a:pPr algn="l" rtl="0">
            <a:defRPr sz="1000"/>
          </a:pPr>
          <a:r>
            <a:rPr lang="de-DE" sz="800" b="0" i="1" u="none" strike="noStrike" baseline="0">
              <a:solidFill>
                <a:srgbClr val="000000"/>
              </a:solidFill>
              <a:latin typeface="Arial"/>
              <a:cs typeface="Arial"/>
            </a:rPr>
            <a:t>ohne Einheit</a:t>
          </a:r>
        </a:p>
        <a:p>
          <a:pPr algn="l" rtl="0">
            <a:defRPr sz="1000"/>
          </a:pPr>
          <a:r>
            <a:rPr lang="de-DE" sz="800" b="0" i="1" u="none" strike="noStrike" baseline="0">
              <a:solidFill>
                <a:srgbClr val="000000"/>
              </a:solidFill>
              <a:latin typeface="Arial"/>
              <a:cs typeface="Arial"/>
            </a:rPr>
            <a:t>ohne Einheit</a:t>
          </a:r>
        </a:p>
        <a:p>
          <a:pPr algn="l" rtl="0">
            <a:defRPr sz="1000"/>
          </a:pPr>
          <a:r>
            <a:rPr lang="de-DE" sz="800" b="0" i="1" u="none" strike="noStrike" baseline="0">
              <a:solidFill>
                <a:srgbClr val="000000"/>
              </a:solidFill>
              <a:latin typeface="Arial"/>
              <a:cs typeface="Arial"/>
            </a:rPr>
            <a:t>ohne Einheit</a:t>
          </a:r>
        </a:p>
        <a:p>
          <a:pPr algn="l" rtl="0">
            <a:defRPr sz="1000"/>
          </a:pPr>
          <a:r>
            <a:rPr lang="de-DE" sz="800" b="0" i="1" u="none" strike="noStrike" baseline="0">
              <a:solidFill>
                <a:srgbClr val="000000"/>
              </a:solidFill>
              <a:latin typeface="Arial"/>
              <a:cs typeface="Arial"/>
            </a:rPr>
            <a:t>m²</a:t>
          </a:r>
        </a:p>
        <a:p>
          <a:pPr algn="l" rtl="0">
            <a:defRPr sz="1000"/>
          </a:pPr>
          <a:r>
            <a:rPr lang="de-DE" sz="800" b="0" i="1" u="none" strike="noStrike" baseline="0">
              <a:solidFill>
                <a:srgbClr val="000000"/>
              </a:solidFill>
              <a:latin typeface="Arial"/>
              <a:cs typeface="Arial"/>
            </a:rPr>
            <a:t>m³</a:t>
          </a:r>
        </a:p>
        <a:p>
          <a:pPr algn="l" rtl="0">
            <a:defRPr sz="1000"/>
          </a:pPr>
          <a:r>
            <a:rPr lang="de-DE" sz="800" b="0" i="1" u="none" strike="noStrike" baseline="0">
              <a:solidFill>
                <a:srgbClr val="000000"/>
              </a:solidFill>
              <a:latin typeface="Arial"/>
              <a:cs typeface="Arial"/>
            </a:rPr>
            <a:t>ohne Einheit</a:t>
          </a:r>
        </a:p>
        <a:p>
          <a:pPr algn="l" rtl="0">
            <a:defRPr sz="1000"/>
          </a:pPr>
          <a:r>
            <a:rPr lang="de-DE" sz="800" b="0" i="1" u="none" strike="noStrike" baseline="0">
              <a:solidFill>
                <a:srgbClr val="000000"/>
              </a:solidFill>
              <a:latin typeface="Arial"/>
              <a:cs typeface="Arial"/>
            </a:rPr>
            <a:t>W/(m²K)</a:t>
          </a:r>
        </a:p>
        <a:p>
          <a:pPr algn="l" rtl="0">
            <a:defRPr sz="1000"/>
          </a:pPr>
          <a:r>
            <a:rPr lang="de-DE" sz="800" b="0" i="1" u="none" strike="noStrike" baseline="0">
              <a:solidFill>
                <a:srgbClr val="000000"/>
              </a:solidFill>
              <a:latin typeface="Arial"/>
              <a:cs typeface="Arial"/>
            </a:rPr>
            <a:t>h-1</a:t>
          </a:r>
        </a:p>
        <a:p>
          <a:pPr algn="l" rtl="0">
            <a:defRPr sz="1000"/>
          </a:pPr>
          <a:r>
            <a:rPr lang="de-DE" sz="800" b="0" i="1" u="none" strike="noStrike" baseline="0">
              <a:solidFill>
                <a:srgbClr val="000000"/>
              </a:solidFill>
              <a:latin typeface="Arial"/>
              <a:cs typeface="Arial"/>
            </a:rPr>
            <a:t>kKh/a</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V               Lüftung</a:t>
          </a:r>
        </a:p>
        <a:p>
          <a:pPr algn="l" rtl="0">
            <a:defRPr sz="1000"/>
          </a:pPr>
          <a:r>
            <a:rPr lang="de-DE" sz="800" b="0" i="1" u="none" strike="noStrike" baseline="0">
              <a:solidFill>
                <a:srgbClr val="000000"/>
              </a:solidFill>
              <a:latin typeface="Arial"/>
              <a:cs typeface="Arial"/>
            </a:rPr>
            <a:t>T               Transmission</a:t>
          </a:r>
        </a:p>
        <a:p>
          <a:pPr algn="l" rtl="0">
            <a:defRPr sz="1000"/>
          </a:pPr>
          <a:r>
            <a:rPr lang="de-DE" sz="800" b="0" i="1" u="none" strike="noStrike" baseline="0">
              <a:solidFill>
                <a:srgbClr val="000000"/>
              </a:solidFill>
              <a:latin typeface="Arial"/>
              <a:cs typeface="Arial"/>
            </a:rPr>
            <a:t>I                 Innere Gewinne</a:t>
          </a:r>
        </a:p>
        <a:p>
          <a:pPr algn="l" rtl="0">
            <a:defRPr sz="1000"/>
          </a:pPr>
          <a:r>
            <a:rPr lang="de-DE" sz="800" b="0" i="1" u="none" strike="noStrike" baseline="0">
              <a:solidFill>
                <a:srgbClr val="000000"/>
              </a:solidFill>
              <a:latin typeface="Arial"/>
              <a:cs typeface="Arial"/>
            </a:rPr>
            <a:t>S                Solare Gewinne</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r>
            <a:rPr lang="de-DE" sz="800" b="0" i="1" u="none" strike="noStrike" baseline="0">
              <a:solidFill>
                <a:srgbClr val="000000"/>
              </a:solidFill>
              <a:latin typeface="Arial"/>
              <a:cs typeface="Arial"/>
            </a:rPr>
            <a:t>ce              Übergabe</a:t>
          </a:r>
        </a:p>
        <a:p>
          <a:pPr algn="l" rtl="0">
            <a:defRPr sz="1000"/>
          </a:pPr>
          <a:r>
            <a:rPr lang="de-DE" sz="800" b="0" i="1" u="none" strike="noStrike" baseline="0">
              <a:solidFill>
                <a:srgbClr val="000000"/>
              </a:solidFill>
              <a:latin typeface="Arial"/>
              <a:cs typeface="Arial"/>
            </a:rPr>
            <a:t>d                Verteilung</a:t>
          </a:r>
        </a:p>
        <a:p>
          <a:pPr algn="l" rtl="0">
            <a:defRPr sz="1000"/>
          </a:pPr>
          <a:r>
            <a:rPr lang="de-DE" sz="800" b="0" i="1" u="none" strike="noStrike" baseline="0">
              <a:solidFill>
                <a:srgbClr val="000000"/>
              </a:solidFill>
              <a:latin typeface="Arial"/>
              <a:cs typeface="Arial"/>
            </a:rPr>
            <a:t>s                Speicherung                                               </a:t>
          </a:r>
        </a:p>
        <a:p>
          <a:pPr algn="l" rtl="0">
            <a:defRPr sz="1000"/>
          </a:pPr>
          <a:r>
            <a:rPr lang="de-DE" sz="800" b="0" i="1" u="none" strike="noStrike" baseline="0">
              <a:solidFill>
                <a:srgbClr val="000000"/>
              </a:solidFill>
              <a:latin typeface="Arial"/>
              <a:cs typeface="Arial"/>
            </a:rPr>
            <a:t>g                Erzeugung</a:t>
          </a: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a:p>
          <a:pPr algn="l" rtl="0">
            <a:defRPr sz="1000"/>
          </a:pPr>
          <a:endParaRPr lang="de-DE" sz="800" b="0" i="1" u="none" strike="noStrike" baseline="0">
            <a:solidFill>
              <a:srgbClr val="000000"/>
            </a:solidFill>
            <a:latin typeface="Arial"/>
            <a:cs typeface="Arial"/>
          </a:endParaRPr>
        </a:p>
      </xdr:txBody>
    </xdr:sp>
    <xdr:clientData/>
  </xdr:twoCellAnchor>
  <xdr:twoCellAnchor>
    <xdr:from>
      <xdr:col>0</xdr:col>
      <xdr:colOff>333375</xdr:colOff>
      <xdr:row>1</xdr:row>
      <xdr:rowOff>152400</xdr:rowOff>
    </xdr:from>
    <xdr:to>
      <xdr:col>6</xdr:col>
      <xdr:colOff>1285875</xdr:colOff>
      <xdr:row>7</xdr:row>
      <xdr:rowOff>0</xdr:rowOff>
    </xdr:to>
    <xdr:sp macro="" textlink="">
      <xdr:nvSpPr>
        <xdr:cNvPr id="73733" name="Text Box 5">
          <a:extLst>
            <a:ext uri="{FF2B5EF4-FFF2-40B4-BE49-F238E27FC236}">
              <a16:creationId xmlns:a16="http://schemas.microsoft.com/office/drawing/2014/main" id="{00000000-0008-0000-0900-000005200100}"/>
            </a:ext>
          </a:extLst>
        </xdr:cNvPr>
        <xdr:cNvSpPr txBox="1">
          <a:spLocks noChangeArrowheads="1"/>
        </xdr:cNvSpPr>
      </xdr:nvSpPr>
      <xdr:spPr bwMode="auto">
        <a:xfrm>
          <a:off x="333375" y="371475"/>
          <a:ext cx="5067300" cy="819150"/>
        </a:xfrm>
        <a:prstGeom prst="rect">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0" anchor="t" upright="1"/>
        <a:lstStyle/>
        <a:p>
          <a:pPr algn="ctr" rtl="0">
            <a:defRPr sz="1000"/>
          </a:pPr>
          <a:r>
            <a:rPr lang="de-DE" sz="1600" b="1" i="0" u="none" strike="noStrike" baseline="0">
              <a:solidFill>
                <a:srgbClr val="FFFFFF"/>
              </a:solidFill>
              <a:latin typeface="Arial"/>
              <a:cs typeface="Arial"/>
            </a:rPr>
            <a:t>Bestimmung des </a:t>
          </a:r>
        </a:p>
        <a:p>
          <a:pPr algn="ctr" rtl="0">
            <a:defRPr sz="1000"/>
          </a:pPr>
          <a:r>
            <a:rPr lang="de-DE" sz="1600" b="1" i="0" u="none" strike="noStrike" baseline="0">
              <a:solidFill>
                <a:srgbClr val="FFFFFF"/>
              </a:solidFill>
              <a:latin typeface="Arial"/>
              <a:cs typeface="Arial"/>
            </a:rPr>
            <a:t>Primärenergiebedarfes</a:t>
          </a:r>
        </a:p>
        <a:p>
          <a:pPr algn="ctr" rtl="0">
            <a:defRPr sz="1000"/>
          </a:pPr>
          <a:r>
            <a:rPr lang="de-DE" sz="1600" b="1" i="0" u="none" strike="noStrike" baseline="0">
              <a:solidFill>
                <a:srgbClr val="FFFFFF"/>
              </a:solidFill>
              <a:latin typeface="Arial"/>
              <a:cs typeface="Arial"/>
            </a:rPr>
            <a:t> für neue Wohngebäude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drawing" Target="../drawings/drawing2.x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16" Type="http://schemas.openxmlformats.org/officeDocument/2006/relationships/ctrlProp" Target="../ctrlProps/ctrlProp25.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5" Type="http://schemas.openxmlformats.org/officeDocument/2006/relationships/ctrlProp" Target="../ctrlProps/ctrlProp14.xml"/><Relationship Id="rId61" Type="http://schemas.openxmlformats.org/officeDocument/2006/relationships/ctrlProp" Target="../ctrlProps/ctrlProp70.xml"/><Relationship Id="rId82" Type="http://schemas.openxmlformats.org/officeDocument/2006/relationships/comments" Target="../comments3.xml"/><Relationship Id="rId19" Type="http://schemas.openxmlformats.org/officeDocument/2006/relationships/ctrlProp" Target="../ctrlProps/ctrlProp2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69" Type="http://schemas.openxmlformats.org/officeDocument/2006/relationships/ctrlProp" Target="../ctrlProps/ctrlProp78.xml"/><Relationship Id="rId77" Type="http://schemas.openxmlformats.org/officeDocument/2006/relationships/ctrlProp" Target="../ctrlProps/ctrlProp86.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80" Type="http://schemas.openxmlformats.org/officeDocument/2006/relationships/ctrlProp" Target="../ctrlProps/ctrlProp89.xml"/><Relationship Id="rId3" Type="http://schemas.openxmlformats.org/officeDocument/2006/relationships/vmlDrawing" Target="../drawings/vmlDrawing3.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70" Type="http://schemas.openxmlformats.org/officeDocument/2006/relationships/ctrlProp" Target="../ctrlProps/ctrlProp79.xml"/><Relationship Id="rId75" Type="http://schemas.openxmlformats.org/officeDocument/2006/relationships/ctrlProp" Target="../ctrlProps/ctrlProp84.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7" Type="http://schemas.openxmlformats.org/officeDocument/2006/relationships/ctrlProp" Target="../ctrlProps/ctrlProp16.xml"/><Relationship Id="rId71" Type="http://schemas.openxmlformats.org/officeDocument/2006/relationships/ctrlProp" Target="../ctrlProps/ctrlProp80.xml"/><Relationship Id="rId2" Type="http://schemas.openxmlformats.org/officeDocument/2006/relationships/drawing" Target="../drawings/drawing3.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 Type="http://schemas.openxmlformats.org/officeDocument/2006/relationships/printerSettings" Target="../printerSettings/printerSettings9.bin"/><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omments" Target="../comments4.xml"/><Relationship Id="rId2" Type="http://schemas.openxmlformats.org/officeDocument/2006/relationships/printerSettings" Target="../printerSettings/printerSettings8.bin"/><Relationship Id="rId16" Type="http://schemas.openxmlformats.org/officeDocument/2006/relationships/ctrlProp" Target="../ctrlProps/ctrlProp101.xml"/><Relationship Id="rId20" Type="http://schemas.openxmlformats.org/officeDocument/2006/relationships/ctrlProp" Target="../ctrlProps/ctrlProp105.xml"/><Relationship Id="rId29" Type="http://schemas.openxmlformats.org/officeDocument/2006/relationships/ctrlProp" Target="../ctrlProps/ctrlProp114.xml"/><Relationship Id="rId1" Type="http://schemas.openxmlformats.org/officeDocument/2006/relationships/printerSettings" Target="../printerSettings/printerSettings7.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5" Type="http://schemas.openxmlformats.org/officeDocument/2006/relationships/vmlDrawing" Target="../drawings/vmlDrawing4.v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10" Type="http://schemas.openxmlformats.org/officeDocument/2006/relationships/ctrlProp" Target="../ctrlProps/ctrlProp95.xml"/><Relationship Id="rId19" Type="http://schemas.openxmlformats.org/officeDocument/2006/relationships/ctrlProp" Target="../ctrlProps/ctrlProp104.xml"/><Relationship Id="rId31" Type="http://schemas.openxmlformats.org/officeDocument/2006/relationships/ctrlProp" Target="../ctrlProps/ctrlProp116.xml"/><Relationship Id="rId4" Type="http://schemas.openxmlformats.org/officeDocument/2006/relationships/drawing" Target="../drawings/drawing4.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8" Type="http://schemas.openxmlformats.org/officeDocument/2006/relationships/ctrlProp" Target="../ctrlProps/ctrlProp9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7" Type="http://schemas.openxmlformats.org/officeDocument/2006/relationships/ctrlProp" Target="../ctrlProps/ctrlProp120.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trlProp" Target="../ctrlProps/ctrlProp119.xml"/><Relationship Id="rId5" Type="http://schemas.openxmlformats.org/officeDocument/2006/relationships/ctrlProp" Target="../ctrlProps/ctrlProp118.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R22"/>
  <sheetViews>
    <sheetView workbookViewId="0">
      <selection sqref="A1:XFD1048576"/>
    </sheetView>
  </sheetViews>
  <sheetFormatPr baseColWidth="10" defaultColWidth="11" defaultRowHeight="14" x14ac:dyDescent="0.3"/>
  <cols>
    <col min="1" max="16384" width="11" style="258"/>
  </cols>
  <sheetData>
    <row r="1" spans="1:18" x14ac:dyDescent="0.3">
      <c r="A1" s="258" t="s">
        <v>715</v>
      </c>
      <c r="B1" s="258" t="s">
        <v>716</v>
      </c>
      <c r="C1" s="258" t="s">
        <v>717</v>
      </c>
      <c r="D1" s="258" t="s">
        <v>727</v>
      </c>
      <c r="E1" s="258" t="s">
        <v>718</v>
      </c>
      <c r="F1" s="258" t="s">
        <v>719</v>
      </c>
      <c r="G1" s="258" t="s">
        <v>720</v>
      </c>
      <c r="H1" s="258" t="s">
        <v>721</v>
      </c>
      <c r="I1" s="258" t="s">
        <v>722</v>
      </c>
      <c r="J1" s="258" t="s">
        <v>723</v>
      </c>
      <c r="K1" s="258" t="s">
        <v>724</v>
      </c>
      <c r="L1" s="258" t="s">
        <v>725</v>
      </c>
      <c r="M1" s="258" t="s">
        <v>544</v>
      </c>
      <c r="N1" s="480" t="s">
        <v>728</v>
      </c>
      <c r="O1" s="258" t="s">
        <v>729</v>
      </c>
      <c r="R1" s="258" t="s">
        <v>726</v>
      </c>
    </row>
    <row r="2" spans="1:18" x14ac:dyDescent="0.3">
      <c r="A2" s="258" t="str">
        <f>C22</f>
        <v>FREE (V7.3)</v>
      </c>
      <c r="N2" s="480"/>
      <c r="P2" s="494"/>
    </row>
    <row r="4" spans="1:18" x14ac:dyDescent="0.3">
      <c r="A4" s="258" t="s">
        <v>314</v>
      </c>
      <c r="C4" s="258" t="s">
        <v>313</v>
      </c>
    </row>
    <row r="5" spans="1:18" x14ac:dyDescent="0.3">
      <c r="A5" s="258" t="s">
        <v>789</v>
      </c>
      <c r="C5" s="258" t="s">
        <v>788</v>
      </c>
    </row>
    <row r="6" spans="1:18" x14ac:dyDescent="0.3">
      <c r="A6" s="258" t="s">
        <v>791</v>
      </c>
      <c r="C6" s="258" t="s">
        <v>792</v>
      </c>
    </row>
    <row r="7" spans="1:18" x14ac:dyDescent="0.3">
      <c r="A7" s="258" t="s">
        <v>802</v>
      </c>
      <c r="C7" s="258" t="s">
        <v>803</v>
      </c>
    </row>
    <row r="8" spans="1:18" x14ac:dyDescent="0.3">
      <c r="A8" s="258" t="s">
        <v>806</v>
      </c>
      <c r="C8" s="258" t="s">
        <v>807</v>
      </c>
    </row>
    <row r="9" spans="1:18" x14ac:dyDescent="0.3">
      <c r="A9" s="258" t="s">
        <v>809</v>
      </c>
      <c r="C9" s="258" t="s">
        <v>810</v>
      </c>
    </row>
    <row r="10" spans="1:18" x14ac:dyDescent="0.3">
      <c r="A10" s="258" t="s">
        <v>1253</v>
      </c>
      <c r="C10" s="258" t="s">
        <v>1254</v>
      </c>
    </row>
    <row r="11" spans="1:18" x14ac:dyDescent="0.3">
      <c r="A11" s="258" t="s">
        <v>1256</v>
      </c>
      <c r="C11" s="258" t="s">
        <v>1257</v>
      </c>
    </row>
    <row r="12" spans="1:18" x14ac:dyDescent="0.3">
      <c r="A12" s="258" t="s">
        <v>1260</v>
      </c>
      <c r="C12" s="258" t="s">
        <v>1261</v>
      </c>
    </row>
    <row r="13" spans="1:18" x14ac:dyDescent="0.3">
      <c r="A13" s="258" t="s">
        <v>1262</v>
      </c>
      <c r="C13" s="258" t="s">
        <v>1263</v>
      </c>
    </row>
    <row r="14" spans="1:18" x14ac:dyDescent="0.3">
      <c r="A14" s="258" t="s">
        <v>1264</v>
      </c>
      <c r="C14" s="258" t="s">
        <v>1265</v>
      </c>
    </row>
    <row r="15" spans="1:18" x14ac:dyDescent="0.3">
      <c r="A15" s="258" t="s">
        <v>1291</v>
      </c>
      <c r="C15" s="258" t="s">
        <v>1292</v>
      </c>
    </row>
    <row r="16" spans="1:18" x14ac:dyDescent="0.3">
      <c r="A16" s="258" t="s">
        <v>1306</v>
      </c>
      <c r="C16" s="258" t="s">
        <v>1307</v>
      </c>
    </row>
    <row r="17" spans="1:3" x14ac:dyDescent="0.3">
      <c r="A17" s="258" t="s">
        <v>1309</v>
      </c>
      <c r="C17" s="258" t="s">
        <v>1310</v>
      </c>
    </row>
    <row r="18" spans="1:3" x14ac:dyDescent="0.3">
      <c r="A18" s="258" t="s">
        <v>1379</v>
      </c>
      <c r="C18" s="258" t="s">
        <v>1380</v>
      </c>
    </row>
    <row r="19" spans="1:3" x14ac:dyDescent="0.3">
      <c r="A19" s="1459" t="s">
        <v>1381</v>
      </c>
      <c r="C19" s="1459" t="s">
        <v>1382</v>
      </c>
    </row>
    <row r="20" spans="1:3" x14ac:dyDescent="0.3">
      <c r="A20" s="1459" t="s">
        <v>1394</v>
      </c>
      <c r="C20" s="1459" t="s">
        <v>1395</v>
      </c>
    </row>
    <row r="21" spans="1:3" x14ac:dyDescent="0.3">
      <c r="A21" s="1459" t="s">
        <v>1404</v>
      </c>
      <c r="C21" s="1459" t="s">
        <v>1405</v>
      </c>
    </row>
    <row r="22" spans="1:3" x14ac:dyDescent="0.3">
      <c r="A22" s="1459" t="s">
        <v>1406</v>
      </c>
      <c r="C22" s="1459" t="s">
        <v>1407</v>
      </c>
    </row>
  </sheetData>
  <customSheetViews>
    <customSheetView guid="{586D4F31-1FA3-11D6-B431-009027A4C716}" state="hidden" showRuler="0">
      <selection activeCell="A2" sqref="A2:P2"/>
      <pageMargins left="0.78740157499999996" right="0.78740157499999996" top="0.984251969" bottom="0.984251969" header="0.4921259845" footer="0.4921259845"/>
      <pageSetup paperSize="9" orientation="portrait" horizontalDpi="300" verticalDpi="300" r:id="rId1"/>
      <headerFooter alignWithMargins="0"/>
    </customSheetView>
  </customSheetViews>
  <phoneticPr fontId="0" type="noConversion"/>
  <pageMargins left="0.78740157499999996" right="0.78740157499999996" top="0.984251969" bottom="0.984251969" header="0.4921259845" footer="0.4921259845"/>
  <pageSetup paperSize="9"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5">
    <pageSetUpPr fitToPage="1"/>
  </sheetPr>
  <dimension ref="A1:H40"/>
  <sheetViews>
    <sheetView showGridLines="0" zoomScaleNormal="100" workbookViewId="0"/>
  </sheetViews>
  <sheetFormatPr baseColWidth="10" defaultColWidth="0" defaultRowHeight="12.75" customHeight="1" zeroHeight="1" x14ac:dyDescent="0.25"/>
  <cols>
    <col min="1" max="1" width="4.75" style="526" customWidth="1"/>
    <col min="2" max="2" width="5" style="526" customWidth="1"/>
    <col min="3" max="4" width="11" style="526" customWidth="1"/>
    <col min="5" max="5" width="11.25" style="526" customWidth="1"/>
    <col min="6" max="6" width="11" style="526" customWidth="1"/>
    <col min="7" max="7" width="21.83203125" style="526" customWidth="1"/>
    <col min="8" max="8" width="0.25" style="526" customWidth="1"/>
    <col min="9" max="16384" width="0" style="526" hidden="1"/>
  </cols>
  <sheetData>
    <row r="1" spans="1:8" s="300" customFormat="1" ht="17.25" customHeight="1" thickBot="1" x14ac:dyDescent="0.35">
      <c r="A1" s="578"/>
      <c r="B1" s="579"/>
      <c r="C1" s="517"/>
      <c r="D1" s="517"/>
      <c r="E1" s="578" t="s">
        <v>192</v>
      </c>
      <c r="F1" s="517"/>
      <c r="G1" s="580"/>
    </row>
    <row r="2" spans="1:8" ht="12.75" customHeight="1" x14ac:dyDescent="0.25">
      <c r="A2" s="581"/>
      <c r="G2" s="528"/>
    </row>
    <row r="3" spans="1:8" ht="12.75" customHeight="1" x14ac:dyDescent="0.25">
      <c r="A3" s="581"/>
      <c r="G3" s="528"/>
    </row>
    <row r="4" spans="1:8" ht="12.75" customHeight="1" x14ac:dyDescent="0.25">
      <c r="A4" s="581"/>
      <c r="G4" s="528"/>
    </row>
    <row r="5" spans="1:8" ht="12.75" customHeight="1" x14ac:dyDescent="0.25">
      <c r="A5" s="581"/>
      <c r="G5" s="528"/>
    </row>
    <row r="6" spans="1:8" ht="12.75" customHeight="1" x14ac:dyDescent="0.25">
      <c r="A6" s="581"/>
      <c r="G6" s="528"/>
    </row>
    <row r="7" spans="1:8" ht="12.75" customHeight="1" x14ac:dyDescent="0.25">
      <c r="A7" s="581"/>
      <c r="G7" s="528"/>
    </row>
    <row r="8" spans="1:8" ht="12.75" customHeight="1" x14ac:dyDescent="0.25">
      <c r="A8" s="581"/>
      <c r="G8" s="528"/>
    </row>
    <row r="9" spans="1:8" ht="12.75" customHeight="1" x14ac:dyDescent="0.25">
      <c r="A9" s="594"/>
      <c r="B9" s="751" t="s">
        <v>1410</v>
      </c>
      <c r="G9" s="528"/>
    </row>
    <row r="10" spans="1:8" ht="12.75" customHeight="1" thickBot="1" x14ac:dyDescent="0.3">
      <c r="A10" s="595"/>
      <c r="B10" s="751" t="s">
        <v>1411</v>
      </c>
      <c r="G10" s="528"/>
    </row>
    <row r="11" spans="1:8" s="300" customFormat="1" ht="17.25" customHeight="1" thickBot="1" x14ac:dyDescent="0.35">
      <c r="A11" s="578"/>
      <c r="B11" s="579"/>
      <c r="C11" s="517"/>
      <c r="D11" s="517"/>
      <c r="E11" s="578" t="s">
        <v>193</v>
      </c>
      <c r="F11" s="517"/>
      <c r="G11" s="580"/>
    </row>
    <row r="12" spans="1:8" s="300" customFormat="1" ht="12.75" customHeight="1" x14ac:dyDescent="0.3">
      <c r="A12" s="582" t="s">
        <v>57</v>
      </c>
      <c r="B12" s="574"/>
      <c r="C12" s="574"/>
      <c r="D12" s="583"/>
      <c r="E12" s="574"/>
      <c r="F12" s="574"/>
      <c r="G12" s="575"/>
    </row>
    <row r="13" spans="1:8" s="300" customFormat="1" ht="12.75" customHeight="1" x14ac:dyDescent="0.3">
      <c r="A13" s="576"/>
      <c r="B13" s="584"/>
      <c r="C13" s="304"/>
      <c r="D13" s="304"/>
      <c r="E13" s="304"/>
      <c r="F13" s="304"/>
      <c r="G13" s="577"/>
      <c r="H13" s="304"/>
    </row>
    <row r="14" spans="1:8" s="300" customFormat="1" ht="12.75" customHeight="1" x14ac:dyDescent="0.3">
      <c r="A14" s="576"/>
      <c r="B14" s="584" t="s">
        <v>781</v>
      </c>
      <c r="C14" s="304"/>
      <c r="D14" s="304"/>
      <c r="E14" s="304"/>
      <c r="F14" s="304"/>
      <c r="G14" s="577"/>
      <c r="H14" s="304"/>
    </row>
    <row r="15" spans="1:8" s="305" customFormat="1" ht="12.75" customHeight="1" x14ac:dyDescent="0.3">
      <c r="A15" s="576"/>
      <c r="B15" s="584" t="s">
        <v>782</v>
      </c>
      <c r="C15" s="304"/>
      <c r="D15" s="304"/>
      <c r="E15" s="304"/>
      <c r="F15" s="304"/>
      <c r="G15" s="577"/>
      <c r="H15" s="304"/>
    </row>
    <row r="16" spans="1:8" s="305" customFormat="1" ht="12.75" customHeight="1" x14ac:dyDescent="0.3">
      <c r="A16" s="576"/>
      <c r="B16" s="584" t="s">
        <v>1293</v>
      </c>
      <c r="C16" s="304"/>
      <c r="D16" s="304"/>
      <c r="E16" s="304"/>
      <c r="F16" s="304"/>
      <c r="G16" s="577"/>
      <c r="H16" s="304"/>
    </row>
    <row r="17" spans="1:8" s="305" customFormat="1" ht="12.75" customHeight="1" x14ac:dyDescent="0.3">
      <c r="A17" s="576"/>
      <c r="B17" s="584" t="s">
        <v>783</v>
      </c>
      <c r="C17" s="304"/>
      <c r="D17" s="304"/>
      <c r="E17" s="304"/>
      <c r="F17" s="304"/>
      <c r="G17" s="577"/>
      <c r="H17" s="304"/>
    </row>
    <row r="18" spans="1:8" s="305" customFormat="1" ht="12.75" customHeight="1" x14ac:dyDescent="0.3">
      <c r="A18" s="576" t="s">
        <v>785</v>
      </c>
      <c r="B18" s="584" t="s">
        <v>1294</v>
      </c>
      <c r="C18" s="304"/>
      <c r="D18" s="304"/>
      <c r="E18" s="304"/>
      <c r="F18" s="304"/>
      <c r="G18" s="577"/>
      <c r="H18" s="304"/>
    </row>
    <row r="19" spans="1:8" s="305" customFormat="1" ht="12.75" customHeight="1" x14ac:dyDescent="0.3">
      <c r="A19" s="576"/>
      <c r="B19" s="584" t="s">
        <v>1295</v>
      </c>
      <c r="C19" s="304"/>
      <c r="D19" s="304"/>
      <c r="E19" s="304"/>
      <c r="F19" s="304"/>
      <c r="G19" s="577"/>
      <c r="H19" s="304"/>
    </row>
    <row r="20" spans="1:8" s="305" customFormat="1" ht="12.75" customHeight="1" x14ac:dyDescent="0.3">
      <c r="A20" s="576"/>
      <c r="B20" s="584" t="s">
        <v>784</v>
      </c>
      <c r="C20" s="304"/>
      <c r="D20" s="304"/>
      <c r="E20" s="304"/>
      <c r="F20" s="304"/>
      <c r="G20" s="577"/>
      <c r="H20" s="304"/>
    </row>
    <row r="21" spans="1:8" s="305" customFormat="1" ht="12.75" customHeight="1" x14ac:dyDescent="0.3">
      <c r="A21" s="585"/>
      <c r="B21" s="584" t="s">
        <v>1296</v>
      </c>
      <c r="C21" s="304"/>
      <c r="D21" s="304"/>
      <c r="E21" s="304"/>
      <c r="F21" s="304"/>
      <c r="G21" s="577"/>
      <c r="H21" s="304"/>
    </row>
    <row r="22" spans="1:8" s="300" customFormat="1" ht="12.75" customHeight="1" x14ac:dyDescent="0.3">
      <c r="A22" s="576"/>
      <c r="B22" s="584" t="s">
        <v>811</v>
      </c>
      <c r="C22" s="304"/>
      <c r="D22" s="304"/>
      <c r="E22" s="304"/>
      <c r="F22" s="304"/>
      <c r="G22" s="577"/>
      <c r="H22" s="304"/>
    </row>
    <row r="23" spans="1:8" s="300" customFormat="1" ht="12.75" customHeight="1" x14ac:dyDescent="0.3">
      <c r="A23" s="576"/>
      <c r="B23" s="584" t="s">
        <v>812</v>
      </c>
      <c r="C23" s="304"/>
      <c r="D23" s="304"/>
      <c r="E23" s="304"/>
      <c r="F23" s="304"/>
      <c r="G23" s="577"/>
      <c r="H23" s="304"/>
    </row>
    <row r="24" spans="1:8" s="300" customFormat="1" ht="12.75" customHeight="1" x14ac:dyDescent="0.3">
      <c r="A24" s="576"/>
      <c r="B24" s="584" t="s">
        <v>786</v>
      </c>
      <c r="C24" s="304"/>
      <c r="D24" s="304"/>
      <c r="E24" s="304"/>
      <c r="F24" s="304"/>
      <c r="G24" s="577"/>
      <c r="H24" s="304"/>
    </row>
    <row r="25" spans="1:8" s="300" customFormat="1" ht="12.75" customHeight="1" x14ac:dyDescent="0.3">
      <c r="A25" s="576"/>
      <c r="B25" s="584" t="s">
        <v>1393</v>
      </c>
      <c r="C25" s="304"/>
      <c r="D25" s="304"/>
      <c r="E25" s="304"/>
      <c r="F25" s="304"/>
      <c r="G25" s="577"/>
      <c r="H25" s="304"/>
    </row>
    <row r="26" spans="1:8" s="300" customFormat="1" ht="12.75" customHeight="1" x14ac:dyDescent="0.3">
      <c r="A26" s="576"/>
      <c r="B26" s="584" t="s">
        <v>813</v>
      </c>
      <c r="C26" s="304"/>
      <c r="D26" s="304"/>
      <c r="E26" s="304"/>
      <c r="F26" s="304"/>
      <c r="G26" s="577"/>
      <c r="H26" s="304"/>
    </row>
    <row r="27" spans="1:8" s="300" customFormat="1" ht="12.75" customHeight="1" x14ac:dyDescent="0.3">
      <c r="A27" s="576"/>
      <c r="B27" s="584" t="s">
        <v>815</v>
      </c>
      <c r="C27" s="304"/>
      <c r="D27" s="304"/>
      <c r="E27" s="304"/>
      <c r="F27" s="304"/>
      <c r="G27" s="577"/>
      <c r="H27" s="304"/>
    </row>
    <row r="28" spans="1:8" s="300" customFormat="1" ht="12.75" customHeight="1" x14ac:dyDescent="0.3">
      <c r="A28" s="576"/>
      <c r="B28" s="584" t="s">
        <v>814</v>
      </c>
      <c r="C28" s="304"/>
      <c r="D28" s="304"/>
      <c r="E28" s="304"/>
      <c r="F28" s="304"/>
      <c r="G28" s="577"/>
      <c r="H28" s="304"/>
    </row>
    <row r="29" spans="1:8" s="300" customFormat="1" ht="12.75" customHeight="1" thickBot="1" x14ac:dyDescent="0.35">
      <c r="A29" s="576"/>
      <c r="B29" s="584"/>
      <c r="C29" s="304"/>
      <c r="D29" s="304"/>
      <c r="E29" s="304"/>
      <c r="F29" s="304"/>
      <c r="G29" s="577"/>
      <c r="H29" s="304"/>
    </row>
    <row r="30" spans="1:8" s="300" customFormat="1" ht="17.25" customHeight="1" thickBot="1" x14ac:dyDescent="0.35">
      <c r="A30" s="578"/>
      <c r="B30" s="579"/>
      <c r="C30" s="517"/>
      <c r="D30" s="517"/>
      <c r="E30" s="517" t="s">
        <v>194</v>
      </c>
      <c r="F30" s="517"/>
      <c r="G30" s="580"/>
    </row>
    <row r="31" spans="1:8" s="300" customFormat="1" ht="12.75" customHeight="1" x14ac:dyDescent="0.3">
      <c r="A31" s="302"/>
      <c r="B31" s="586"/>
      <c r="C31" s="587"/>
      <c r="D31" s="587"/>
      <c r="E31" s="587"/>
      <c r="F31" s="587"/>
      <c r="G31" s="303"/>
      <c r="H31" s="304"/>
    </row>
    <row r="32" spans="1:8" s="300" customFormat="1" ht="12.75" customHeight="1" x14ac:dyDescent="0.3">
      <c r="A32" s="302"/>
      <c r="B32" s="586" t="s">
        <v>790</v>
      </c>
      <c r="C32" s="587"/>
      <c r="D32" s="587"/>
      <c r="E32" s="587"/>
      <c r="F32" s="587"/>
      <c r="G32" s="303"/>
      <c r="H32" s="304"/>
    </row>
    <row r="33" spans="1:8" s="300" customFormat="1" ht="12.75" customHeight="1" x14ac:dyDescent="0.3">
      <c r="A33" s="302"/>
      <c r="B33" s="586" t="s">
        <v>808</v>
      </c>
      <c r="C33" s="587"/>
      <c r="D33" s="587"/>
      <c r="E33" s="587"/>
      <c r="F33" s="587"/>
      <c r="G33" s="303"/>
      <c r="H33" s="304"/>
    </row>
    <row r="34" spans="1:8" s="300" customFormat="1" ht="12.75" customHeight="1" x14ac:dyDescent="0.3">
      <c r="A34" s="302"/>
      <c r="B34" s="586"/>
      <c r="C34" s="587"/>
      <c r="D34" s="587"/>
      <c r="E34" s="587"/>
      <c r="F34" s="587"/>
      <c r="G34" s="303"/>
      <c r="H34" s="304"/>
    </row>
    <row r="35" spans="1:8" s="300" customFormat="1" ht="12.75" customHeight="1" x14ac:dyDescent="0.3">
      <c r="A35" s="302"/>
      <c r="C35" s="587"/>
      <c r="D35" s="587"/>
      <c r="E35" s="587"/>
      <c r="F35" s="587"/>
      <c r="G35" s="303"/>
      <c r="H35" s="304"/>
    </row>
    <row r="36" spans="1:8" s="300" customFormat="1" ht="12.75" customHeight="1" thickBot="1" x14ac:dyDescent="0.35">
      <c r="A36" s="302"/>
      <c r="B36" s="586"/>
      <c r="C36" s="587"/>
      <c r="D36" s="587"/>
      <c r="E36" s="587"/>
      <c r="F36" s="587"/>
      <c r="G36" s="303"/>
      <c r="H36" s="304"/>
    </row>
    <row r="37" spans="1:8" ht="12.75" customHeight="1" x14ac:dyDescent="0.25">
      <c r="A37" s="596" t="s">
        <v>816</v>
      </c>
      <c r="B37" s="588"/>
      <c r="C37" s="588"/>
      <c r="D37" s="588"/>
      <c r="E37" s="588"/>
      <c r="F37" s="588"/>
      <c r="G37" s="589"/>
    </row>
    <row r="38" spans="1:8" ht="12.75" customHeight="1" x14ac:dyDescent="0.25">
      <c r="A38" s="597" t="s">
        <v>78</v>
      </c>
      <c r="B38" s="590"/>
      <c r="C38" s="590"/>
      <c r="D38" s="590"/>
      <c r="E38" s="590"/>
      <c r="F38" s="590"/>
      <c r="G38" s="591"/>
    </row>
    <row r="39" spans="1:8" ht="12.75" customHeight="1" thickBot="1" x14ac:dyDescent="0.3">
      <c r="A39" s="598" t="s">
        <v>79</v>
      </c>
      <c r="B39" s="592"/>
      <c r="C39" s="592"/>
      <c r="D39" s="592"/>
      <c r="E39" s="592"/>
      <c r="F39" s="592"/>
      <c r="G39" s="593"/>
    </row>
    <row r="40" spans="1:8" ht="1.5" customHeight="1" x14ac:dyDescent="0.25"/>
  </sheetData>
  <sheetProtection algorithmName="SHA-512" hashValue="Mw/6MiwUxLB8CBRjyIQrIJEirdYZJg/pn7Q3cjTdPe4y1C+0QTyNZXOp5IH01QZSpqBdkoiNajkT+DSekbZd+A==" saltValue="AET4v17njemwH796t9ximA==" spinCount="100000" sheet="1" objects="1" scenarios="1"/>
  <customSheetViews>
    <customSheetView guid="{586D4F31-1FA3-11D6-B431-009027A4C716}" scale="110" showGridLines="0" showRuler="0">
      <rowBreaks count="1" manualBreakCount="1">
        <brk id="73" max="6" man="1"/>
      </rowBreaks>
      <pageMargins left="0.78740157499999996" right="0.78740157499999996" top="0.984251969" bottom="0.984251969" header="0.4921259845" footer="0.4921259845"/>
      <pageSetup paperSize="9" orientation="portrait" horizontalDpi="300" verticalDpi="300" r:id="rId1"/>
      <headerFooter alignWithMargins="0"/>
    </customSheetView>
  </customSheetViews>
  <phoneticPr fontId="0" type="noConversion"/>
  <pageMargins left="0.78740157480314965" right="0.78740157480314965" top="0.98425196850393704" bottom="0.98425196850393704" header="0.51181102362204722" footer="0.51181102362204722"/>
  <pageSetup paperSize="9" orientation="portrait" horizontalDpi="300" verticalDpi="300"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51">
    <pageSetUpPr fitToPage="1"/>
  </sheetPr>
  <dimension ref="A1:G32"/>
  <sheetViews>
    <sheetView showGridLines="0" zoomScaleNormal="100" workbookViewId="0"/>
  </sheetViews>
  <sheetFormatPr baseColWidth="10" defaultColWidth="0" defaultRowHeight="12.75" customHeight="1" zeroHeight="1" x14ac:dyDescent="0.25"/>
  <cols>
    <col min="1" max="1" width="4.75" style="526" customWidth="1"/>
    <col min="2" max="2" width="5" style="526" customWidth="1"/>
    <col min="3" max="4" width="11" style="526" customWidth="1"/>
    <col min="5" max="5" width="11.25" style="526" customWidth="1"/>
    <col min="6" max="6" width="11" style="526" customWidth="1"/>
    <col min="7" max="7" width="21.83203125" style="526" customWidth="1"/>
    <col min="8" max="8" width="0.25" style="526" customWidth="1"/>
    <col min="9" max="16384" width="0" style="526" hidden="1"/>
  </cols>
  <sheetData>
    <row r="1" spans="1:7" ht="17.25" customHeight="1" thickBot="1" x14ac:dyDescent="0.3">
      <c r="A1" s="578"/>
      <c r="B1" s="579"/>
      <c r="C1" s="517"/>
      <c r="D1" s="517"/>
      <c r="E1" s="578" t="s">
        <v>76</v>
      </c>
      <c r="F1" s="517"/>
      <c r="G1" s="580"/>
    </row>
    <row r="2" spans="1:7" ht="12.75" customHeight="1" x14ac:dyDescent="0.25">
      <c r="A2" s="581"/>
      <c r="G2" s="528"/>
    </row>
    <row r="3" spans="1:7" ht="12.75" customHeight="1" x14ac:dyDescent="0.25">
      <c r="A3" s="581"/>
      <c r="G3" s="528"/>
    </row>
    <row r="4" spans="1:7" ht="12.75" customHeight="1" x14ac:dyDescent="0.25">
      <c r="A4" s="581"/>
      <c r="G4" s="528"/>
    </row>
    <row r="5" spans="1:7" ht="12.75" customHeight="1" x14ac:dyDescent="0.25">
      <c r="A5" s="581"/>
      <c r="G5" s="528"/>
    </row>
    <row r="6" spans="1:7" ht="12.75" customHeight="1" x14ac:dyDescent="0.25">
      <c r="A6" s="581"/>
      <c r="G6" s="528"/>
    </row>
    <row r="7" spans="1:7" ht="12.75" customHeight="1" x14ac:dyDescent="0.25">
      <c r="A7" s="581"/>
      <c r="G7" s="528"/>
    </row>
    <row r="8" spans="1:7" ht="12.75" customHeight="1" x14ac:dyDescent="0.25">
      <c r="A8" s="581"/>
      <c r="G8" s="528"/>
    </row>
    <row r="9" spans="1:7" ht="12.75" customHeight="1" x14ac:dyDescent="0.25">
      <c r="A9" s="581"/>
      <c r="G9" s="528"/>
    </row>
    <row r="10" spans="1:7" ht="12.75" customHeight="1" x14ac:dyDescent="0.25">
      <c r="A10" s="581"/>
      <c r="G10" s="528"/>
    </row>
    <row r="11" spans="1:7" ht="12.75" customHeight="1" thickBot="1" x14ac:dyDescent="0.3">
      <c r="A11" s="601"/>
      <c r="B11" s="529"/>
      <c r="C11" s="529"/>
      <c r="D11" s="529"/>
      <c r="E11" s="529"/>
      <c r="F11" s="529"/>
      <c r="G11" s="602"/>
    </row>
    <row r="12" spans="1:7" ht="12.75" customHeight="1" x14ac:dyDescent="0.25">
      <c r="A12" s="581"/>
      <c r="G12" s="528"/>
    </row>
    <row r="13" spans="1:7" ht="12.75" customHeight="1" x14ac:dyDescent="0.25">
      <c r="A13" s="581"/>
      <c r="G13" s="528"/>
    </row>
    <row r="14" spans="1:7" ht="12.75" customHeight="1" x14ac:dyDescent="0.25">
      <c r="A14" s="581"/>
      <c r="G14" s="528"/>
    </row>
    <row r="15" spans="1:7" ht="12.75" customHeight="1" x14ac:dyDescent="0.25">
      <c r="A15" s="581"/>
      <c r="G15" s="528"/>
    </row>
    <row r="16" spans="1:7" ht="12.75" customHeight="1" x14ac:dyDescent="0.25">
      <c r="A16" s="581"/>
      <c r="G16" s="528"/>
    </row>
    <row r="17" spans="1:7" ht="12.75" customHeight="1" x14ac:dyDescent="0.25">
      <c r="A17" s="581"/>
      <c r="G17" s="528"/>
    </row>
    <row r="18" spans="1:7" ht="12.75" customHeight="1" x14ac:dyDescent="0.25">
      <c r="A18" s="581"/>
      <c r="G18" s="528"/>
    </row>
    <row r="19" spans="1:7" ht="12.75" customHeight="1" x14ac:dyDescent="0.25">
      <c r="A19" s="581"/>
      <c r="G19" s="528"/>
    </row>
    <row r="20" spans="1:7" ht="12.75" customHeight="1" x14ac:dyDescent="0.25">
      <c r="A20" s="581"/>
      <c r="G20" s="528"/>
    </row>
    <row r="21" spans="1:7" ht="12.75" customHeight="1" x14ac:dyDescent="0.25">
      <c r="A21" s="581"/>
      <c r="G21" s="528"/>
    </row>
    <row r="22" spans="1:7" ht="12.75" customHeight="1" thickBot="1" x14ac:dyDescent="0.3">
      <c r="A22" s="581"/>
      <c r="G22" s="528"/>
    </row>
    <row r="23" spans="1:7" ht="12.75" customHeight="1" x14ac:dyDescent="0.25">
      <c r="A23" s="599"/>
      <c r="B23" s="521"/>
      <c r="C23" s="521"/>
      <c r="D23" s="521"/>
      <c r="E23" s="521"/>
      <c r="F23" s="521"/>
      <c r="G23" s="600"/>
    </row>
    <row r="24" spans="1:7" ht="12.75" customHeight="1" x14ac:dyDescent="0.25">
      <c r="A24" s="581"/>
      <c r="G24" s="528"/>
    </row>
    <row r="25" spans="1:7" ht="12.75" customHeight="1" x14ac:dyDescent="0.25">
      <c r="A25" s="581"/>
      <c r="G25" s="528"/>
    </row>
    <row r="26" spans="1:7" ht="12.75" customHeight="1" x14ac:dyDescent="0.25">
      <c r="A26" s="581"/>
      <c r="G26" s="528"/>
    </row>
    <row r="27" spans="1:7" ht="12.75" customHeight="1" x14ac:dyDescent="0.25">
      <c r="A27" s="581"/>
      <c r="G27" s="528"/>
    </row>
    <row r="28" spans="1:7" ht="12.75" customHeight="1" x14ac:dyDescent="0.25">
      <c r="A28" s="581"/>
      <c r="G28" s="528"/>
    </row>
    <row r="29" spans="1:7" ht="12.75" customHeight="1" x14ac:dyDescent="0.25">
      <c r="A29" s="581"/>
      <c r="G29" s="528"/>
    </row>
    <row r="30" spans="1:7" ht="12.75" customHeight="1" x14ac:dyDescent="0.25">
      <c r="A30" s="581"/>
      <c r="G30" s="528"/>
    </row>
    <row r="31" spans="1:7" ht="12.75" customHeight="1" thickBot="1" x14ac:dyDescent="0.3">
      <c r="A31" s="601"/>
      <c r="B31" s="529"/>
      <c r="C31" s="529"/>
      <c r="D31" s="529"/>
      <c r="E31" s="529"/>
      <c r="F31" s="529"/>
      <c r="G31" s="602"/>
    </row>
    <row r="32" spans="1:7" ht="1.5" customHeight="1" x14ac:dyDescent="0.25"/>
  </sheetData>
  <sheetProtection algorithmName="SHA-512" hashValue="6QCRym++rhk+qX2elpZ4pD1QbZCSJE114XEP11n+pz7ErcHbNIMywWxAbpN3ZzTeL55DS/kiLbKQEzAe3lM/hQ==" saltValue="8ysLI7Q+olwr4IAelvfFZA==" spinCount="100000" sheet="1" objects="1" scenarios="1"/>
  <phoneticPr fontId="0"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
  <dimension ref="A1:AT690"/>
  <sheetViews>
    <sheetView showGridLines="0" topLeftCell="A103" zoomScale="40" zoomScaleNormal="40" workbookViewId="0"/>
  </sheetViews>
  <sheetFormatPr baseColWidth="10" defaultColWidth="11" defaultRowHeight="14" x14ac:dyDescent="0.3"/>
  <cols>
    <col min="1" max="1" width="12.33203125" style="155" customWidth="1"/>
    <col min="2" max="2" width="11" style="155"/>
    <col min="3" max="3" width="26.83203125" style="155" customWidth="1"/>
    <col min="4" max="4" width="11" style="155"/>
    <col min="5" max="5" width="17.83203125" style="155" customWidth="1"/>
    <col min="6" max="6" width="14.33203125" style="155" customWidth="1"/>
    <col min="7" max="7" width="11.83203125" style="155" customWidth="1"/>
    <col min="8" max="8" width="13.33203125" style="155" customWidth="1"/>
    <col min="9" max="9" width="12.75" style="155" customWidth="1"/>
    <col min="10" max="10" width="9.25" style="155" customWidth="1"/>
    <col min="11" max="16" width="11.08203125" style="155" bestFit="1" customWidth="1"/>
    <col min="17" max="17" width="11" style="155"/>
    <col min="18" max="18" width="13.75" style="155" customWidth="1"/>
    <col min="19" max="19" width="7.83203125" style="155" customWidth="1"/>
    <col min="20" max="20" width="9.5" style="155" customWidth="1"/>
    <col min="21" max="26" width="8.33203125" style="155" customWidth="1"/>
    <col min="27" max="29" width="11.08203125" style="155" bestFit="1" customWidth="1"/>
    <col min="30" max="30" width="11.58203125" style="218" bestFit="1" customWidth="1"/>
    <col min="31" max="40" width="11.08203125" style="155" bestFit="1" customWidth="1"/>
    <col min="41" max="16384" width="11" style="155"/>
  </cols>
  <sheetData>
    <row r="1" spans="1:30" s="154" customFormat="1" x14ac:dyDescent="0.3">
      <c r="A1" s="154" t="s">
        <v>362</v>
      </c>
      <c r="AD1" s="806"/>
    </row>
    <row r="2" spans="1:30" ht="14.5" thickBot="1" x14ac:dyDescent="0.35">
      <c r="F2" s="155" t="s">
        <v>1217</v>
      </c>
      <c r="H2" s="155" t="s">
        <v>1032</v>
      </c>
    </row>
    <row r="3" spans="1:30" ht="14.5" thickBot="1" x14ac:dyDescent="0.35">
      <c r="A3" s="155" t="s">
        <v>1095</v>
      </c>
      <c r="B3" s="289">
        <f>'Gebäude (02,03)'!O25</f>
        <v>0</v>
      </c>
      <c r="C3" s="155" t="s">
        <v>365</v>
      </c>
      <c r="D3" s="155" t="s">
        <v>0</v>
      </c>
      <c r="F3" s="879">
        <f>P264</f>
        <v>63.749645630919829</v>
      </c>
      <c r="H3" s="1213">
        <f>IF(D4=FALSE,F3,B3)</f>
        <v>63.749645630919829</v>
      </c>
    </row>
    <row r="4" spans="1:30" ht="14.5" thickBot="1" x14ac:dyDescent="0.35">
      <c r="A4" s="155" t="s">
        <v>1096</v>
      </c>
      <c r="B4" s="289">
        <f>'Gebäude (02,03)'!O26</f>
        <v>0</v>
      </c>
      <c r="C4" s="155" t="s">
        <v>365</v>
      </c>
      <c r="D4" s="289" t="b">
        <f>('Gebäude (02,03)'!$A$22)</f>
        <v>0</v>
      </c>
      <c r="F4" s="879">
        <f>AP264</f>
        <v>81.969713287155201</v>
      </c>
      <c r="H4" s="1214">
        <f>IF(D4=FALSE,F4,B4)</f>
        <v>81.969713287155201</v>
      </c>
    </row>
    <row r="5" spans="1:30" ht="14.5" thickBot="1" x14ac:dyDescent="0.35"/>
    <row r="6" spans="1:30" ht="14.5" thickBot="1" x14ac:dyDescent="0.35">
      <c r="A6" s="155" t="s">
        <v>1097</v>
      </c>
      <c r="B6" s="289">
        <f>'Gebäude (02,03)'!O28</f>
        <v>0</v>
      </c>
      <c r="C6" s="155" t="s">
        <v>179</v>
      </c>
      <c r="F6" s="1215">
        <f>J225/C142</f>
        <v>0.25</v>
      </c>
      <c r="H6" s="1216">
        <f>IF(D4=FALSE,F6,B6)</f>
        <v>0.25</v>
      </c>
    </row>
    <row r="7" spans="1:30" ht="14.5" thickBot="1" x14ac:dyDescent="0.35">
      <c r="A7" s="155" t="s">
        <v>1216</v>
      </c>
      <c r="B7" s="289">
        <f>'Gebäude (02,03)'!O29</f>
        <v>0</v>
      </c>
      <c r="C7" s="155" t="s">
        <v>179</v>
      </c>
      <c r="F7" s="1215">
        <f>AJ225/C142</f>
        <v>0.33</v>
      </c>
      <c r="H7" s="1217">
        <f>IF(D4=FALSE,F7,B7)</f>
        <v>0.33</v>
      </c>
    </row>
    <row r="8" spans="1:30" x14ac:dyDescent="0.3">
      <c r="E8" s="220"/>
    </row>
    <row r="9" spans="1:30" s="154" customFormat="1" x14ac:dyDescent="0.3">
      <c r="A9" s="154" t="s">
        <v>87</v>
      </c>
      <c r="AA9" s="154" t="s">
        <v>884</v>
      </c>
      <c r="AD9" s="806"/>
    </row>
    <row r="10" spans="1:30" ht="14.5" thickBot="1" x14ac:dyDescent="0.35"/>
    <row r="11" spans="1:30" x14ac:dyDescent="0.3">
      <c r="A11" s="160" t="s">
        <v>910</v>
      </c>
      <c r="B11" s="823"/>
      <c r="C11" s="823" t="s">
        <v>1033</v>
      </c>
      <c r="D11" s="1336">
        <f>'Gebäude (02,03)'!M9</f>
        <v>2</v>
      </c>
      <c r="E11" s="824" t="s">
        <v>304</v>
      </c>
      <c r="AA11" s="939" t="s">
        <v>910</v>
      </c>
    </row>
    <row r="12" spans="1:30" ht="14.5" thickBot="1" x14ac:dyDescent="0.35">
      <c r="A12" s="819"/>
      <c r="B12" s="820"/>
      <c r="C12" s="820" t="s">
        <v>1034</v>
      </c>
      <c r="D12" s="289">
        <f>'Gebäude (02,03)'!G8</f>
        <v>1000</v>
      </c>
      <c r="E12" s="825" t="s">
        <v>67</v>
      </c>
      <c r="AA12" s="940" t="s">
        <v>1093</v>
      </c>
    </row>
    <row r="13" spans="1:30" x14ac:dyDescent="0.3">
      <c r="A13" s="819"/>
      <c r="B13" s="820"/>
      <c r="C13" s="820" t="s">
        <v>1037</v>
      </c>
      <c r="D13" s="289">
        <f>'Gebäude (02,03)'!G9</f>
        <v>3</v>
      </c>
      <c r="E13" s="825" t="s">
        <v>899</v>
      </c>
    </row>
    <row r="14" spans="1:30" ht="14.5" thickBot="1" x14ac:dyDescent="0.35">
      <c r="A14" s="821"/>
      <c r="B14" s="822"/>
      <c r="C14" s="822" t="s">
        <v>363</v>
      </c>
      <c r="D14" s="711">
        <f>IF(OR(D13&gt;3,D13&lt;2.5),(1/D13-0.04)*D12,0.32*D12)</f>
        <v>320</v>
      </c>
      <c r="E14" s="826" t="s">
        <v>357</v>
      </c>
    </row>
    <row r="15" spans="1:30" ht="14.5" thickBot="1" x14ac:dyDescent="0.35"/>
    <row r="16" spans="1:30" x14ac:dyDescent="0.3">
      <c r="A16" s="160" t="s">
        <v>887</v>
      </c>
      <c r="B16" s="287"/>
      <c r="C16" s="823"/>
      <c r="D16" s="823"/>
      <c r="E16" s="823"/>
      <c r="F16" s="823"/>
      <c r="G16" s="823"/>
      <c r="H16" s="831"/>
      <c r="I16" s="823"/>
      <c r="J16" s="823"/>
      <c r="K16" s="287" t="s">
        <v>957</v>
      </c>
      <c r="L16" s="823"/>
      <c r="M16" s="823"/>
      <c r="N16" s="823"/>
      <c r="O16" s="823"/>
      <c r="P16" s="823"/>
      <c r="Q16" s="824"/>
      <c r="AA16" s="939" t="s">
        <v>887</v>
      </c>
    </row>
    <row r="17" spans="1:46" ht="14.5" thickBot="1" x14ac:dyDescent="0.35">
      <c r="A17" s="819"/>
      <c r="B17" s="820"/>
      <c r="C17" s="820"/>
      <c r="D17" s="820"/>
      <c r="E17" s="820"/>
      <c r="F17" s="820"/>
      <c r="G17" s="820"/>
      <c r="H17" s="832"/>
      <c r="I17" s="820"/>
      <c r="J17" s="820"/>
      <c r="K17" s="820"/>
      <c r="L17" s="820"/>
      <c r="M17" s="820"/>
      <c r="N17" s="820"/>
      <c r="O17" s="820"/>
      <c r="P17" s="820"/>
      <c r="Q17" s="825"/>
      <c r="AA17" s="940" t="s">
        <v>1093</v>
      </c>
    </row>
    <row r="18" spans="1:46" x14ac:dyDescent="0.3">
      <c r="A18" s="819"/>
      <c r="B18" s="820"/>
      <c r="C18" s="820"/>
      <c r="D18" s="820"/>
      <c r="E18" s="820"/>
      <c r="F18" s="820"/>
      <c r="G18" s="820"/>
      <c r="H18" s="832"/>
      <c r="I18" s="832" t="s">
        <v>942</v>
      </c>
      <c r="J18" s="832" t="s">
        <v>987</v>
      </c>
      <c r="K18" s="1323" t="s">
        <v>951</v>
      </c>
      <c r="L18" s="1323"/>
      <c r="M18" s="1323" t="s">
        <v>952</v>
      </c>
      <c r="N18" s="1323"/>
      <c r="O18" s="1323" t="s">
        <v>953</v>
      </c>
      <c r="P18" s="1323"/>
      <c r="Q18" s="825"/>
    </row>
    <row r="19" spans="1:46" ht="21.5" x14ac:dyDescent="0.3">
      <c r="A19" s="828" t="s">
        <v>1080</v>
      </c>
      <c r="B19" s="820" t="s">
        <v>1081</v>
      </c>
      <c r="C19" s="820"/>
      <c r="D19" s="820" t="s">
        <v>276</v>
      </c>
      <c r="E19" s="820"/>
      <c r="F19" s="820" t="s">
        <v>958</v>
      </c>
      <c r="G19" s="832" t="s">
        <v>891</v>
      </c>
      <c r="H19" s="832" t="s">
        <v>897</v>
      </c>
      <c r="I19" s="833" t="s">
        <v>1042</v>
      </c>
      <c r="J19" s="833" t="s">
        <v>988</v>
      </c>
      <c r="K19" s="835" t="s">
        <v>954</v>
      </c>
      <c r="L19" s="835" t="s">
        <v>955</v>
      </c>
      <c r="M19" s="835" t="s">
        <v>954</v>
      </c>
      <c r="N19" s="835" t="s">
        <v>955</v>
      </c>
      <c r="O19" s="835" t="s">
        <v>954</v>
      </c>
      <c r="P19" s="835" t="s">
        <v>955</v>
      </c>
      <c r="Q19" s="825"/>
    </row>
    <row r="20" spans="1:46" x14ac:dyDescent="0.3">
      <c r="A20" s="828">
        <v>1</v>
      </c>
      <c r="B20" s="820"/>
      <c r="C20" s="820"/>
      <c r="D20" s="820"/>
      <c r="E20" s="820"/>
      <c r="F20" s="829" t="s">
        <v>930</v>
      </c>
      <c r="G20" s="820"/>
      <c r="H20" s="820"/>
      <c r="I20" s="833"/>
      <c r="J20" s="833"/>
      <c r="K20" s="1324"/>
      <c r="L20" s="1324"/>
      <c r="M20" s="1324"/>
      <c r="N20" s="1324"/>
      <c r="O20" s="1324"/>
      <c r="P20" s="1324"/>
      <c r="Q20" s="825"/>
    </row>
    <row r="21" spans="1:46" x14ac:dyDescent="0.3">
      <c r="A21" s="828">
        <v>2</v>
      </c>
      <c r="B21" s="820" t="s">
        <v>913</v>
      </c>
      <c r="C21" s="820"/>
      <c r="D21" s="820" t="s">
        <v>88</v>
      </c>
      <c r="E21" s="820"/>
      <c r="F21" s="820" t="str">
        <f>B21&amp;" - "&amp;D21</f>
        <v>… opak nach außen - Außenwand</v>
      </c>
      <c r="G21" s="832">
        <v>0.28000000000000003</v>
      </c>
      <c r="H21" s="832"/>
      <c r="I21" s="832"/>
      <c r="J21" s="832">
        <v>0.04</v>
      </c>
      <c r="K21" s="835">
        <v>1</v>
      </c>
      <c r="L21" s="835">
        <v>1</v>
      </c>
      <c r="M21" s="835">
        <v>1</v>
      </c>
      <c r="N21" s="835">
        <v>1</v>
      </c>
      <c r="O21" s="835">
        <v>1</v>
      </c>
      <c r="P21" s="835">
        <v>1</v>
      </c>
      <c r="Q21" s="825"/>
    </row>
    <row r="22" spans="1:46" x14ac:dyDescent="0.3">
      <c r="A22" s="828">
        <v>3</v>
      </c>
      <c r="B22" s="820"/>
      <c r="C22" s="820"/>
      <c r="D22" s="820" t="s">
        <v>888</v>
      </c>
      <c r="E22" s="820"/>
      <c r="F22" s="820" t="str">
        <f>B21&amp;" - "&amp;D22</f>
        <v>… opak nach außen - Steildach</v>
      </c>
      <c r="G22" s="832">
        <v>0.2</v>
      </c>
      <c r="H22" s="832"/>
      <c r="I22" s="832"/>
      <c r="J22" s="832">
        <v>0.04</v>
      </c>
      <c r="K22" s="835">
        <v>1</v>
      </c>
      <c r="L22" s="835">
        <v>1</v>
      </c>
      <c r="M22" s="835">
        <v>1</v>
      </c>
      <c r="N22" s="835">
        <v>1</v>
      </c>
      <c r="O22" s="835">
        <v>1</v>
      </c>
      <c r="P22" s="835">
        <v>1</v>
      </c>
      <c r="Q22" s="825"/>
    </row>
    <row r="23" spans="1:46" x14ac:dyDescent="0.3">
      <c r="A23" s="828">
        <v>4</v>
      </c>
      <c r="B23" s="820"/>
      <c r="C23" s="820"/>
      <c r="D23" s="820" t="s">
        <v>889</v>
      </c>
      <c r="E23" s="820"/>
      <c r="F23" s="820" t="str">
        <f>B21&amp;" - "&amp;D23</f>
        <v>… opak nach außen - Flachdach</v>
      </c>
      <c r="G23" s="832">
        <v>0.2</v>
      </c>
      <c r="H23" s="832"/>
      <c r="I23" s="832"/>
      <c r="J23" s="832">
        <v>0.04</v>
      </c>
      <c r="K23" s="835">
        <v>1</v>
      </c>
      <c r="L23" s="835">
        <v>1</v>
      </c>
      <c r="M23" s="835">
        <v>1</v>
      </c>
      <c r="N23" s="835">
        <v>1</v>
      </c>
      <c r="O23" s="835">
        <v>1</v>
      </c>
      <c r="P23" s="835">
        <v>1</v>
      </c>
      <c r="Q23" s="825"/>
    </row>
    <row r="24" spans="1:46" x14ac:dyDescent="0.3">
      <c r="A24" s="828">
        <v>5</v>
      </c>
      <c r="B24" s="820"/>
      <c r="C24" s="820"/>
      <c r="D24" s="820" t="s">
        <v>890</v>
      </c>
      <c r="E24" s="820"/>
      <c r="F24" s="820" t="str">
        <f>B21&amp;" - "&amp;D24</f>
        <v>… opak nach außen - Decken über Durchfahrten</v>
      </c>
      <c r="G24" s="832">
        <v>0.28000000000000003</v>
      </c>
      <c r="H24" s="832"/>
      <c r="I24" s="832"/>
      <c r="J24" s="832"/>
      <c r="K24" s="835">
        <v>1</v>
      </c>
      <c r="L24" s="835">
        <v>1</v>
      </c>
      <c r="M24" s="835">
        <v>1</v>
      </c>
      <c r="N24" s="835">
        <v>1</v>
      </c>
      <c r="O24" s="835">
        <v>1</v>
      </c>
      <c r="P24" s="835">
        <v>1</v>
      </c>
      <c r="Q24" s="825"/>
    </row>
    <row r="25" spans="1:46" x14ac:dyDescent="0.3">
      <c r="A25" s="828">
        <v>6</v>
      </c>
      <c r="B25" s="820"/>
      <c r="C25" s="820"/>
      <c r="D25" s="820" t="s">
        <v>892</v>
      </c>
      <c r="E25" s="820"/>
      <c r="F25" s="820" t="str">
        <f>B21&amp;" - "&amp;D25</f>
        <v>… opak nach außen - Außentüren</v>
      </c>
      <c r="G25" s="832">
        <v>1.8</v>
      </c>
      <c r="H25" s="832"/>
      <c r="I25" s="832"/>
      <c r="J25" s="832">
        <v>0.04</v>
      </c>
      <c r="K25" s="835">
        <v>1</v>
      </c>
      <c r="L25" s="835">
        <v>1</v>
      </c>
      <c r="M25" s="835">
        <v>1</v>
      </c>
      <c r="N25" s="835">
        <v>1</v>
      </c>
      <c r="O25" s="835">
        <v>1</v>
      </c>
      <c r="P25" s="835">
        <v>1</v>
      </c>
      <c r="Q25" s="825"/>
    </row>
    <row r="26" spans="1:46" x14ac:dyDescent="0.3">
      <c r="A26" s="828">
        <v>7</v>
      </c>
      <c r="B26" s="820" t="s">
        <v>914</v>
      </c>
      <c r="C26" s="820"/>
      <c r="D26" s="820" t="s">
        <v>893</v>
      </c>
      <c r="E26" s="820"/>
      <c r="F26" s="820" t="str">
        <f>B26&amp;" - "&amp;D26</f>
        <v>… transparent nach außen - Fenster, Fenstertüren</v>
      </c>
      <c r="G26" s="832">
        <v>1.3</v>
      </c>
      <c r="H26" s="832">
        <v>0.6</v>
      </c>
      <c r="I26" s="832"/>
      <c r="J26" s="832"/>
      <c r="K26" s="835">
        <v>1</v>
      </c>
      <c r="L26" s="835">
        <v>1</v>
      </c>
      <c r="M26" s="835">
        <v>1</v>
      </c>
      <c r="N26" s="835">
        <v>1</v>
      </c>
      <c r="O26" s="835">
        <v>1</v>
      </c>
      <c r="P26" s="835">
        <v>1</v>
      </c>
      <c r="Q26" s="825"/>
    </row>
    <row r="27" spans="1:46" x14ac:dyDescent="0.3">
      <c r="A27" s="828">
        <v>8</v>
      </c>
      <c r="B27" s="820"/>
      <c r="C27" s="820"/>
      <c r="D27" s="820" t="s">
        <v>894</v>
      </c>
      <c r="E27" s="820"/>
      <c r="F27" s="820" t="str">
        <f>B26&amp;" - "&amp;D27</f>
        <v>… transparent nach außen - Dachflächenfenster</v>
      </c>
      <c r="G27" s="832">
        <v>1.4</v>
      </c>
      <c r="H27" s="832">
        <v>0.6</v>
      </c>
      <c r="I27" s="832"/>
      <c r="J27" s="832"/>
      <c r="K27" s="835">
        <v>1</v>
      </c>
      <c r="L27" s="835">
        <v>1</v>
      </c>
      <c r="M27" s="835">
        <v>1</v>
      </c>
      <c r="N27" s="835">
        <v>1</v>
      </c>
      <c r="O27" s="835">
        <v>1</v>
      </c>
      <c r="P27" s="835">
        <v>1</v>
      </c>
      <c r="Q27" s="825"/>
    </row>
    <row r="28" spans="1:46" x14ac:dyDescent="0.3">
      <c r="A28" s="828">
        <v>9</v>
      </c>
      <c r="B28" s="820"/>
      <c r="C28" s="820"/>
      <c r="D28" s="820" t="s">
        <v>895</v>
      </c>
      <c r="E28" s="820"/>
      <c r="F28" s="820" t="str">
        <f>B26&amp;" - "&amp;D28</f>
        <v>… transparent nach außen - Lichtkuppeln</v>
      </c>
      <c r="G28" s="832">
        <v>2.7</v>
      </c>
      <c r="H28" s="832">
        <v>0.64</v>
      </c>
      <c r="I28" s="832"/>
      <c r="J28" s="832"/>
      <c r="K28" s="835">
        <v>1</v>
      </c>
      <c r="L28" s="835">
        <v>1</v>
      </c>
      <c r="M28" s="835">
        <v>1</v>
      </c>
      <c r="N28" s="835">
        <v>1</v>
      </c>
      <c r="O28" s="835">
        <v>1</v>
      </c>
      <c r="P28" s="835">
        <v>1</v>
      </c>
      <c r="Q28" s="825"/>
    </row>
    <row r="29" spans="1:46" x14ac:dyDescent="0.3">
      <c r="A29" s="828">
        <v>10</v>
      </c>
      <c r="B29" s="820" t="s">
        <v>911</v>
      </c>
      <c r="C29" s="820"/>
      <c r="D29" s="820" t="s">
        <v>896</v>
      </c>
      <c r="E29" s="820"/>
      <c r="F29" s="820" t="str">
        <f>B29&amp;" - "&amp;D29</f>
        <v>… an Dachraum - Oberste Geschossdecke</v>
      </c>
      <c r="G29" s="832">
        <v>0.2</v>
      </c>
      <c r="H29" s="832"/>
      <c r="I29" s="832"/>
      <c r="J29" s="832"/>
      <c r="K29" s="835">
        <v>0.8</v>
      </c>
      <c r="L29" s="835">
        <v>0.8</v>
      </c>
      <c r="M29" s="835">
        <v>0.8</v>
      </c>
      <c r="N29" s="835">
        <v>0.8</v>
      </c>
      <c r="O29" s="835">
        <v>0.8</v>
      </c>
      <c r="P29" s="835">
        <v>0.8</v>
      </c>
      <c r="Q29" s="825"/>
    </row>
    <row r="30" spans="1:46" x14ac:dyDescent="0.3">
      <c r="A30" s="828">
        <v>11</v>
      </c>
      <c r="B30" s="820"/>
      <c r="C30" s="820"/>
      <c r="D30" s="820" t="s">
        <v>920</v>
      </c>
      <c r="E30" s="820"/>
      <c r="F30" s="820" t="str">
        <f>B29&amp;" - "&amp;D30</f>
        <v>… an Dachraum - Wände/Decken zu Abseiten/Drempel</v>
      </c>
      <c r="G30" s="832">
        <v>0.2</v>
      </c>
      <c r="H30" s="832"/>
      <c r="I30" s="832"/>
      <c r="J30" s="832"/>
      <c r="K30" s="835">
        <v>0.8</v>
      </c>
      <c r="L30" s="835">
        <v>0.8</v>
      </c>
      <c r="M30" s="835">
        <v>0.8</v>
      </c>
      <c r="N30" s="835">
        <v>0.8</v>
      </c>
      <c r="O30" s="835">
        <v>0.8</v>
      </c>
      <c r="P30" s="835">
        <v>0.8</v>
      </c>
      <c r="Q30" s="825"/>
      <c r="AT30" s="836"/>
    </row>
    <row r="31" spans="1:46" x14ac:dyDescent="0.3">
      <c r="A31" s="828">
        <v>12</v>
      </c>
      <c r="B31" s="820" t="s">
        <v>945</v>
      </c>
      <c r="C31" s="820"/>
      <c r="D31" s="820" t="s">
        <v>915</v>
      </c>
      <c r="E31" s="820"/>
      <c r="F31" s="820" t="str">
        <f>B31&amp;" - "&amp;D31</f>
        <v>… an unbeheizten Keller - Wände</v>
      </c>
      <c r="G31" s="832">
        <v>0.35</v>
      </c>
      <c r="H31" s="832"/>
      <c r="I31" s="832"/>
      <c r="J31" s="832"/>
      <c r="K31" s="1325"/>
      <c r="L31" s="1325"/>
      <c r="M31" s="1325"/>
      <c r="N31" s="1325"/>
      <c r="O31" s="1325"/>
      <c r="P31" s="1325"/>
      <c r="Q31" s="825"/>
      <c r="AT31" s="836"/>
    </row>
    <row r="32" spans="1:46" x14ac:dyDescent="0.3">
      <c r="A32" s="828">
        <v>13</v>
      </c>
      <c r="B32" s="820"/>
      <c r="C32" s="820"/>
      <c r="D32" s="820" t="s">
        <v>916</v>
      </c>
      <c r="E32" s="820"/>
      <c r="F32" s="820" t="str">
        <f>B31&amp;" - "&amp;D32</f>
        <v>… an unbeheizten Keller - Türen</v>
      </c>
      <c r="G32" s="321" t="s">
        <v>941</v>
      </c>
      <c r="H32" s="832"/>
      <c r="I32" s="832"/>
      <c r="J32" s="832"/>
      <c r="K32" s="1325"/>
      <c r="L32" s="1325"/>
      <c r="M32" s="1325"/>
      <c r="N32" s="1325"/>
      <c r="O32" s="1325"/>
      <c r="P32" s="1325"/>
      <c r="Q32" s="825"/>
      <c r="AT32" s="836"/>
    </row>
    <row r="33" spans="1:46" x14ac:dyDescent="0.3">
      <c r="A33" s="828">
        <v>14</v>
      </c>
      <c r="B33" s="820"/>
      <c r="C33" s="820"/>
      <c r="D33" s="820" t="s">
        <v>946</v>
      </c>
      <c r="E33" s="820"/>
      <c r="F33" s="820" t="str">
        <f>B31&amp;" - "&amp;D33</f>
        <v>… an unbeheizten Keller - Kellerdecke (Keller mit Perimeterdämmung)</v>
      </c>
      <c r="G33" s="832">
        <v>0.35</v>
      </c>
      <c r="H33" s="832"/>
      <c r="I33" s="832">
        <v>0.17</v>
      </c>
      <c r="J33" s="832"/>
      <c r="K33" s="835">
        <v>0.55000000000000004</v>
      </c>
      <c r="L33" s="835">
        <v>0.55000000000000004</v>
      </c>
      <c r="M33" s="835">
        <v>0.5</v>
      </c>
      <c r="N33" s="835">
        <v>0.5</v>
      </c>
      <c r="O33" s="835">
        <v>0.45</v>
      </c>
      <c r="P33" s="835">
        <v>0.45</v>
      </c>
      <c r="Q33" s="825"/>
      <c r="AT33" s="836"/>
    </row>
    <row r="34" spans="1:46" x14ac:dyDescent="0.3">
      <c r="A34" s="828">
        <v>15</v>
      </c>
      <c r="B34" s="820"/>
      <c r="C34" s="820"/>
      <c r="D34" s="820" t="s">
        <v>947</v>
      </c>
      <c r="E34" s="820"/>
      <c r="F34" s="820" t="str">
        <f>B31&amp;" - "&amp;D34</f>
        <v>… an unbeheizten Keller - Kellerdecke (Keller ohne Perimeterdämmung)</v>
      </c>
      <c r="G34" s="832">
        <v>0.35</v>
      </c>
      <c r="H34" s="832"/>
      <c r="I34" s="832">
        <v>0.17</v>
      </c>
      <c r="J34" s="832"/>
      <c r="K34" s="835">
        <v>0.7</v>
      </c>
      <c r="L34" s="835">
        <v>0.7</v>
      </c>
      <c r="M34" s="835">
        <v>0.65</v>
      </c>
      <c r="N34" s="835">
        <v>0.65</v>
      </c>
      <c r="O34" s="835">
        <v>0.55000000000000004</v>
      </c>
      <c r="P34" s="835">
        <v>0.55000000000000004</v>
      </c>
      <c r="Q34" s="825"/>
      <c r="AT34" s="836"/>
    </row>
    <row r="35" spans="1:46" x14ac:dyDescent="0.3">
      <c r="A35" s="828">
        <v>16</v>
      </c>
      <c r="B35" s="820" t="s">
        <v>912</v>
      </c>
      <c r="C35" s="820"/>
      <c r="D35" s="820" t="s">
        <v>943</v>
      </c>
      <c r="E35" s="820"/>
      <c r="F35" s="820" t="str">
        <f>B35&amp;" - "&amp;D35</f>
        <v>… an Erdreich - Wände des beheizten Kellers</v>
      </c>
      <c r="G35" s="832">
        <v>0.35</v>
      </c>
      <c r="H35" s="832"/>
      <c r="I35" s="832">
        <v>0.13</v>
      </c>
      <c r="J35" s="832"/>
      <c r="K35" s="1324">
        <v>0.4</v>
      </c>
      <c r="L35" s="1324">
        <v>0.6</v>
      </c>
      <c r="M35" s="1324">
        <v>0.4</v>
      </c>
      <c r="N35" s="1324">
        <v>0.6</v>
      </c>
      <c r="O35" s="1324">
        <v>0.4</v>
      </c>
      <c r="P35" s="1324">
        <v>0.6</v>
      </c>
      <c r="Q35" s="825"/>
      <c r="AT35" s="836"/>
    </row>
    <row r="36" spans="1:46" x14ac:dyDescent="0.3">
      <c r="A36" s="828">
        <v>17</v>
      </c>
      <c r="B36" s="820"/>
      <c r="C36" s="820"/>
      <c r="D36" s="820" t="s">
        <v>944</v>
      </c>
      <c r="E36" s="820"/>
      <c r="F36" s="820" t="str">
        <f>B35&amp;" - "&amp;D36</f>
        <v>… an Erdreich - Fußboden des beheizten Kellers</v>
      </c>
      <c r="G36" s="832">
        <v>0.35</v>
      </c>
      <c r="H36" s="832"/>
      <c r="I36" s="832">
        <v>0.17</v>
      </c>
      <c r="J36" s="832"/>
      <c r="K36" s="1324">
        <v>0.3</v>
      </c>
      <c r="L36" s="1324">
        <v>0.45</v>
      </c>
      <c r="M36" s="1324">
        <v>0.25</v>
      </c>
      <c r="N36" s="1324">
        <v>0.4</v>
      </c>
      <c r="O36" s="1324">
        <v>0.2</v>
      </c>
      <c r="P36" s="1324">
        <v>0.35</v>
      </c>
      <c r="Q36" s="825"/>
      <c r="AT36" s="218"/>
    </row>
    <row r="37" spans="1:46" x14ac:dyDescent="0.3">
      <c r="A37" s="828">
        <v>18</v>
      </c>
      <c r="B37" s="820"/>
      <c r="C37" s="820"/>
      <c r="D37" s="820" t="s">
        <v>948</v>
      </c>
      <c r="E37" s="820"/>
      <c r="F37" s="820" t="str">
        <f>B35&amp;" - "&amp;D37</f>
        <v>… an Erdreich - Fußboden (EG) ohne Randdämmung</v>
      </c>
      <c r="G37" s="832">
        <v>0.35</v>
      </c>
      <c r="H37" s="832"/>
      <c r="I37" s="832">
        <v>0.17</v>
      </c>
      <c r="J37" s="832"/>
      <c r="K37" s="1324">
        <v>0.45</v>
      </c>
      <c r="L37" s="1324">
        <v>0.6</v>
      </c>
      <c r="M37" s="1324">
        <v>0.4</v>
      </c>
      <c r="N37" s="1324">
        <v>0.5</v>
      </c>
      <c r="O37" s="1324">
        <v>0.25</v>
      </c>
      <c r="P37" s="1324">
        <v>0.35</v>
      </c>
      <c r="Q37" s="825"/>
      <c r="AT37" s="218"/>
    </row>
    <row r="38" spans="1:46" x14ac:dyDescent="0.3">
      <c r="A38" s="828">
        <v>19</v>
      </c>
      <c r="B38" s="820"/>
      <c r="C38" s="820"/>
      <c r="D38" s="820" t="s">
        <v>949</v>
      </c>
      <c r="E38" s="820"/>
      <c r="F38" s="820" t="str">
        <f>B35&amp;" - "&amp;D38</f>
        <v>… an Erdreich - Fußboden (EG), Randdämmung 5 m breit waagerecht</v>
      </c>
      <c r="G38" s="832">
        <v>0.35</v>
      </c>
      <c r="H38" s="832"/>
      <c r="I38" s="832">
        <v>0.17</v>
      </c>
      <c r="J38" s="832"/>
      <c r="K38" s="835">
        <v>0.3</v>
      </c>
      <c r="L38" s="835">
        <v>0.3</v>
      </c>
      <c r="M38" s="835">
        <v>0.25</v>
      </c>
      <c r="N38" s="835">
        <v>0.25</v>
      </c>
      <c r="O38" s="835">
        <v>0.2</v>
      </c>
      <c r="P38" s="835">
        <v>0.2</v>
      </c>
      <c r="Q38" s="825"/>
      <c r="AT38" s="218"/>
    </row>
    <row r="39" spans="1:46" x14ac:dyDescent="0.3">
      <c r="A39" s="828">
        <v>20</v>
      </c>
      <c r="B39" s="820"/>
      <c r="C39" s="820"/>
      <c r="D39" s="820" t="s">
        <v>950</v>
      </c>
      <c r="E39" s="820"/>
      <c r="F39" s="820" t="str">
        <f>B35&amp;" - "&amp;D39</f>
        <v>… an Erdreich - Fußboden (EG), Randdämmung 2 m breit senkrecht</v>
      </c>
      <c r="G39" s="832">
        <v>0.35</v>
      </c>
      <c r="H39" s="832"/>
      <c r="I39" s="832">
        <v>0.17</v>
      </c>
      <c r="J39" s="832"/>
      <c r="K39" s="835">
        <v>0.25</v>
      </c>
      <c r="L39" s="835">
        <v>0.25</v>
      </c>
      <c r="M39" s="835">
        <v>0.2</v>
      </c>
      <c r="N39" s="835">
        <v>0.2</v>
      </c>
      <c r="O39" s="835">
        <v>0.15</v>
      </c>
      <c r="P39" s="835">
        <v>0.15</v>
      </c>
      <c r="Q39" s="825"/>
      <c r="AT39" s="218"/>
    </row>
    <row r="40" spans="1:46" x14ac:dyDescent="0.3">
      <c r="A40" s="828">
        <v>21</v>
      </c>
      <c r="B40" s="820"/>
      <c r="C40" s="820"/>
      <c r="D40" s="820" t="s">
        <v>940</v>
      </c>
      <c r="E40" s="820"/>
      <c r="F40" s="820" t="str">
        <f>B35&amp;" - "&amp;D40</f>
        <v>… an Erdreich - Aufgeständerter Fußboden</v>
      </c>
      <c r="G40" s="832">
        <v>0.35</v>
      </c>
      <c r="H40" s="832"/>
      <c r="I40" s="832">
        <v>0.17</v>
      </c>
      <c r="J40" s="832"/>
      <c r="K40" s="1324">
        <v>0.9</v>
      </c>
      <c r="L40" s="1324">
        <v>0.9</v>
      </c>
      <c r="M40" s="1324">
        <v>0.9</v>
      </c>
      <c r="N40" s="1324">
        <v>0.9</v>
      </c>
      <c r="O40" s="1324">
        <v>0.9</v>
      </c>
      <c r="P40" s="1324">
        <v>0.9</v>
      </c>
      <c r="Q40" s="825"/>
      <c r="AT40" s="218"/>
    </row>
    <row r="41" spans="1:46" x14ac:dyDescent="0.3">
      <c r="A41" s="828">
        <v>22</v>
      </c>
      <c r="B41" s="820" t="s">
        <v>917</v>
      </c>
      <c r="C41" s="820"/>
      <c r="D41" s="820" t="s">
        <v>915</v>
      </c>
      <c r="E41" s="820"/>
      <c r="F41" s="820" t="str">
        <f>B41&amp;" - "&amp;D41</f>
        <v>… an andere unbeheizte Räume - Wände</v>
      </c>
      <c r="G41" s="832">
        <v>0.35</v>
      </c>
      <c r="H41" s="832"/>
      <c r="I41" s="832"/>
      <c r="J41" s="832"/>
      <c r="K41" s="1324">
        <v>0.5</v>
      </c>
      <c r="L41" s="1324">
        <v>0.5</v>
      </c>
      <c r="M41" s="1324">
        <v>0.5</v>
      </c>
      <c r="N41" s="1324">
        <v>0.5</v>
      </c>
      <c r="O41" s="1324">
        <v>0.5</v>
      </c>
      <c r="P41" s="1324">
        <v>0.5</v>
      </c>
      <c r="Q41" s="825"/>
    </row>
    <row r="42" spans="1:46" x14ac:dyDescent="0.3">
      <c r="A42" s="828">
        <v>23</v>
      </c>
      <c r="B42" s="820"/>
      <c r="C42" s="820"/>
      <c r="D42" s="820" t="s">
        <v>918</v>
      </c>
      <c r="E42" s="820"/>
      <c r="F42" s="820" t="str">
        <f>B41&amp;" - "&amp;D42</f>
        <v>… an andere unbeheizte Räume - Decken</v>
      </c>
      <c r="G42" s="832">
        <v>0.35</v>
      </c>
      <c r="H42" s="820"/>
      <c r="I42" s="832"/>
      <c r="J42" s="832"/>
      <c r="K42" s="1324">
        <v>0.5</v>
      </c>
      <c r="L42" s="1324">
        <v>0.5</v>
      </c>
      <c r="M42" s="1324">
        <v>0.5</v>
      </c>
      <c r="N42" s="1324">
        <v>0.5</v>
      </c>
      <c r="O42" s="1324">
        <v>0.5</v>
      </c>
      <c r="P42" s="1324">
        <v>0.5</v>
      </c>
      <c r="Q42" s="825"/>
    </row>
    <row r="43" spans="1:46" x14ac:dyDescent="0.3">
      <c r="A43" s="828">
        <v>24</v>
      </c>
      <c r="B43" s="820"/>
      <c r="C43" s="820"/>
      <c r="D43" s="820" t="s">
        <v>916</v>
      </c>
      <c r="E43" s="820"/>
      <c r="F43" s="820" t="str">
        <f>B41&amp;" - "&amp;D43</f>
        <v>… an andere unbeheizte Räume - Türen</v>
      </c>
      <c r="G43" s="321" t="s">
        <v>941</v>
      </c>
      <c r="H43" s="820"/>
      <c r="I43" s="832"/>
      <c r="J43" s="832"/>
      <c r="K43" s="1324">
        <v>0.5</v>
      </c>
      <c r="L43" s="1324">
        <v>0.5</v>
      </c>
      <c r="M43" s="1324">
        <v>0.5</v>
      </c>
      <c r="N43" s="1324">
        <v>0.5</v>
      </c>
      <c r="O43" s="1324">
        <v>0.5</v>
      </c>
      <c r="P43" s="1324">
        <v>0.5</v>
      </c>
      <c r="Q43" s="825"/>
    </row>
    <row r="44" spans="1:46" x14ac:dyDescent="0.3">
      <c r="A44" s="828">
        <v>25</v>
      </c>
      <c r="B44" s="820" t="s">
        <v>919</v>
      </c>
      <c r="C44" s="820"/>
      <c r="D44" s="820" t="s">
        <v>915</v>
      </c>
      <c r="E44" s="820"/>
      <c r="F44" s="820" t="str">
        <f>B44&amp;" - "&amp;D44</f>
        <v>… an niedrig beheize Räume - Wände</v>
      </c>
      <c r="G44" s="321" t="s">
        <v>941</v>
      </c>
      <c r="H44" s="820"/>
      <c r="I44" s="832"/>
      <c r="J44" s="832"/>
      <c r="K44" s="1324">
        <v>0.35</v>
      </c>
      <c r="L44" s="1324">
        <v>0.35</v>
      </c>
      <c r="M44" s="1324">
        <v>0.35</v>
      </c>
      <c r="N44" s="1324">
        <v>0.35</v>
      </c>
      <c r="O44" s="1324">
        <v>0.35</v>
      </c>
      <c r="P44" s="1324">
        <v>0.35</v>
      </c>
      <c r="Q44" s="825"/>
    </row>
    <row r="45" spans="1:46" x14ac:dyDescent="0.3">
      <c r="A45" s="828">
        <v>26</v>
      </c>
      <c r="B45" s="820"/>
      <c r="C45" s="820"/>
      <c r="D45" s="820" t="s">
        <v>918</v>
      </c>
      <c r="E45" s="820"/>
      <c r="F45" s="820" t="str">
        <f>B44&amp;" - "&amp;D45</f>
        <v>… an niedrig beheize Räume - Decken</v>
      </c>
      <c r="G45" s="321" t="s">
        <v>941</v>
      </c>
      <c r="H45" s="820"/>
      <c r="I45" s="832"/>
      <c r="J45" s="832"/>
      <c r="K45" s="1324">
        <v>0.35</v>
      </c>
      <c r="L45" s="1324">
        <v>0.35</v>
      </c>
      <c r="M45" s="1324">
        <v>0.35</v>
      </c>
      <c r="N45" s="1324">
        <v>0.35</v>
      </c>
      <c r="O45" s="1324">
        <v>0.35</v>
      </c>
      <c r="P45" s="1324">
        <v>0.35</v>
      </c>
      <c r="Q45" s="825"/>
    </row>
    <row r="46" spans="1:46" ht="14.5" thickBot="1" x14ac:dyDescent="0.35">
      <c r="A46" s="830">
        <v>27</v>
      </c>
      <c r="B46" s="822"/>
      <c r="C46" s="822"/>
      <c r="D46" s="822" t="s">
        <v>916</v>
      </c>
      <c r="E46" s="822"/>
      <c r="F46" s="822" t="str">
        <f>B44&amp;" - "&amp;D46</f>
        <v>… an niedrig beheize Räume - Türen</v>
      </c>
      <c r="G46" s="827" t="s">
        <v>941</v>
      </c>
      <c r="H46" s="822"/>
      <c r="I46" s="834"/>
      <c r="J46" s="834"/>
      <c r="K46" s="1324">
        <v>0.35</v>
      </c>
      <c r="L46" s="1324">
        <v>0.35</v>
      </c>
      <c r="M46" s="1324">
        <v>0.35</v>
      </c>
      <c r="N46" s="1324">
        <v>0.35</v>
      </c>
      <c r="O46" s="1324">
        <v>0.35</v>
      </c>
      <c r="P46" s="1324">
        <v>0.35</v>
      </c>
      <c r="Q46" s="826"/>
      <c r="AF46" s="218"/>
    </row>
    <row r="47" spans="1:46" ht="14.5" thickBot="1" x14ac:dyDescent="0.35">
      <c r="AF47" s="218"/>
    </row>
    <row r="48" spans="1:46" x14ac:dyDescent="0.3">
      <c r="A48" s="160" t="s">
        <v>804</v>
      </c>
      <c r="B48" s="287">
        <f>'Gebäude (02,03)'!$B$76</f>
        <v>1</v>
      </c>
      <c r="C48" s="823"/>
      <c r="D48" s="823"/>
      <c r="E48" s="824"/>
      <c r="AA48" s="160" t="s">
        <v>804</v>
      </c>
      <c r="AB48" s="823"/>
      <c r="AC48" s="823"/>
      <c r="AD48" s="823"/>
      <c r="AE48" s="824"/>
      <c r="AF48" s="218"/>
    </row>
    <row r="49" spans="1:32" x14ac:dyDescent="0.3">
      <c r="A49" s="819" t="s">
        <v>1082</v>
      </c>
      <c r="B49" s="820">
        <v>0.05</v>
      </c>
      <c r="C49" s="820" t="s">
        <v>1038</v>
      </c>
      <c r="D49" s="820"/>
      <c r="E49" s="825"/>
      <c r="AA49" s="819"/>
      <c r="AB49" s="820"/>
      <c r="AC49" s="820"/>
      <c r="AD49" s="820"/>
      <c r="AE49" s="825"/>
      <c r="AF49" s="218"/>
    </row>
    <row r="50" spans="1:32" x14ac:dyDescent="0.3">
      <c r="A50" s="819" t="s">
        <v>1082</v>
      </c>
      <c r="B50" s="820">
        <v>0.03</v>
      </c>
      <c r="C50" s="820" t="s">
        <v>1038</v>
      </c>
      <c r="D50" s="820"/>
      <c r="E50" s="825"/>
      <c r="AA50" s="819"/>
      <c r="AB50" s="820"/>
      <c r="AC50" s="820"/>
      <c r="AD50" s="820"/>
      <c r="AE50" s="825"/>
      <c r="AF50" s="218"/>
    </row>
    <row r="51" spans="1:32" x14ac:dyDescent="0.3">
      <c r="A51" s="819" t="s">
        <v>1082</v>
      </c>
      <c r="B51" s="820">
        <v>0.1</v>
      </c>
      <c r="C51" s="820" t="s">
        <v>1038</v>
      </c>
      <c r="D51" s="820"/>
      <c r="E51" s="825"/>
      <c r="AA51" s="819"/>
      <c r="AB51" s="820"/>
      <c r="AC51" s="820"/>
      <c r="AD51" s="820"/>
      <c r="AE51" s="825"/>
      <c r="AF51" s="218"/>
    </row>
    <row r="52" spans="1:32" x14ac:dyDescent="0.3">
      <c r="A52" s="819" t="s">
        <v>1083</v>
      </c>
      <c r="B52" s="289">
        <f>'Gebäude (02,03)'!$E$75</f>
        <v>0</v>
      </c>
      <c r="C52" s="820" t="s">
        <v>1038</v>
      </c>
      <c r="D52" s="820"/>
      <c r="E52" s="825"/>
      <c r="AA52" s="819"/>
      <c r="AB52" s="820"/>
      <c r="AC52" s="820"/>
      <c r="AD52" s="820"/>
      <c r="AE52" s="825"/>
      <c r="AF52" s="218"/>
    </row>
    <row r="53" spans="1:32" ht="14.5" thickBot="1" x14ac:dyDescent="0.35">
      <c r="A53" s="821" t="s">
        <v>495</v>
      </c>
      <c r="B53" s="169">
        <f>CHOOSE(B48,B49,B50,B51,B52)</f>
        <v>0.05</v>
      </c>
      <c r="C53" s="822" t="s">
        <v>1038</v>
      </c>
      <c r="D53" s="169">
        <f>B53*C142</f>
        <v>50</v>
      </c>
      <c r="E53" s="826" t="s">
        <v>71</v>
      </c>
      <c r="AA53" s="821" t="s">
        <v>495</v>
      </c>
      <c r="AB53" s="765">
        <f>B49</f>
        <v>0.05</v>
      </c>
      <c r="AC53" s="822" t="s">
        <v>1038</v>
      </c>
      <c r="AD53" s="765">
        <f>AB53*C142</f>
        <v>50</v>
      </c>
      <c r="AE53" s="826" t="s">
        <v>71</v>
      </c>
      <c r="AF53" s="218"/>
    </row>
    <row r="54" spans="1:32" ht="14.5" thickBot="1" x14ac:dyDescent="0.35">
      <c r="AF54" s="218"/>
    </row>
    <row r="55" spans="1:32" x14ac:dyDescent="0.3">
      <c r="A55" s="160" t="s">
        <v>605</v>
      </c>
      <c r="B55" s="287">
        <f>'Gebäude (02,03)'!$A$98</f>
        <v>3</v>
      </c>
      <c r="C55" s="823"/>
      <c r="D55" s="831" t="s">
        <v>1237</v>
      </c>
      <c r="E55" s="885" t="s">
        <v>95</v>
      </c>
      <c r="AA55" s="160" t="s">
        <v>605</v>
      </c>
      <c r="AB55" s="823"/>
      <c r="AC55" s="824"/>
      <c r="AF55" s="218"/>
    </row>
    <row r="56" spans="1:32" x14ac:dyDescent="0.3">
      <c r="A56" s="819" t="s">
        <v>1082</v>
      </c>
      <c r="B56" s="820">
        <v>0.6</v>
      </c>
      <c r="C56" s="820" t="s">
        <v>926</v>
      </c>
      <c r="D56" s="832">
        <v>0.6</v>
      </c>
      <c r="E56" s="857">
        <v>0</v>
      </c>
      <c r="AA56" s="819"/>
      <c r="AB56" s="820"/>
      <c r="AC56" s="825"/>
      <c r="AF56" s="218"/>
    </row>
    <row r="57" spans="1:32" x14ac:dyDescent="0.3">
      <c r="A57" s="819" t="s">
        <v>1082</v>
      </c>
      <c r="B57" s="820">
        <v>0.6</v>
      </c>
      <c r="C57" s="820" t="s">
        <v>926</v>
      </c>
      <c r="D57" s="832">
        <v>0.2</v>
      </c>
      <c r="E57" s="857">
        <v>0.4</v>
      </c>
      <c r="AA57" s="819"/>
      <c r="AB57" s="820"/>
      <c r="AC57" s="825"/>
      <c r="AF57" s="218"/>
    </row>
    <row r="58" spans="1:32" x14ac:dyDescent="0.3">
      <c r="A58" s="819" t="s">
        <v>1082</v>
      </c>
      <c r="B58" s="820">
        <v>0.55000000000000004</v>
      </c>
      <c r="C58" s="820" t="s">
        <v>926</v>
      </c>
      <c r="D58" s="832">
        <v>0.15</v>
      </c>
      <c r="E58" s="857">
        <v>0.4</v>
      </c>
      <c r="AA58" s="819"/>
      <c r="AB58" s="820"/>
      <c r="AC58" s="825"/>
      <c r="AF58" s="218"/>
    </row>
    <row r="59" spans="1:32" x14ac:dyDescent="0.3">
      <c r="A59" s="819"/>
      <c r="B59" s="820">
        <v>0.7</v>
      </c>
      <c r="C59" s="820" t="s">
        <v>926</v>
      </c>
      <c r="D59" s="832" t="s">
        <v>941</v>
      </c>
      <c r="E59" s="857" t="s">
        <v>941</v>
      </c>
      <c r="AA59" s="819"/>
      <c r="AB59" s="820"/>
      <c r="AC59" s="825"/>
      <c r="AF59" s="218"/>
    </row>
    <row r="60" spans="1:32" ht="14.5" thickBot="1" x14ac:dyDescent="0.35">
      <c r="A60" s="821" t="s">
        <v>495</v>
      </c>
      <c r="B60" s="169">
        <f>CHOOSE(B55,B56,B57,B58,B59)</f>
        <v>0.55000000000000004</v>
      </c>
      <c r="C60" s="822" t="s">
        <v>926</v>
      </c>
      <c r="D60" s="326">
        <f>CHOOSE(B55,D56,D57,D58,D59)</f>
        <v>0.15</v>
      </c>
      <c r="E60" s="497">
        <f>CHOOSE(B55,E56,E57,E58,E59)</f>
        <v>0.4</v>
      </c>
      <c r="AA60" s="821" t="s">
        <v>495</v>
      </c>
      <c r="AB60" s="765">
        <f>B58</f>
        <v>0.55000000000000004</v>
      </c>
      <c r="AC60" s="826" t="s">
        <v>926</v>
      </c>
      <c r="AF60" s="218"/>
    </row>
    <row r="61" spans="1:32" ht="14.5" thickBot="1" x14ac:dyDescent="0.35">
      <c r="AF61" s="218"/>
    </row>
    <row r="62" spans="1:32" x14ac:dyDescent="0.3">
      <c r="A62" s="160" t="s">
        <v>1029</v>
      </c>
      <c r="B62" s="287">
        <f>'Gebäude (02,03)'!$A$83</f>
        <v>1</v>
      </c>
      <c r="C62" s="823" t="s">
        <v>1030</v>
      </c>
      <c r="D62" s="823">
        <f>IF(D11&lt;=3,0.76*D12,0.8*D12)</f>
        <v>760</v>
      </c>
      <c r="E62" s="824" t="s">
        <v>67</v>
      </c>
      <c r="AA62" s="939" t="s">
        <v>1029</v>
      </c>
      <c r="AF62" s="218"/>
    </row>
    <row r="63" spans="1:32" ht="14.5" thickBot="1" x14ac:dyDescent="0.35">
      <c r="A63" s="819"/>
      <c r="B63" s="820"/>
      <c r="C63" s="820" t="s">
        <v>1031</v>
      </c>
      <c r="D63" s="820">
        <f>'Gebäude (02,03)'!I85</f>
        <v>0</v>
      </c>
      <c r="E63" s="825" t="s">
        <v>67</v>
      </c>
      <c r="AA63" s="940" t="s">
        <v>1093</v>
      </c>
      <c r="AF63" s="218"/>
    </row>
    <row r="64" spans="1:32" ht="14.5" thickBot="1" x14ac:dyDescent="0.35">
      <c r="A64" s="821"/>
      <c r="B64" s="822"/>
      <c r="C64" s="822" t="s">
        <v>1032</v>
      </c>
      <c r="D64" s="169">
        <f>CHOOSE(B62,D62,D63)</f>
        <v>760</v>
      </c>
      <c r="E64" s="826" t="s">
        <v>67</v>
      </c>
      <c r="AF64" s="218"/>
    </row>
    <row r="65" spans="1:32" ht="14.5" thickBot="1" x14ac:dyDescent="0.35">
      <c r="AF65" s="218"/>
    </row>
    <row r="66" spans="1:32" x14ac:dyDescent="0.3">
      <c r="A66" s="160" t="s">
        <v>1035</v>
      </c>
      <c r="B66" s="823"/>
      <c r="C66" s="823"/>
      <c r="D66" s="823"/>
      <c r="E66" s="823"/>
      <c r="F66" s="823"/>
      <c r="G66" s="823"/>
      <c r="H66" s="823"/>
      <c r="I66" s="823"/>
      <c r="J66" s="823"/>
      <c r="K66" s="823"/>
      <c r="L66" s="823"/>
      <c r="M66" s="823"/>
      <c r="N66" s="823"/>
      <c r="O66" s="824"/>
      <c r="AA66" s="939" t="s">
        <v>1035</v>
      </c>
      <c r="AF66" s="218"/>
    </row>
    <row r="67" spans="1:32" ht="14.5" thickBot="1" x14ac:dyDescent="0.35">
      <c r="A67" s="828">
        <v>1</v>
      </c>
      <c r="B67" s="855" t="s">
        <v>1323</v>
      </c>
      <c r="C67" s="832" t="s">
        <v>972</v>
      </c>
      <c r="D67" s="832" t="s">
        <v>973</v>
      </c>
      <c r="E67" s="832" t="s">
        <v>974</v>
      </c>
      <c r="F67" s="832" t="s">
        <v>975</v>
      </c>
      <c r="G67" s="832" t="s">
        <v>960</v>
      </c>
      <c r="H67" s="832" t="s">
        <v>976</v>
      </c>
      <c r="I67" s="832" t="s">
        <v>977</v>
      </c>
      <c r="J67" s="832" t="s">
        <v>978</v>
      </c>
      <c r="K67" s="832" t="s">
        <v>979</v>
      </c>
      <c r="L67" s="832" t="s">
        <v>980</v>
      </c>
      <c r="M67" s="832" t="s">
        <v>981</v>
      </c>
      <c r="N67" s="832" t="s">
        <v>982</v>
      </c>
      <c r="O67" s="825"/>
      <c r="AA67" s="940" t="s">
        <v>1093</v>
      </c>
      <c r="AF67" s="218"/>
    </row>
    <row r="68" spans="1:32" x14ac:dyDescent="0.3">
      <c r="A68" s="828">
        <v>2</v>
      </c>
      <c r="B68" s="855" t="s">
        <v>961</v>
      </c>
      <c r="C68" s="837">
        <v>29</v>
      </c>
      <c r="D68" s="838">
        <v>44</v>
      </c>
      <c r="E68" s="838">
        <v>97</v>
      </c>
      <c r="F68" s="838">
        <v>189</v>
      </c>
      <c r="G68" s="838">
        <v>221</v>
      </c>
      <c r="H68" s="838">
        <v>241</v>
      </c>
      <c r="I68" s="838">
        <v>210</v>
      </c>
      <c r="J68" s="838">
        <v>180</v>
      </c>
      <c r="K68" s="838">
        <v>127</v>
      </c>
      <c r="L68" s="838">
        <v>77</v>
      </c>
      <c r="M68" s="838">
        <v>31</v>
      </c>
      <c r="N68" s="839">
        <v>17</v>
      </c>
      <c r="O68" s="825"/>
      <c r="AF68" s="218"/>
    </row>
    <row r="69" spans="1:32" x14ac:dyDescent="0.3">
      <c r="A69" s="828">
        <v>3</v>
      </c>
      <c r="B69" s="855" t="s">
        <v>962</v>
      </c>
      <c r="C69" s="840">
        <v>50</v>
      </c>
      <c r="D69" s="841">
        <v>55</v>
      </c>
      <c r="E69" s="841">
        <v>121</v>
      </c>
      <c r="F69" s="841">
        <v>217</v>
      </c>
      <c r="G69" s="841">
        <v>230</v>
      </c>
      <c r="H69" s="841">
        <v>241</v>
      </c>
      <c r="I69" s="841">
        <v>208</v>
      </c>
      <c r="J69" s="841">
        <v>199</v>
      </c>
      <c r="K69" s="841">
        <v>157</v>
      </c>
      <c r="L69" s="841">
        <v>110</v>
      </c>
      <c r="M69" s="841">
        <v>41</v>
      </c>
      <c r="N69" s="842">
        <v>26</v>
      </c>
      <c r="O69" s="825"/>
      <c r="AF69" s="218"/>
    </row>
    <row r="70" spans="1:32" x14ac:dyDescent="0.3">
      <c r="A70" s="828">
        <v>4</v>
      </c>
      <c r="B70" s="855" t="s">
        <v>963</v>
      </c>
      <c r="C70" s="840">
        <v>57</v>
      </c>
      <c r="D70" s="841">
        <v>56</v>
      </c>
      <c r="E70" s="841">
        <v>124</v>
      </c>
      <c r="F70" s="841">
        <v>214</v>
      </c>
      <c r="G70" s="841">
        <v>218</v>
      </c>
      <c r="H70" s="841">
        <v>224</v>
      </c>
      <c r="I70" s="841">
        <v>194</v>
      </c>
      <c r="J70" s="841">
        <v>193</v>
      </c>
      <c r="K70" s="841">
        <v>160</v>
      </c>
      <c r="L70" s="841">
        <v>119</v>
      </c>
      <c r="M70" s="841">
        <v>44</v>
      </c>
      <c r="N70" s="842">
        <v>29</v>
      </c>
      <c r="O70" s="825"/>
      <c r="AF70" s="218"/>
    </row>
    <row r="71" spans="1:32" x14ac:dyDescent="0.3">
      <c r="A71" s="828">
        <v>5</v>
      </c>
      <c r="B71" s="855" t="s">
        <v>964</v>
      </c>
      <c r="C71" s="840">
        <v>61</v>
      </c>
      <c r="D71" s="841">
        <v>55</v>
      </c>
      <c r="E71" s="841">
        <v>121</v>
      </c>
      <c r="F71" s="841">
        <v>201</v>
      </c>
      <c r="G71" s="841">
        <v>196</v>
      </c>
      <c r="H71" s="841">
        <v>197</v>
      </c>
      <c r="I71" s="841">
        <v>172</v>
      </c>
      <c r="J71" s="841">
        <v>178</v>
      </c>
      <c r="K71" s="841">
        <v>155</v>
      </c>
      <c r="L71" s="841">
        <v>121</v>
      </c>
      <c r="M71" s="841">
        <v>44</v>
      </c>
      <c r="N71" s="842">
        <v>31</v>
      </c>
      <c r="O71" s="825"/>
      <c r="AF71" s="218"/>
    </row>
    <row r="72" spans="1:32" x14ac:dyDescent="0.3">
      <c r="A72" s="828">
        <v>6</v>
      </c>
      <c r="B72" s="855" t="s">
        <v>965</v>
      </c>
      <c r="C72" s="843">
        <v>59</v>
      </c>
      <c r="D72" s="844">
        <v>47</v>
      </c>
      <c r="E72" s="844">
        <v>98</v>
      </c>
      <c r="F72" s="844">
        <v>147</v>
      </c>
      <c r="G72" s="844">
        <v>132</v>
      </c>
      <c r="H72" s="844">
        <v>124</v>
      </c>
      <c r="I72" s="844">
        <v>113</v>
      </c>
      <c r="J72" s="844">
        <v>127</v>
      </c>
      <c r="K72" s="844">
        <v>123</v>
      </c>
      <c r="L72" s="844">
        <v>106</v>
      </c>
      <c r="M72" s="844">
        <v>39</v>
      </c>
      <c r="N72" s="845">
        <v>29</v>
      </c>
      <c r="O72" s="825"/>
      <c r="AF72" s="218"/>
    </row>
    <row r="73" spans="1:32" x14ac:dyDescent="0.3">
      <c r="A73" s="828">
        <v>7</v>
      </c>
      <c r="B73" s="855" t="s">
        <v>1267</v>
      </c>
      <c r="C73" s="840">
        <v>46</v>
      </c>
      <c r="D73" s="841">
        <v>52</v>
      </c>
      <c r="E73" s="841">
        <v>114</v>
      </c>
      <c r="F73" s="841">
        <v>214</v>
      </c>
      <c r="G73" s="841">
        <v>227</v>
      </c>
      <c r="H73" s="841">
        <v>242</v>
      </c>
      <c r="I73" s="841">
        <v>212</v>
      </c>
      <c r="J73" s="841">
        <v>194</v>
      </c>
      <c r="K73" s="841">
        <v>147</v>
      </c>
      <c r="L73" s="841">
        <v>102</v>
      </c>
      <c r="M73" s="841">
        <v>38</v>
      </c>
      <c r="N73" s="842">
        <v>23</v>
      </c>
      <c r="O73" s="825"/>
      <c r="AF73" s="218"/>
    </row>
    <row r="74" spans="1:32" x14ac:dyDescent="0.3">
      <c r="A74" s="828">
        <v>8</v>
      </c>
      <c r="B74" s="855" t="s">
        <v>1268</v>
      </c>
      <c r="C74" s="840">
        <v>51</v>
      </c>
      <c r="D74" s="841">
        <v>53</v>
      </c>
      <c r="E74" s="841">
        <v>116</v>
      </c>
      <c r="F74" s="841">
        <v>212</v>
      </c>
      <c r="G74" s="841">
        <v>217</v>
      </c>
      <c r="H74" s="841">
        <v>229</v>
      </c>
      <c r="I74" s="841">
        <v>201</v>
      </c>
      <c r="J74" s="841">
        <v>188</v>
      </c>
      <c r="K74" s="841">
        <v>148</v>
      </c>
      <c r="L74" s="841">
        <v>107</v>
      </c>
      <c r="M74" s="841">
        <v>39</v>
      </c>
      <c r="N74" s="842">
        <v>25</v>
      </c>
      <c r="O74" s="825"/>
      <c r="AF74" s="218"/>
    </row>
    <row r="75" spans="1:32" x14ac:dyDescent="0.3">
      <c r="A75" s="828">
        <v>9</v>
      </c>
      <c r="B75" s="855" t="s">
        <v>1269</v>
      </c>
      <c r="C75" s="840">
        <v>54</v>
      </c>
      <c r="D75" s="841">
        <v>51</v>
      </c>
      <c r="E75" s="841">
        <v>112</v>
      </c>
      <c r="F75" s="841">
        <v>201</v>
      </c>
      <c r="G75" s="841">
        <v>198</v>
      </c>
      <c r="H75" s="841">
        <v>207</v>
      </c>
      <c r="I75" s="841">
        <v>183</v>
      </c>
      <c r="J75" s="841">
        <v>175</v>
      </c>
      <c r="K75" s="841">
        <v>141</v>
      </c>
      <c r="L75" s="841">
        <v>107</v>
      </c>
      <c r="M75" s="841">
        <v>38</v>
      </c>
      <c r="N75" s="842">
        <v>26</v>
      </c>
      <c r="O75" s="825"/>
      <c r="AF75" s="218"/>
    </row>
    <row r="76" spans="1:32" x14ac:dyDescent="0.3">
      <c r="A76" s="828">
        <v>10</v>
      </c>
      <c r="B76" s="855" t="s">
        <v>1270</v>
      </c>
      <c r="C76" s="843">
        <v>50</v>
      </c>
      <c r="D76" s="844">
        <v>42</v>
      </c>
      <c r="E76" s="844">
        <v>90</v>
      </c>
      <c r="F76" s="844">
        <v>156</v>
      </c>
      <c r="G76" s="844">
        <v>143</v>
      </c>
      <c r="H76" s="844">
        <v>146</v>
      </c>
      <c r="I76" s="844">
        <v>132</v>
      </c>
      <c r="J76" s="844">
        <v>130</v>
      </c>
      <c r="K76" s="844">
        <v>111</v>
      </c>
      <c r="L76" s="844">
        <v>91</v>
      </c>
      <c r="M76" s="844">
        <v>32</v>
      </c>
      <c r="N76" s="845">
        <v>23</v>
      </c>
      <c r="O76" s="825"/>
      <c r="AF76" s="218"/>
    </row>
    <row r="77" spans="1:32" x14ac:dyDescent="0.3">
      <c r="A77" s="828">
        <v>11</v>
      </c>
      <c r="B77" s="855" t="s">
        <v>1271</v>
      </c>
      <c r="C77" s="840">
        <v>40</v>
      </c>
      <c r="D77" s="841">
        <v>49</v>
      </c>
      <c r="E77" s="841">
        <v>110</v>
      </c>
      <c r="F77" s="841">
        <v>201</v>
      </c>
      <c r="G77" s="841">
        <v>222</v>
      </c>
      <c r="H77" s="841">
        <v>234</v>
      </c>
      <c r="I77" s="841">
        <v>201</v>
      </c>
      <c r="J77" s="841">
        <v>188</v>
      </c>
      <c r="K77" s="841">
        <v>145</v>
      </c>
      <c r="L77" s="841">
        <v>96</v>
      </c>
      <c r="M77" s="841">
        <v>37</v>
      </c>
      <c r="N77" s="842">
        <v>23</v>
      </c>
      <c r="O77" s="825"/>
      <c r="AF77" s="218"/>
    </row>
    <row r="78" spans="1:32" x14ac:dyDescent="0.3">
      <c r="A78" s="828">
        <v>12</v>
      </c>
      <c r="B78" s="855" t="s">
        <v>1272</v>
      </c>
      <c r="C78" s="840">
        <v>43</v>
      </c>
      <c r="D78" s="841">
        <v>48</v>
      </c>
      <c r="E78" s="841">
        <v>110</v>
      </c>
      <c r="F78" s="841">
        <v>195</v>
      </c>
      <c r="G78" s="841">
        <v>209</v>
      </c>
      <c r="H78" s="841">
        <v>218</v>
      </c>
      <c r="I78" s="841">
        <v>188</v>
      </c>
      <c r="J78" s="841">
        <v>181</v>
      </c>
      <c r="K78" s="841">
        <v>145</v>
      </c>
      <c r="L78" s="841">
        <v>99</v>
      </c>
      <c r="M78" s="841">
        <v>38</v>
      </c>
      <c r="N78" s="842">
        <v>24</v>
      </c>
      <c r="O78" s="825"/>
      <c r="AF78" s="218"/>
    </row>
    <row r="79" spans="1:32" x14ac:dyDescent="0.3">
      <c r="A79" s="828">
        <v>13</v>
      </c>
      <c r="B79" s="855" t="s">
        <v>1273</v>
      </c>
      <c r="C79" s="840">
        <v>44</v>
      </c>
      <c r="D79" s="841">
        <v>46</v>
      </c>
      <c r="E79" s="841">
        <v>105</v>
      </c>
      <c r="F79" s="841">
        <v>181</v>
      </c>
      <c r="G79" s="841">
        <v>190</v>
      </c>
      <c r="H79" s="841">
        <v>195</v>
      </c>
      <c r="I79" s="841">
        <v>169</v>
      </c>
      <c r="J79" s="841">
        <v>167</v>
      </c>
      <c r="K79" s="841">
        <v>138</v>
      </c>
      <c r="L79" s="841">
        <v>97</v>
      </c>
      <c r="M79" s="841">
        <v>37</v>
      </c>
      <c r="N79" s="842">
        <v>25</v>
      </c>
      <c r="O79" s="825"/>
      <c r="AF79" s="218"/>
    </row>
    <row r="80" spans="1:32" x14ac:dyDescent="0.3">
      <c r="A80" s="828">
        <v>14</v>
      </c>
      <c r="B80" s="855" t="s">
        <v>1274</v>
      </c>
      <c r="C80" s="843">
        <v>40</v>
      </c>
      <c r="D80" s="844">
        <v>36</v>
      </c>
      <c r="E80" s="844">
        <v>83</v>
      </c>
      <c r="F80" s="844">
        <v>136</v>
      </c>
      <c r="G80" s="844">
        <v>137</v>
      </c>
      <c r="H80" s="844">
        <v>135</v>
      </c>
      <c r="I80" s="844">
        <v>120</v>
      </c>
      <c r="J80" s="844">
        <v>123</v>
      </c>
      <c r="K80" s="844">
        <v>108</v>
      </c>
      <c r="L80" s="844">
        <v>80</v>
      </c>
      <c r="M80" s="844">
        <v>31</v>
      </c>
      <c r="N80" s="845">
        <v>22</v>
      </c>
      <c r="O80" s="825"/>
      <c r="AF80" s="218"/>
    </row>
    <row r="81" spans="1:32" x14ac:dyDescent="0.3">
      <c r="A81" s="828">
        <v>15</v>
      </c>
      <c r="B81" s="855" t="s">
        <v>1275</v>
      </c>
      <c r="C81" s="840">
        <v>31</v>
      </c>
      <c r="D81" s="841">
        <v>43</v>
      </c>
      <c r="E81" s="841">
        <v>95</v>
      </c>
      <c r="F81" s="841">
        <v>189</v>
      </c>
      <c r="G81" s="841">
        <v>211</v>
      </c>
      <c r="H81" s="841">
        <v>231</v>
      </c>
      <c r="I81" s="841">
        <v>205</v>
      </c>
      <c r="J81" s="841">
        <v>173</v>
      </c>
      <c r="K81" s="841">
        <v>122</v>
      </c>
      <c r="L81" s="841">
        <v>77</v>
      </c>
      <c r="M81" s="841">
        <v>30</v>
      </c>
      <c r="N81" s="842">
        <v>17</v>
      </c>
      <c r="O81" s="825"/>
      <c r="AF81" s="218"/>
    </row>
    <row r="82" spans="1:32" x14ac:dyDescent="0.3">
      <c r="A82" s="828">
        <v>16</v>
      </c>
      <c r="B82" s="855" t="s">
        <v>1276</v>
      </c>
      <c r="C82" s="840">
        <v>31</v>
      </c>
      <c r="D82" s="841">
        <v>41</v>
      </c>
      <c r="E82" s="841">
        <v>91</v>
      </c>
      <c r="F82" s="841">
        <v>181</v>
      </c>
      <c r="G82" s="841">
        <v>198</v>
      </c>
      <c r="H82" s="841">
        <v>217</v>
      </c>
      <c r="I82" s="841">
        <v>194</v>
      </c>
      <c r="J82" s="841">
        <v>163</v>
      </c>
      <c r="K82" s="841">
        <v>115</v>
      </c>
      <c r="L82" s="841">
        <v>74</v>
      </c>
      <c r="M82" s="841">
        <v>28</v>
      </c>
      <c r="N82" s="842">
        <v>16</v>
      </c>
      <c r="O82" s="825"/>
      <c r="AF82" s="218"/>
    </row>
    <row r="83" spans="1:32" x14ac:dyDescent="0.3">
      <c r="A83" s="828">
        <v>17</v>
      </c>
      <c r="B83" s="855" t="s">
        <v>1277</v>
      </c>
      <c r="C83" s="840">
        <v>30</v>
      </c>
      <c r="D83" s="841">
        <v>38</v>
      </c>
      <c r="E83" s="841">
        <v>85</v>
      </c>
      <c r="F83" s="841">
        <v>170</v>
      </c>
      <c r="G83" s="841">
        <v>180</v>
      </c>
      <c r="H83" s="841">
        <v>198</v>
      </c>
      <c r="I83" s="841">
        <v>179</v>
      </c>
      <c r="J83" s="841">
        <v>150</v>
      </c>
      <c r="K83" s="841">
        <v>106</v>
      </c>
      <c r="L83" s="841">
        <v>70</v>
      </c>
      <c r="M83" s="841">
        <v>26</v>
      </c>
      <c r="N83" s="842">
        <v>15</v>
      </c>
      <c r="O83" s="825"/>
      <c r="AF83" s="218"/>
    </row>
    <row r="84" spans="1:32" x14ac:dyDescent="0.3">
      <c r="A84" s="828">
        <v>18</v>
      </c>
      <c r="B84" s="855" t="s">
        <v>1278</v>
      </c>
      <c r="C84" s="843">
        <v>25</v>
      </c>
      <c r="D84" s="844">
        <v>29</v>
      </c>
      <c r="E84" s="844">
        <v>68</v>
      </c>
      <c r="F84" s="844">
        <v>134</v>
      </c>
      <c r="G84" s="844">
        <v>137</v>
      </c>
      <c r="H84" s="844">
        <v>150</v>
      </c>
      <c r="I84" s="844">
        <v>138</v>
      </c>
      <c r="J84" s="844">
        <v>115</v>
      </c>
      <c r="K84" s="844">
        <v>83</v>
      </c>
      <c r="L84" s="844">
        <v>55</v>
      </c>
      <c r="M84" s="844">
        <v>20</v>
      </c>
      <c r="N84" s="845">
        <v>12</v>
      </c>
      <c r="O84" s="825"/>
      <c r="AD84" s="155"/>
      <c r="AF84" s="218"/>
    </row>
    <row r="85" spans="1:32" x14ac:dyDescent="0.3">
      <c r="A85" s="828">
        <v>19</v>
      </c>
      <c r="B85" s="855" t="s">
        <v>1279</v>
      </c>
      <c r="C85" s="840">
        <v>25</v>
      </c>
      <c r="D85" s="841">
        <v>40</v>
      </c>
      <c r="E85" s="841">
        <v>90</v>
      </c>
      <c r="F85" s="841">
        <v>172</v>
      </c>
      <c r="G85" s="841">
        <v>202</v>
      </c>
      <c r="H85" s="841">
        <v>219</v>
      </c>
      <c r="I85" s="841">
        <v>188</v>
      </c>
      <c r="J85" s="841">
        <v>165</v>
      </c>
      <c r="K85" s="841">
        <v>120</v>
      </c>
      <c r="L85" s="841">
        <v>70</v>
      </c>
      <c r="M85" s="841">
        <v>29</v>
      </c>
      <c r="N85" s="842">
        <v>16</v>
      </c>
      <c r="O85" s="825"/>
      <c r="AF85" s="218"/>
    </row>
    <row r="86" spans="1:32" x14ac:dyDescent="0.3">
      <c r="A86" s="828">
        <v>20</v>
      </c>
      <c r="B86" s="855" t="s">
        <v>1280</v>
      </c>
      <c r="C86" s="840">
        <v>24</v>
      </c>
      <c r="D86" s="841">
        <v>36</v>
      </c>
      <c r="E86" s="841">
        <v>84</v>
      </c>
      <c r="F86" s="841">
        <v>159</v>
      </c>
      <c r="G86" s="841">
        <v>187</v>
      </c>
      <c r="H86" s="841">
        <v>201</v>
      </c>
      <c r="I86" s="841">
        <v>174</v>
      </c>
      <c r="J86" s="841">
        <v>153</v>
      </c>
      <c r="K86" s="841">
        <v>112</v>
      </c>
      <c r="L86" s="841">
        <v>65</v>
      </c>
      <c r="M86" s="841">
        <v>27</v>
      </c>
      <c r="N86" s="842">
        <v>16</v>
      </c>
      <c r="O86" s="825"/>
      <c r="AF86" s="218"/>
    </row>
    <row r="87" spans="1:32" x14ac:dyDescent="0.3">
      <c r="A87" s="828">
        <v>21</v>
      </c>
      <c r="B87" s="855" t="s">
        <v>1281</v>
      </c>
      <c r="C87" s="840">
        <v>22</v>
      </c>
      <c r="D87" s="841">
        <v>33</v>
      </c>
      <c r="E87" s="841">
        <v>78</v>
      </c>
      <c r="F87" s="841">
        <v>146</v>
      </c>
      <c r="G87" s="841">
        <v>169</v>
      </c>
      <c r="H87" s="841">
        <v>181</v>
      </c>
      <c r="I87" s="841">
        <v>157</v>
      </c>
      <c r="J87" s="841">
        <v>139</v>
      </c>
      <c r="K87" s="841">
        <v>103</v>
      </c>
      <c r="L87" s="841">
        <v>60</v>
      </c>
      <c r="M87" s="841">
        <v>25</v>
      </c>
      <c r="N87" s="842">
        <v>14</v>
      </c>
      <c r="O87" s="825"/>
      <c r="AF87" s="218"/>
    </row>
    <row r="88" spans="1:32" x14ac:dyDescent="0.3">
      <c r="A88" s="828">
        <v>22</v>
      </c>
      <c r="B88" s="855" t="s">
        <v>1282</v>
      </c>
      <c r="C88" s="843">
        <v>17</v>
      </c>
      <c r="D88" s="844">
        <v>24</v>
      </c>
      <c r="E88" s="844">
        <v>60</v>
      </c>
      <c r="F88" s="844">
        <v>114</v>
      </c>
      <c r="G88" s="844">
        <v>127</v>
      </c>
      <c r="H88" s="844">
        <v>136</v>
      </c>
      <c r="I88" s="844">
        <v>117</v>
      </c>
      <c r="J88" s="844">
        <v>105</v>
      </c>
      <c r="K88" s="844">
        <v>79</v>
      </c>
      <c r="L88" s="844">
        <v>47</v>
      </c>
      <c r="M88" s="844">
        <v>19</v>
      </c>
      <c r="N88" s="845">
        <v>11</v>
      </c>
      <c r="O88" s="825"/>
      <c r="AD88" s="155"/>
      <c r="AF88" s="218"/>
    </row>
    <row r="89" spans="1:32" x14ac:dyDescent="0.3">
      <c r="A89" s="828">
        <v>23</v>
      </c>
      <c r="B89" s="855" t="s">
        <v>1283</v>
      </c>
      <c r="C89" s="840">
        <v>16</v>
      </c>
      <c r="D89" s="841">
        <v>32</v>
      </c>
      <c r="E89" s="841">
        <v>68</v>
      </c>
      <c r="F89" s="841">
        <v>139</v>
      </c>
      <c r="G89" s="841">
        <v>178</v>
      </c>
      <c r="H89" s="841">
        <v>199</v>
      </c>
      <c r="I89" s="841">
        <v>173</v>
      </c>
      <c r="J89" s="841">
        <v>138</v>
      </c>
      <c r="K89" s="841">
        <v>91</v>
      </c>
      <c r="L89" s="841">
        <v>47</v>
      </c>
      <c r="M89" s="841">
        <v>22</v>
      </c>
      <c r="N89" s="842">
        <v>12</v>
      </c>
      <c r="O89" s="825"/>
      <c r="AD89" s="155"/>
    </row>
    <row r="90" spans="1:32" x14ac:dyDescent="0.3">
      <c r="A90" s="828">
        <v>24</v>
      </c>
      <c r="B90" s="855" t="s">
        <v>1284</v>
      </c>
      <c r="C90" s="846">
        <v>15</v>
      </c>
      <c r="D90" s="841">
        <v>28</v>
      </c>
      <c r="E90" s="841">
        <v>58</v>
      </c>
      <c r="F90" s="841">
        <v>116</v>
      </c>
      <c r="G90" s="841">
        <v>151</v>
      </c>
      <c r="H90" s="841">
        <v>169</v>
      </c>
      <c r="I90" s="841">
        <v>149</v>
      </c>
      <c r="J90" s="841">
        <v>116</v>
      </c>
      <c r="K90" s="841">
        <v>77</v>
      </c>
      <c r="L90" s="841">
        <v>40</v>
      </c>
      <c r="M90" s="841">
        <v>20</v>
      </c>
      <c r="N90" s="842">
        <v>11</v>
      </c>
      <c r="O90" s="825"/>
      <c r="AD90" s="155"/>
    </row>
    <row r="91" spans="1:32" x14ac:dyDescent="0.3">
      <c r="A91" s="828">
        <v>25</v>
      </c>
      <c r="B91" s="855" t="s">
        <v>1285</v>
      </c>
      <c r="C91" s="840">
        <v>13</v>
      </c>
      <c r="D91" s="841">
        <v>25</v>
      </c>
      <c r="E91" s="841">
        <v>50</v>
      </c>
      <c r="F91" s="841">
        <v>101</v>
      </c>
      <c r="G91" s="841">
        <v>130</v>
      </c>
      <c r="H91" s="841">
        <v>144</v>
      </c>
      <c r="I91" s="841">
        <v>128</v>
      </c>
      <c r="J91" s="841">
        <v>99</v>
      </c>
      <c r="K91" s="841">
        <v>66</v>
      </c>
      <c r="L91" s="841">
        <v>35</v>
      </c>
      <c r="M91" s="841">
        <v>18</v>
      </c>
      <c r="N91" s="842">
        <v>9</v>
      </c>
      <c r="O91" s="825"/>
      <c r="AD91" s="155"/>
    </row>
    <row r="92" spans="1:32" x14ac:dyDescent="0.3">
      <c r="A92" s="828">
        <v>26</v>
      </c>
      <c r="B92" s="855" t="s">
        <v>1286</v>
      </c>
      <c r="C92" s="843">
        <v>11</v>
      </c>
      <c r="D92" s="844">
        <v>18</v>
      </c>
      <c r="E92" s="844">
        <v>38</v>
      </c>
      <c r="F92" s="844">
        <v>78</v>
      </c>
      <c r="G92" s="844">
        <v>96</v>
      </c>
      <c r="H92" s="844">
        <v>108</v>
      </c>
      <c r="I92" s="844">
        <v>95</v>
      </c>
      <c r="J92" s="844">
        <v>74</v>
      </c>
      <c r="K92" s="844">
        <v>51</v>
      </c>
      <c r="L92" s="844">
        <v>28</v>
      </c>
      <c r="M92" s="844">
        <v>13</v>
      </c>
      <c r="N92" s="845">
        <v>7</v>
      </c>
      <c r="O92" s="825"/>
      <c r="AD92" s="155"/>
    </row>
    <row r="93" spans="1:32" x14ac:dyDescent="0.3">
      <c r="A93" s="828">
        <v>27</v>
      </c>
      <c r="B93" s="855" t="s">
        <v>1287</v>
      </c>
      <c r="C93" s="840">
        <v>17</v>
      </c>
      <c r="D93" s="841">
        <v>34</v>
      </c>
      <c r="E93" s="841">
        <v>71</v>
      </c>
      <c r="F93" s="841">
        <v>151</v>
      </c>
      <c r="G93" s="841">
        <v>185</v>
      </c>
      <c r="H93" s="841">
        <v>209</v>
      </c>
      <c r="I93" s="841">
        <v>187</v>
      </c>
      <c r="J93" s="841">
        <v>144</v>
      </c>
      <c r="K93" s="841">
        <v>93</v>
      </c>
      <c r="L93" s="841">
        <v>50</v>
      </c>
      <c r="M93" s="841">
        <v>22</v>
      </c>
      <c r="N93" s="842">
        <v>12</v>
      </c>
      <c r="O93" s="825"/>
      <c r="AD93" s="155"/>
    </row>
    <row r="94" spans="1:32" x14ac:dyDescent="0.3">
      <c r="A94" s="828">
        <v>28</v>
      </c>
      <c r="B94" s="855" t="s">
        <v>1288</v>
      </c>
      <c r="C94" s="846">
        <v>15</v>
      </c>
      <c r="D94" s="841">
        <v>29</v>
      </c>
      <c r="E94" s="841">
        <v>61</v>
      </c>
      <c r="F94" s="841">
        <v>131</v>
      </c>
      <c r="G94" s="841">
        <v>160</v>
      </c>
      <c r="H94" s="841">
        <v>181</v>
      </c>
      <c r="I94" s="841">
        <v>167</v>
      </c>
      <c r="J94" s="841">
        <v>123</v>
      </c>
      <c r="K94" s="841">
        <v>79</v>
      </c>
      <c r="L94" s="841">
        <v>42</v>
      </c>
      <c r="M94" s="841">
        <v>20</v>
      </c>
      <c r="N94" s="842">
        <v>11</v>
      </c>
      <c r="O94" s="825"/>
      <c r="AD94" s="155"/>
    </row>
    <row r="95" spans="1:32" x14ac:dyDescent="0.3">
      <c r="A95" s="828">
        <v>29</v>
      </c>
      <c r="B95" s="855" t="s">
        <v>1289</v>
      </c>
      <c r="C95" s="840">
        <v>14</v>
      </c>
      <c r="D95" s="841">
        <v>26</v>
      </c>
      <c r="E95" s="841">
        <v>54</v>
      </c>
      <c r="F95" s="841">
        <v>114</v>
      </c>
      <c r="G95" s="841">
        <v>139</v>
      </c>
      <c r="H95" s="841">
        <v>157</v>
      </c>
      <c r="I95" s="841">
        <v>148</v>
      </c>
      <c r="J95" s="841">
        <v>107</v>
      </c>
      <c r="K95" s="841">
        <v>68</v>
      </c>
      <c r="L95" s="841">
        <v>36</v>
      </c>
      <c r="M95" s="841">
        <v>18</v>
      </c>
      <c r="N95" s="842">
        <v>9</v>
      </c>
      <c r="O95" s="825"/>
      <c r="AD95" s="155"/>
    </row>
    <row r="96" spans="1:32" x14ac:dyDescent="0.3">
      <c r="A96" s="828">
        <v>30</v>
      </c>
      <c r="B96" s="855" t="s">
        <v>1290</v>
      </c>
      <c r="C96" s="843">
        <v>11</v>
      </c>
      <c r="D96" s="844">
        <v>19</v>
      </c>
      <c r="E96" s="844">
        <v>41</v>
      </c>
      <c r="F96" s="844">
        <v>87</v>
      </c>
      <c r="G96" s="844">
        <v>104</v>
      </c>
      <c r="H96" s="844">
        <v>116</v>
      </c>
      <c r="I96" s="844">
        <v>112</v>
      </c>
      <c r="J96" s="844">
        <v>81</v>
      </c>
      <c r="K96" s="844">
        <v>52</v>
      </c>
      <c r="L96" s="844">
        <v>29</v>
      </c>
      <c r="M96" s="844">
        <v>13</v>
      </c>
      <c r="N96" s="845">
        <v>7</v>
      </c>
      <c r="O96" s="825"/>
      <c r="AD96" s="155"/>
    </row>
    <row r="97" spans="1:32" x14ac:dyDescent="0.3">
      <c r="A97" s="828">
        <v>31</v>
      </c>
      <c r="B97" s="855" t="s">
        <v>966</v>
      </c>
      <c r="C97" s="840">
        <v>16</v>
      </c>
      <c r="D97" s="841">
        <v>29</v>
      </c>
      <c r="E97" s="841">
        <v>56</v>
      </c>
      <c r="F97" s="841">
        <v>128</v>
      </c>
      <c r="G97" s="841">
        <v>172</v>
      </c>
      <c r="H97" s="841">
        <v>197</v>
      </c>
      <c r="I97" s="841">
        <v>175</v>
      </c>
      <c r="J97" s="841">
        <v>129</v>
      </c>
      <c r="K97" s="841">
        <v>77</v>
      </c>
      <c r="L97" s="841">
        <v>36</v>
      </c>
      <c r="M97" s="841">
        <v>21</v>
      </c>
      <c r="N97" s="842">
        <v>11</v>
      </c>
      <c r="O97" s="825"/>
      <c r="AD97" s="155"/>
    </row>
    <row r="98" spans="1:32" x14ac:dyDescent="0.3">
      <c r="A98" s="828">
        <v>32</v>
      </c>
      <c r="B98" s="855" t="s">
        <v>967</v>
      </c>
      <c r="C98" s="840">
        <v>15</v>
      </c>
      <c r="D98" s="841">
        <v>26</v>
      </c>
      <c r="E98" s="841">
        <v>43</v>
      </c>
      <c r="F98" s="841">
        <v>90</v>
      </c>
      <c r="G98" s="841">
        <v>136</v>
      </c>
      <c r="H98" s="841">
        <v>161</v>
      </c>
      <c r="I98" s="841">
        <v>145</v>
      </c>
      <c r="J98" s="841">
        <v>95</v>
      </c>
      <c r="K98" s="841">
        <v>56</v>
      </c>
      <c r="L98" s="841">
        <v>33</v>
      </c>
      <c r="M98" s="841">
        <v>19</v>
      </c>
      <c r="N98" s="842">
        <v>10</v>
      </c>
      <c r="O98" s="825"/>
      <c r="AD98" s="155"/>
    </row>
    <row r="99" spans="1:32" x14ac:dyDescent="0.3">
      <c r="A99" s="828">
        <v>33</v>
      </c>
      <c r="B99" s="855" t="s">
        <v>968</v>
      </c>
      <c r="C99" s="840">
        <v>13</v>
      </c>
      <c r="D99" s="841">
        <v>24</v>
      </c>
      <c r="E99" s="841">
        <v>39</v>
      </c>
      <c r="F99" s="841">
        <v>71</v>
      </c>
      <c r="G99" s="841">
        <v>101</v>
      </c>
      <c r="H99" s="841">
        <v>119</v>
      </c>
      <c r="I99" s="841">
        <v>113</v>
      </c>
      <c r="J99" s="841">
        <v>72</v>
      </c>
      <c r="K99" s="841">
        <v>50</v>
      </c>
      <c r="L99" s="841">
        <v>30</v>
      </c>
      <c r="M99" s="841">
        <v>17</v>
      </c>
      <c r="N99" s="842">
        <v>9</v>
      </c>
      <c r="O99" s="825"/>
      <c r="AD99" s="155"/>
    </row>
    <row r="100" spans="1:32" x14ac:dyDescent="0.3">
      <c r="A100" s="828">
        <v>34</v>
      </c>
      <c r="B100" s="855" t="s">
        <v>969</v>
      </c>
      <c r="C100" s="843">
        <v>10</v>
      </c>
      <c r="D100" s="844">
        <v>18</v>
      </c>
      <c r="E100" s="844">
        <v>31</v>
      </c>
      <c r="F100" s="844">
        <v>58</v>
      </c>
      <c r="G100" s="844">
        <v>75</v>
      </c>
      <c r="H100" s="844">
        <v>83</v>
      </c>
      <c r="I100" s="844">
        <v>81</v>
      </c>
      <c r="J100" s="844">
        <v>57</v>
      </c>
      <c r="K100" s="844">
        <v>41</v>
      </c>
      <c r="L100" s="844">
        <v>25</v>
      </c>
      <c r="M100" s="844">
        <v>13</v>
      </c>
      <c r="N100" s="845">
        <v>7</v>
      </c>
      <c r="O100" s="825"/>
      <c r="AD100" s="155"/>
    </row>
    <row r="101" spans="1:32" x14ac:dyDescent="0.3">
      <c r="A101" s="828"/>
      <c r="B101" s="855" t="s">
        <v>970</v>
      </c>
      <c r="C101" s="847">
        <v>1</v>
      </c>
      <c r="D101" s="848">
        <v>1.9</v>
      </c>
      <c r="E101" s="849">
        <v>4.7</v>
      </c>
      <c r="F101" s="848">
        <v>9.1999999999999993</v>
      </c>
      <c r="G101" s="848">
        <v>14.1</v>
      </c>
      <c r="H101" s="848">
        <v>16.7</v>
      </c>
      <c r="I101" s="848">
        <v>19</v>
      </c>
      <c r="J101" s="848">
        <v>18.600000000000001</v>
      </c>
      <c r="K101" s="848">
        <v>14.3</v>
      </c>
      <c r="L101" s="848">
        <v>9.5</v>
      </c>
      <c r="M101" s="848">
        <v>4.0999999999999996</v>
      </c>
      <c r="N101" s="850">
        <v>0.9</v>
      </c>
      <c r="O101" s="825"/>
      <c r="AD101" s="155"/>
    </row>
    <row r="102" spans="1:32" x14ac:dyDescent="0.3">
      <c r="A102" s="828"/>
      <c r="B102" s="820" t="s">
        <v>971</v>
      </c>
      <c r="C102" s="851">
        <v>31</v>
      </c>
      <c r="D102" s="852">
        <v>28</v>
      </c>
      <c r="E102" s="853">
        <v>31</v>
      </c>
      <c r="F102" s="852">
        <v>30</v>
      </c>
      <c r="G102" s="852">
        <v>31</v>
      </c>
      <c r="H102" s="852">
        <v>30</v>
      </c>
      <c r="I102" s="852">
        <v>31</v>
      </c>
      <c r="J102" s="852">
        <v>31</v>
      </c>
      <c r="K102" s="852">
        <v>30</v>
      </c>
      <c r="L102" s="852">
        <v>31</v>
      </c>
      <c r="M102" s="852">
        <v>30</v>
      </c>
      <c r="N102" s="854">
        <v>31</v>
      </c>
      <c r="O102" s="825"/>
      <c r="AD102" s="155"/>
    </row>
    <row r="103" spans="1:32" ht="14.5" thickBot="1" x14ac:dyDescent="0.35">
      <c r="A103" s="821"/>
      <c r="B103" s="822"/>
      <c r="C103" s="822"/>
      <c r="D103" s="822"/>
      <c r="E103" s="822"/>
      <c r="F103" s="822"/>
      <c r="G103" s="822"/>
      <c r="H103" s="822"/>
      <c r="I103" s="822"/>
      <c r="J103" s="822"/>
      <c r="K103" s="822"/>
      <c r="L103" s="822"/>
      <c r="M103" s="822"/>
      <c r="N103" s="822"/>
      <c r="O103" s="826"/>
      <c r="AD103" s="155"/>
    </row>
    <row r="104" spans="1:32" ht="14.5" thickBot="1" x14ac:dyDescent="0.35">
      <c r="AD104" s="155"/>
    </row>
    <row r="105" spans="1:32" x14ac:dyDescent="0.3">
      <c r="A105" s="160" t="s">
        <v>1022</v>
      </c>
      <c r="B105" s="823"/>
      <c r="C105" s="823"/>
      <c r="D105" s="823"/>
      <c r="E105" s="824"/>
      <c r="AA105" s="160" t="s">
        <v>1022</v>
      </c>
      <c r="AB105" s="823"/>
      <c r="AC105" s="823"/>
      <c r="AD105" s="823"/>
      <c r="AE105" s="824"/>
    </row>
    <row r="106" spans="1:32" x14ac:dyDescent="0.3">
      <c r="A106" s="819"/>
      <c r="B106" s="832" t="s">
        <v>542</v>
      </c>
      <c r="C106" s="832" t="s">
        <v>579</v>
      </c>
      <c r="D106" s="832" t="s">
        <v>1039</v>
      </c>
      <c r="E106" s="857" t="s">
        <v>1022</v>
      </c>
      <c r="AA106" s="819"/>
      <c r="AB106" s="832" t="s">
        <v>542</v>
      </c>
      <c r="AC106" s="832" t="s">
        <v>579</v>
      </c>
      <c r="AD106" s="832" t="s">
        <v>1039</v>
      </c>
      <c r="AE106" s="857" t="s">
        <v>1022</v>
      </c>
    </row>
    <row r="107" spans="1:32" x14ac:dyDescent="0.3">
      <c r="A107" s="819"/>
      <c r="B107" s="832">
        <f>D64</f>
        <v>760</v>
      </c>
      <c r="C107" s="832">
        <f>B60</f>
        <v>0.55000000000000004</v>
      </c>
      <c r="D107" s="832">
        <v>0.34</v>
      </c>
      <c r="E107" s="856">
        <f>B107*C107*D107</f>
        <v>142.12000000000003</v>
      </c>
      <c r="AA107" s="819"/>
      <c r="AB107" s="832">
        <f>D64</f>
        <v>760</v>
      </c>
      <c r="AC107" s="832">
        <f>AB60</f>
        <v>0.55000000000000004</v>
      </c>
      <c r="AD107" s="832">
        <v>0.34</v>
      </c>
      <c r="AE107" s="937">
        <f>AB107*AC107*AD107</f>
        <v>142.12000000000003</v>
      </c>
    </row>
    <row r="108" spans="1:32" ht="14.5" thickBot="1" x14ac:dyDescent="0.35">
      <c r="A108" s="821"/>
      <c r="B108" s="834" t="s">
        <v>67</v>
      </c>
      <c r="C108" s="834" t="s">
        <v>926</v>
      </c>
      <c r="D108" s="834" t="s">
        <v>1008</v>
      </c>
      <c r="E108" s="858" t="s">
        <v>71</v>
      </c>
      <c r="AA108" s="821"/>
      <c r="AB108" s="834" t="s">
        <v>67</v>
      </c>
      <c r="AC108" s="834" t="s">
        <v>926</v>
      </c>
      <c r="AD108" s="834" t="s">
        <v>1008</v>
      </c>
      <c r="AE108" s="858" t="s">
        <v>71</v>
      </c>
    </row>
    <row r="109" spans="1:32" ht="14.5" thickBot="1" x14ac:dyDescent="0.35">
      <c r="AD109" s="155"/>
    </row>
    <row r="110" spans="1:32" x14ac:dyDescent="0.3">
      <c r="A110" s="160" t="s">
        <v>1036</v>
      </c>
      <c r="B110" s="823"/>
      <c r="C110" s="823"/>
      <c r="D110" s="863"/>
      <c r="E110" s="1319" t="s">
        <v>1252</v>
      </c>
      <c r="F110" s="864" t="s">
        <v>1241</v>
      </c>
      <c r="G110" s="831" t="s">
        <v>723</v>
      </c>
      <c r="H110" s="1319" t="s">
        <v>1246</v>
      </c>
      <c r="I110" s="864"/>
      <c r="J110" s="831" t="s">
        <v>1249</v>
      </c>
      <c r="K110" s="863"/>
      <c r="L110" s="864" t="s">
        <v>942</v>
      </c>
      <c r="M110" s="831" t="s">
        <v>956</v>
      </c>
      <c r="N110" s="863"/>
      <c r="O110" s="883"/>
      <c r="P110" s="831" t="s">
        <v>1085</v>
      </c>
      <c r="Q110" s="823"/>
      <c r="R110" s="823"/>
      <c r="S110" s="831" t="s">
        <v>1003</v>
      </c>
      <c r="T110" s="823" t="s">
        <v>994</v>
      </c>
      <c r="U110" s="883"/>
      <c r="V110" s="863"/>
      <c r="W110" s="864" t="s">
        <v>1045</v>
      </c>
      <c r="X110" s="885" t="s">
        <v>1088</v>
      </c>
      <c r="AA110" s="160" t="s">
        <v>1036</v>
      </c>
      <c r="AB110" s="823"/>
      <c r="AC110" s="831" t="s">
        <v>956</v>
      </c>
      <c r="AD110" s="863"/>
      <c r="AE110" s="824"/>
      <c r="AF110" s="885" t="s">
        <v>1088</v>
      </c>
    </row>
    <row r="111" spans="1:32" ht="32" x14ac:dyDescent="0.3">
      <c r="A111" s="828" t="s">
        <v>1090</v>
      </c>
      <c r="B111" s="832" t="s">
        <v>656</v>
      </c>
      <c r="C111" s="832" t="s">
        <v>544</v>
      </c>
      <c r="D111" s="865" t="s">
        <v>495</v>
      </c>
      <c r="E111" s="1321" t="s">
        <v>1251</v>
      </c>
      <c r="F111" s="867"/>
      <c r="G111" s="832"/>
      <c r="H111" s="865"/>
      <c r="I111" s="866" t="s">
        <v>1250</v>
      </c>
      <c r="J111" s="833" t="s">
        <v>954</v>
      </c>
      <c r="K111" s="1315" t="s">
        <v>955</v>
      </c>
      <c r="L111" s="866" t="s">
        <v>1084</v>
      </c>
      <c r="M111" s="833" t="s">
        <v>1084</v>
      </c>
      <c r="N111" s="865" t="s">
        <v>931</v>
      </c>
      <c r="O111" s="866" t="s">
        <v>992</v>
      </c>
      <c r="P111" s="833" t="s">
        <v>993</v>
      </c>
      <c r="Q111" s="833" t="s">
        <v>959</v>
      </c>
      <c r="R111" s="832" t="s">
        <v>495</v>
      </c>
      <c r="S111" s="833" t="s">
        <v>991</v>
      </c>
      <c r="T111" s="833" t="s">
        <v>1086</v>
      </c>
      <c r="U111" s="866" t="s">
        <v>1092</v>
      </c>
      <c r="V111" s="865" t="s">
        <v>921</v>
      </c>
      <c r="W111" s="866" t="s">
        <v>1087</v>
      </c>
      <c r="X111" s="886" t="s">
        <v>1087</v>
      </c>
      <c r="AA111" s="828" t="s">
        <v>1090</v>
      </c>
      <c r="AB111" s="832" t="s">
        <v>891</v>
      </c>
      <c r="AC111" s="833" t="s">
        <v>1084</v>
      </c>
      <c r="AD111" s="865" t="s">
        <v>931</v>
      </c>
      <c r="AE111" s="857" t="s">
        <v>921</v>
      </c>
      <c r="AF111" s="886" t="s">
        <v>1087</v>
      </c>
    </row>
    <row r="112" spans="1:32" x14ac:dyDescent="0.3">
      <c r="A112" s="828">
        <v>1</v>
      </c>
      <c r="B112" s="815">
        <f>'Gebäude (02,03)'!G37</f>
        <v>0.2</v>
      </c>
      <c r="C112" s="815">
        <f>'Gebäude (02,03)'!F37</f>
        <v>1000</v>
      </c>
      <c r="D112" s="859">
        <f>'Gebäude (02,03)'!H37</f>
        <v>2</v>
      </c>
      <c r="E112" s="832">
        <f>IF(OR(D112=$A$31,D112=$A$32,D112=$A$33,D112=$A$34,D112=$A$35,D112=$A$36,D112=$A$37,D112=$A$38,D112=$A$39),1,0)</f>
        <v>0</v>
      </c>
      <c r="F112" s="1316">
        <f>'Gebäude (02,03)'!O37</f>
        <v>0</v>
      </c>
      <c r="G112" s="1314">
        <f>'Gebäude (02,03)'!P37</f>
        <v>0</v>
      </c>
      <c r="H112" s="911">
        <f>IF(G112&gt;0,F112/(0.5*G112),0)</f>
        <v>0</v>
      </c>
      <c r="I112" s="867">
        <f t="shared" ref="I112:I141" si="0">IF(OR(D112=12,D112=13),IF($D$145&gt;$D$146,14,15),D112)</f>
        <v>2</v>
      </c>
      <c r="J112" s="832">
        <f>IF(H112&lt;5,INDEX($K$20:$K$46,I112),IF(H112&gt;10,INDEX($O$20:$O$46,I112),INDEX($M$20:$M$46,I112)))</f>
        <v>1</v>
      </c>
      <c r="K112" s="865">
        <f>IF(H112&lt;5,INDEX($L$20:$L$46,I112),IF(H112&gt;10,INDEX($P$20:$P$46,I112),INDEX($N$20:$N$46,I112)))</f>
        <v>1</v>
      </c>
      <c r="L112" s="910">
        <f t="shared" ref="L112:L141" si="1">INDEX($I$20:$I$46,D112)</f>
        <v>0</v>
      </c>
      <c r="M112" s="868">
        <f t="shared" ref="M112:M141" si="2">IF(ISERROR(1/B112-L112),0,1/B112-L112)</f>
        <v>5</v>
      </c>
      <c r="N112" s="911">
        <f>IF(M112&lt;=1,J112,K112)</f>
        <v>1</v>
      </c>
      <c r="O112" s="867">
        <f t="shared" ref="O112:O141" si="3">IF(OR(D112=$A$21,D112=$A$22,D112=$A$23,D112=$A$25),1,0)</f>
        <v>1</v>
      </c>
      <c r="P112" s="832">
        <f t="shared" ref="P112:P141" si="4">IF(OR(D112=$A$26,D112=$A$27,D112=$A$28),1,0)</f>
        <v>0</v>
      </c>
      <c r="Q112" s="832">
        <f>IF(OR(O112=1,P112=1),1,0)</f>
        <v>1</v>
      </c>
      <c r="R112" s="815">
        <f>'Gebäude (02,03)'!G111</f>
        <v>6</v>
      </c>
      <c r="S112" s="832">
        <f t="shared" ref="S112:S141" si="5">INDEX($J$20:$J$46,D112)</f>
        <v>0.04</v>
      </c>
      <c r="T112" s="820" t="str">
        <f>IF(AND(Q112&gt;0,R112&gt;1),INDEX($B$67:$B$100,R112),"")</f>
        <v>Süd - 90°</v>
      </c>
      <c r="U112" s="867">
        <f>IF(OR('Gebäude (02,03)'!B37&lt;&gt;"",'Gebäude (02,03)'!C37&lt;&gt;""),1,0)</f>
        <v>1</v>
      </c>
      <c r="V112" s="1328">
        <f t="shared" ref="V112:V141" si="6">B112*C112*N112*U112</f>
        <v>200</v>
      </c>
      <c r="W112" s="867">
        <f t="shared" ref="W112:W141" si="7">IF(OR(D112=$A$25,D112=$A$26,D112=$A$27,D112=$A$28,D112=$A$32,D112=$A$43,D112=$A$46),1,0)</f>
        <v>0</v>
      </c>
      <c r="X112" s="887">
        <f t="shared" ref="X112:X141" si="8">V112*W112</f>
        <v>0</v>
      </c>
      <c r="AA112" s="828">
        <v>1</v>
      </c>
      <c r="AB112" s="811">
        <f>IF(INDEX($G$20:$G$46,D112)="k.A.",B112,INDEX($G$20:$G$46,D112))</f>
        <v>0.28000000000000003</v>
      </c>
      <c r="AC112" s="868">
        <f>IF(ISERROR(1/AB112-L112),0,1/AB112-L112)</f>
        <v>3.5714285714285712</v>
      </c>
      <c r="AD112" s="911">
        <f>IF(AC112&lt;=1,J112,K112)</f>
        <v>1</v>
      </c>
      <c r="AE112" s="887">
        <f>AB112*C112*AD112*U112</f>
        <v>280</v>
      </c>
      <c r="AF112" s="887">
        <f t="shared" ref="AF112:AF141" si="9">W112*AE112</f>
        <v>0</v>
      </c>
    </row>
    <row r="113" spans="1:32" x14ac:dyDescent="0.3">
      <c r="A113" s="828">
        <v>2</v>
      </c>
      <c r="B113" s="815">
        <f>'Gebäude (02,03)'!G38</f>
        <v>0</v>
      </c>
      <c r="C113" s="815">
        <f>'Gebäude (02,03)'!F38</f>
        <v>0</v>
      </c>
      <c r="D113" s="859">
        <f>'Gebäude (02,03)'!H38</f>
        <v>1</v>
      </c>
      <c r="E113" s="832">
        <f t="shared" ref="E113:E141" si="10">IF(OR(D113=$A$31,D113=$A$32,D113=$A$33,D113=$A$34,D113=$A$35,D113=$A$36,D113=$A$37,D113=$A$38,D113=$A$39),1,0)</f>
        <v>0</v>
      </c>
      <c r="F113" s="1316">
        <f>'Gebäude (02,03)'!O38</f>
        <v>0</v>
      </c>
      <c r="G113" s="1314">
        <f>'Gebäude (02,03)'!P38</f>
        <v>0</v>
      </c>
      <c r="H113" s="911">
        <f t="shared" ref="H113:H141" si="11">IF(G113&gt;0,F113/(0.5*G113),0)</f>
        <v>0</v>
      </c>
      <c r="I113" s="867">
        <f t="shared" si="0"/>
        <v>1</v>
      </c>
      <c r="J113" s="832">
        <f t="shared" ref="J113:J141" si="12">IF(H113&lt;5,INDEX($K$20:$K$46,I113),IF(H113&gt;10,INDEX($O$20:$O$46,I113),INDEX($M$20:$M$46,I113)))</f>
        <v>0</v>
      </c>
      <c r="K113" s="865">
        <f t="shared" ref="K113:K141" si="13">IF(H113&lt;5,INDEX($L$20:$L$46,I113),IF(H113&gt;10,INDEX($P$20:$P$46,I113),INDEX($N$20:$N$46,I113)))</f>
        <v>0</v>
      </c>
      <c r="L113" s="910">
        <f t="shared" si="1"/>
        <v>0</v>
      </c>
      <c r="M113" s="868">
        <f t="shared" si="2"/>
        <v>0</v>
      </c>
      <c r="N113" s="911">
        <f>IF(M113&lt;=1,J113,K113)</f>
        <v>0</v>
      </c>
      <c r="O113" s="867">
        <f t="shared" si="3"/>
        <v>0</v>
      </c>
      <c r="P113" s="832">
        <f t="shared" si="4"/>
        <v>0</v>
      </c>
      <c r="Q113" s="832">
        <f t="shared" ref="Q113:Q141" si="14">IF(OR(O113=1,P113=1),1,0)</f>
        <v>0</v>
      </c>
      <c r="R113" s="815">
        <f>'Gebäude (02,03)'!G112</f>
        <v>6</v>
      </c>
      <c r="S113" s="832">
        <f t="shared" si="5"/>
        <v>0</v>
      </c>
      <c r="T113" s="820" t="str">
        <f t="shared" ref="T113:T141" si="15">IF(AND(Q113&gt;0,R113&gt;1),INDEX($B$67:$B$100,R113),"")</f>
        <v/>
      </c>
      <c r="U113" s="867">
        <f>IF(OR('Gebäude (02,03)'!B38&lt;&gt;"",'Gebäude (02,03)'!C38&lt;&gt;""),1,0)</f>
        <v>0</v>
      </c>
      <c r="V113" s="1328">
        <f t="shared" si="6"/>
        <v>0</v>
      </c>
      <c r="W113" s="867">
        <f t="shared" si="7"/>
        <v>0</v>
      </c>
      <c r="X113" s="887">
        <f t="shared" si="8"/>
        <v>0</v>
      </c>
      <c r="AA113" s="828">
        <v>2</v>
      </c>
      <c r="AB113" s="811">
        <f t="shared" ref="AB113:AB141" si="16">IF(INDEX($G$20:$G$46,D113)="k.A.",B113,INDEX($G$20:$G$46,D113))</f>
        <v>0</v>
      </c>
      <c r="AC113" s="868">
        <f t="shared" ref="AC113:AC126" si="17">IF(ISERROR(1/AB113-L113),0,1/AB113-L113)</f>
        <v>0</v>
      </c>
      <c r="AD113" s="911">
        <f t="shared" ref="AD113:AD141" si="18">IF(AC113&lt;=1,J113,K113)</f>
        <v>0</v>
      </c>
      <c r="AE113" s="887">
        <f t="shared" ref="AE113:AE141" si="19">AB113*C113*AD113*U113</f>
        <v>0</v>
      </c>
      <c r="AF113" s="887">
        <f t="shared" si="9"/>
        <v>0</v>
      </c>
    </row>
    <row r="114" spans="1:32" x14ac:dyDescent="0.3">
      <c r="A114" s="828">
        <v>3</v>
      </c>
      <c r="B114" s="815">
        <f>'Gebäude (02,03)'!G39</f>
        <v>0</v>
      </c>
      <c r="C114" s="815">
        <f>'Gebäude (02,03)'!F39</f>
        <v>0</v>
      </c>
      <c r="D114" s="859">
        <f>'Gebäude (02,03)'!H39</f>
        <v>1</v>
      </c>
      <c r="E114" s="832">
        <f t="shared" si="10"/>
        <v>0</v>
      </c>
      <c r="F114" s="1316">
        <f>'Gebäude (02,03)'!O39</f>
        <v>0</v>
      </c>
      <c r="G114" s="1314">
        <f>'Gebäude (02,03)'!P39</f>
        <v>0</v>
      </c>
      <c r="H114" s="911">
        <f t="shared" si="11"/>
        <v>0</v>
      </c>
      <c r="I114" s="867">
        <f t="shared" si="0"/>
        <v>1</v>
      </c>
      <c r="J114" s="832">
        <f t="shared" si="12"/>
        <v>0</v>
      </c>
      <c r="K114" s="865">
        <f t="shared" si="13"/>
        <v>0</v>
      </c>
      <c r="L114" s="910">
        <f t="shared" si="1"/>
        <v>0</v>
      </c>
      <c r="M114" s="868">
        <f t="shared" si="2"/>
        <v>0</v>
      </c>
      <c r="N114" s="911">
        <f>IF(M114&lt;=1,J114,K114)</f>
        <v>0</v>
      </c>
      <c r="O114" s="867">
        <f t="shared" si="3"/>
        <v>0</v>
      </c>
      <c r="P114" s="832">
        <f t="shared" si="4"/>
        <v>0</v>
      </c>
      <c r="Q114" s="832">
        <f t="shared" si="14"/>
        <v>0</v>
      </c>
      <c r="R114" s="815">
        <f>'Gebäude (02,03)'!G113</f>
        <v>18</v>
      </c>
      <c r="S114" s="832">
        <f t="shared" si="5"/>
        <v>0</v>
      </c>
      <c r="T114" s="820" t="str">
        <f t="shared" si="15"/>
        <v/>
      </c>
      <c r="U114" s="867">
        <f>IF(OR('Gebäude (02,03)'!B39&lt;&gt;"",'Gebäude (02,03)'!C39&lt;&gt;""),1,0)</f>
        <v>0</v>
      </c>
      <c r="V114" s="1328">
        <f t="shared" si="6"/>
        <v>0</v>
      </c>
      <c r="W114" s="867">
        <f t="shared" si="7"/>
        <v>0</v>
      </c>
      <c r="X114" s="887">
        <f t="shared" si="8"/>
        <v>0</v>
      </c>
      <c r="AA114" s="828">
        <v>3</v>
      </c>
      <c r="AB114" s="811">
        <f t="shared" si="16"/>
        <v>0</v>
      </c>
      <c r="AC114" s="868">
        <f t="shared" si="17"/>
        <v>0</v>
      </c>
      <c r="AD114" s="911">
        <f t="shared" si="18"/>
        <v>0</v>
      </c>
      <c r="AE114" s="887">
        <f t="shared" si="19"/>
        <v>0</v>
      </c>
      <c r="AF114" s="887">
        <f t="shared" si="9"/>
        <v>0</v>
      </c>
    </row>
    <row r="115" spans="1:32" x14ac:dyDescent="0.3">
      <c r="A115" s="828">
        <v>4</v>
      </c>
      <c r="B115" s="815">
        <f>'Gebäude (02,03)'!G40</f>
        <v>0</v>
      </c>
      <c r="C115" s="815">
        <f>'Gebäude (02,03)'!F40</f>
        <v>0</v>
      </c>
      <c r="D115" s="859">
        <f>'Gebäude (02,03)'!H40</f>
        <v>1</v>
      </c>
      <c r="E115" s="832">
        <f t="shared" si="10"/>
        <v>0</v>
      </c>
      <c r="F115" s="1316">
        <f>'Gebäude (02,03)'!O40</f>
        <v>0</v>
      </c>
      <c r="G115" s="1314">
        <f>'Gebäude (02,03)'!P40</f>
        <v>0</v>
      </c>
      <c r="H115" s="911">
        <f t="shared" si="11"/>
        <v>0</v>
      </c>
      <c r="I115" s="867">
        <f t="shared" si="0"/>
        <v>1</v>
      </c>
      <c r="J115" s="832">
        <f t="shared" si="12"/>
        <v>0</v>
      </c>
      <c r="K115" s="865">
        <f t="shared" si="13"/>
        <v>0</v>
      </c>
      <c r="L115" s="910">
        <f t="shared" si="1"/>
        <v>0</v>
      </c>
      <c r="M115" s="868">
        <f t="shared" si="2"/>
        <v>0</v>
      </c>
      <c r="N115" s="911">
        <f>IF(M115&lt;=1,J115,K115)</f>
        <v>0</v>
      </c>
      <c r="O115" s="867">
        <f t="shared" si="3"/>
        <v>0</v>
      </c>
      <c r="P115" s="832">
        <f t="shared" si="4"/>
        <v>0</v>
      </c>
      <c r="Q115" s="832">
        <f t="shared" si="14"/>
        <v>0</v>
      </c>
      <c r="R115" s="815">
        <f>'Gebäude (02,03)'!G114</f>
        <v>18</v>
      </c>
      <c r="S115" s="832">
        <f t="shared" si="5"/>
        <v>0</v>
      </c>
      <c r="T115" s="820" t="str">
        <f t="shared" si="15"/>
        <v/>
      </c>
      <c r="U115" s="867">
        <f>IF(OR('Gebäude (02,03)'!B40&lt;&gt;"",'Gebäude (02,03)'!C40&lt;&gt;""),1,0)</f>
        <v>0</v>
      </c>
      <c r="V115" s="1328">
        <f t="shared" si="6"/>
        <v>0</v>
      </c>
      <c r="W115" s="867">
        <f t="shared" si="7"/>
        <v>0</v>
      </c>
      <c r="X115" s="887">
        <f t="shared" si="8"/>
        <v>0</v>
      </c>
      <c r="AA115" s="828">
        <v>4</v>
      </c>
      <c r="AB115" s="811">
        <f t="shared" si="16"/>
        <v>0</v>
      </c>
      <c r="AC115" s="868">
        <f t="shared" si="17"/>
        <v>0</v>
      </c>
      <c r="AD115" s="911">
        <f t="shared" si="18"/>
        <v>0</v>
      </c>
      <c r="AE115" s="887">
        <f t="shared" si="19"/>
        <v>0</v>
      </c>
      <c r="AF115" s="887">
        <f t="shared" si="9"/>
        <v>0</v>
      </c>
    </row>
    <row r="116" spans="1:32" x14ac:dyDescent="0.3">
      <c r="A116" s="828">
        <v>5</v>
      </c>
      <c r="B116" s="815">
        <f>'Gebäude (02,03)'!G41</f>
        <v>0</v>
      </c>
      <c r="C116" s="815">
        <f>'Gebäude (02,03)'!F41</f>
        <v>0</v>
      </c>
      <c r="D116" s="859">
        <f>'Gebäude (02,03)'!H41</f>
        <v>1</v>
      </c>
      <c r="E116" s="832">
        <f t="shared" si="10"/>
        <v>0</v>
      </c>
      <c r="F116" s="1316">
        <f>'Gebäude (02,03)'!O41</f>
        <v>0</v>
      </c>
      <c r="G116" s="1314">
        <f>'Gebäude (02,03)'!P41</f>
        <v>0</v>
      </c>
      <c r="H116" s="911">
        <f t="shared" si="11"/>
        <v>0</v>
      </c>
      <c r="I116" s="867">
        <f t="shared" si="0"/>
        <v>1</v>
      </c>
      <c r="J116" s="832">
        <f t="shared" si="12"/>
        <v>0</v>
      </c>
      <c r="K116" s="865">
        <f t="shared" si="13"/>
        <v>0</v>
      </c>
      <c r="L116" s="910">
        <f t="shared" si="1"/>
        <v>0</v>
      </c>
      <c r="M116" s="868">
        <f t="shared" si="2"/>
        <v>0</v>
      </c>
      <c r="N116" s="911">
        <f t="shared" ref="N116:N141" si="20">IF(M116&lt;=1,J116,K116)</f>
        <v>0</v>
      </c>
      <c r="O116" s="867">
        <f t="shared" si="3"/>
        <v>0</v>
      </c>
      <c r="P116" s="832">
        <f t="shared" si="4"/>
        <v>0</v>
      </c>
      <c r="Q116" s="832">
        <f t="shared" si="14"/>
        <v>0</v>
      </c>
      <c r="R116" s="815">
        <f>'Gebäude (02,03)'!G115</f>
        <v>22</v>
      </c>
      <c r="S116" s="832">
        <f t="shared" si="5"/>
        <v>0</v>
      </c>
      <c r="T116" s="820" t="str">
        <f t="shared" si="15"/>
        <v/>
      </c>
      <c r="U116" s="867">
        <f>IF(OR('Gebäude (02,03)'!B41&lt;&gt;"",'Gebäude (02,03)'!C41&lt;&gt;""),1,0)</f>
        <v>0</v>
      </c>
      <c r="V116" s="1328">
        <f t="shared" si="6"/>
        <v>0</v>
      </c>
      <c r="W116" s="867">
        <f t="shared" si="7"/>
        <v>0</v>
      </c>
      <c r="X116" s="887">
        <f t="shared" si="8"/>
        <v>0</v>
      </c>
      <c r="AA116" s="828">
        <v>5</v>
      </c>
      <c r="AB116" s="811">
        <f t="shared" si="16"/>
        <v>0</v>
      </c>
      <c r="AC116" s="868">
        <f t="shared" si="17"/>
        <v>0</v>
      </c>
      <c r="AD116" s="911">
        <f t="shared" si="18"/>
        <v>0</v>
      </c>
      <c r="AE116" s="887">
        <f t="shared" si="19"/>
        <v>0</v>
      </c>
      <c r="AF116" s="887">
        <f t="shared" si="9"/>
        <v>0</v>
      </c>
    </row>
    <row r="117" spans="1:32" x14ac:dyDescent="0.3">
      <c r="A117" s="828">
        <v>6</v>
      </c>
      <c r="B117" s="815">
        <f>'Gebäude (02,03)'!G42</f>
        <v>0</v>
      </c>
      <c r="C117" s="815">
        <f>'Gebäude (02,03)'!F42</f>
        <v>0</v>
      </c>
      <c r="D117" s="859">
        <f>'Gebäude (02,03)'!H42</f>
        <v>1</v>
      </c>
      <c r="E117" s="832">
        <f t="shared" si="10"/>
        <v>0</v>
      </c>
      <c r="F117" s="1316">
        <f>'Gebäude (02,03)'!O42</f>
        <v>0</v>
      </c>
      <c r="G117" s="1314">
        <f>'Gebäude (02,03)'!P42</f>
        <v>0</v>
      </c>
      <c r="H117" s="911">
        <f t="shared" si="11"/>
        <v>0</v>
      </c>
      <c r="I117" s="867">
        <f t="shared" si="0"/>
        <v>1</v>
      </c>
      <c r="J117" s="832">
        <f t="shared" si="12"/>
        <v>0</v>
      </c>
      <c r="K117" s="865">
        <f t="shared" si="13"/>
        <v>0</v>
      </c>
      <c r="L117" s="910">
        <f t="shared" si="1"/>
        <v>0</v>
      </c>
      <c r="M117" s="868">
        <f t="shared" si="2"/>
        <v>0</v>
      </c>
      <c r="N117" s="911">
        <f t="shared" si="20"/>
        <v>0</v>
      </c>
      <c r="O117" s="867">
        <f t="shared" si="3"/>
        <v>0</v>
      </c>
      <c r="P117" s="832">
        <f t="shared" si="4"/>
        <v>0</v>
      </c>
      <c r="Q117" s="832">
        <f t="shared" si="14"/>
        <v>0</v>
      </c>
      <c r="R117" s="815">
        <f>'Gebäude (02,03)'!G116</f>
        <v>22</v>
      </c>
      <c r="S117" s="832">
        <f t="shared" si="5"/>
        <v>0</v>
      </c>
      <c r="T117" s="820" t="str">
        <f t="shared" si="15"/>
        <v/>
      </c>
      <c r="U117" s="867">
        <f>IF(OR('Gebäude (02,03)'!B42&lt;&gt;"",'Gebäude (02,03)'!C42&lt;&gt;""),1,0)</f>
        <v>0</v>
      </c>
      <c r="V117" s="1328">
        <f t="shared" si="6"/>
        <v>0</v>
      </c>
      <c r="W117" s="867">
        <f t="shared" si="7"/>
        <v>0</v>
      </c>
      <c r="X117" s="887">
        <f t="shared" si="8"/>
        <v>0</v>
      </c>
      <c r="AA117" s="828">
        <v>6</v>
      </c>
      <c r="AB117" s="811">
        <f t="shared" si="16"/>
        <v>0</v>
      </c>
      <c r="AC117" s="868">
        <f t="shared" si="17"/>
        <v>0</v>
      </c>
      <c r="AD117" s="911">
        <f t="shared" si="18"/>
        <v>0</v>
      </c>
      <c r="AE117" s="887">
        <f t="shared" si="19"/>
        <v>0</v>
      </c>
      <c r="AF117" s="887">
        <f t="shared" si="9"/>
        <v>0</v>
      </c>
    </row>
    <row r="118" spans="1:32" x14ac:dyDescent="0.3">
      <c r="A118" s="828">
        <v>7</v>
      </c>
      <c r="B118" s="815">
        <f>'Gebäude (02,03)'!G43</f>
        <v>0</v>
      </c>
      <c r="C118" s="815">
        <f>'Gebäude (02,03)'!F43</f>
        <v>0</v>
      </c>
      <c r="D118" s="859">
        <f>'Gebäude (02,03)'!H43</f>
        <v>1</v>
      </c>
      <c r="E118" s="832">
        <f t="shared" si="10"/>
        <v>0</v>
      </c>
      <c r="F118" s="1316">
        <f>'Gebäude (02,03)'!O43</f>
        <v>0</v>
      </c>
      <c r="G118" s="1314">
        <f>'Gebäude (02,03)'!P43</f>
        <v>0</v>
      </c>
      <c r="H118" s="911">
        <f t="shared" si="11"/>
        <v>0</v>
      </c>
      <c r="I118" s="867">
        <f t="shared" si="0"/>
        <v>1</v>
      </c>
      <c r="J118" s="832">
        <f t="shared" si="12"/>
        <v>0</v>
      </c>
      <c r="K118" s="865">
        <f t="shared" si="13"/>
        <v>0</v>
      </c>
      <c r="L118" s="910">
        <f t="shared" si="1"/>
        <v>0</v>
      </c>
      <c r="M118" s="868">
        <f t="shared" si="2"/>
        <v>0</v>
      </c>
      <c r="N118" s="911">
        <f t="shared" si="20"/>
        <v>0</v>
      </c>
      <c r="O118" s="867">
        <f t="shared" si="3"/>
        <v>0</v>
      </c>
      <c r="P118" s="832">
        <f t="shared" si="4"/>
        <v>0</v>
      </c>
      <c r="Q118" s="832">
        <f t="shared" si="14"/>
        <v>0</v>
      </c>
      <c r="R118" s="815">
        <f>'Gebäude (02,03)'!G117</f>
        <v>34</v>
      </c>
      <c r="S118" s="832">
        <f t="shared" si="5"/>
        <v>0</v>
      </c>
      <c r="T118" s="820" t="str">
        <f t="shared" si="15"/>
        <v/>
      </c>
      <c r="U118" s="867">
        <f>IF(OR('Gebäude (02,03)'!B43&lt;&gt;"",'Gebäude (02,03)'!C43&lt;&gt;""),1,0)</f>
        <v>0</v>
      </c>
      <c r="V118" s="1328">
        <f t="shared" si="6"/>
        <v>0</v>
      </c>
      <c r="W118" s="867">
        <f t="shared" si="7"/>
        <v>0</v>
      </c>
      <c r="X118" s="887">
        <f t="shared" si="8"/>
        <v>0</v>
      </c>
      <c r="AA118" s="828">
        <v>7</v>
      </c>
      <c r="AB118" s="811">
        <f t="shared" si="16"/>
        <v>0</v>
      </c>
      <c r="AC118" s="868">
        <f t="shared" si="17"/>
        <v>0</v>
      </c>
      <c r="AD118" s="911">
        <f t="shared" si="18"/>
        <v>0</v>
      </c>
      <c r="AE118" s="887">
        <f t="shared" si="19"/>
        <v>0</v>
      </c>
      <c r="AF118" s="887">
        <f t="shared" si="9"/>
        <v>0</v>
      </c>
    </row>
    <row r="119" spans="1:32" x14ac:dyDescent="0.3">
      <c r="A119" s="828">
        <v>8</v>
      </c>
      <c r="B119" s="815">
        <f>'Gebäude (02,03)'!G44</f>
        <v>0</v>
      </c>
      <c r="C119" s="815">
        <f>'Gebäude (02,03)'!F44</f>
        <v>0</v>
      </c>
      <c r="D119" s="859">
        <f>'Gebäude (02,03)'!H44</f>
        <v>1</v>
      </c>
      <c r="E119" s="832">
        <f t="shared" si="10"/>
        <v>0</v>
      </c>
      <c r="F119" s="1316">
        <f>'Gebäude (02,03)'!O44</f>
        <v>0</v>
      </c>
      <c r="G119" s="1314">
        <f>'Gebäude (02,03)'!P44</f>
        <v>0</v>
      </c>
      <c r="H119" s="911">
        <f t="shared" si="11"/>
        <v>0</v>
      </c>
      <c r="I119" s="867">
        <f t="shared" si="0"/>
        <v>1</v>
      </c>
      <c r="J119" s="832">
        <f t="shared" si="12"/>
        <v>0</v>
      </c>
      <c r="K119" s="865">
        <f t="shared" si="13"/>
        <v>0</v>
      </c>
      <c r="L119" s="910">
        <f t="shared" si="1"/>
        <v>0</v>
      </c>
      <c r="M119" s="868">
        <f t="shared" si="2"/>
        <v>0</v>
      </c>
      <c r="N119" s="911">
        <f t="shared" si="20"/>
        <v>0</v>
      </c>
      <c r="O119" s="867">
        <f t="shared" si="3"/>
        <v>0</v>
      </c>
      <c r="P119" s="832">
        <f t="shared" si="4"/>
        <v>0</v>
      </c>
      <c r="Q119" s="832">
        <f t="shared" si="14"/>
        <v>0</v>
      </c>
      <c r="R119" s="815">
        <f>'Gebäude (02,03)'!G118</f>
        <v>34</v>
      </c>
      <c r="S119" s="832">
        <f t="shared" si="5"/>
        <v>0</v>
      </c>
      <c r="T119" s="820" t="str">
        <f t="shared" si="15"/>
        <v/>
      </c>
      <c r="U119" s="867">
        <f>IF(OR('Gebäude (02,03)'!B44&lt;&gt;"",'Gebäude (02,03)'!C44&lt;&gt;""),1,0)</f>
        <v>0</v>
      </c>
      <c r="V119" s="1328">
        <f t="shared" si="6"/>
        <v>0</v>
      </c>
      <c r="W119" s="867">
        <f t="shared" si="7"/>
        <v>0</v>
      </c>
      <c r="X119" s="887">
        <f t="shared" si="8"/>
        <v>0</v>
      </c>
      <c r="AA119" s="828">
        <v>8</v>
      </c>
      <c r="AB119" s="811">
        <f t="shared" si="16"/>
        <v>0</v>
      </c>
      <c r="AC119" s="868">
        <f t="shared" si="17"/>
        <v>0</v>
      </c>
      <c r="AD119" s="911">
        <f t="shared" si="18"/>
        <v>0</v>
      </c>
      <c r="AE119" s="887">
        <f t="shared" si="19"/>
        <v>0</v>
      </c>
      <c r="AF119" s="887">
        <f t="shared" si="9"/>
        <v>0</v>
      </c>
    </row>
    <row r="120" spans="1:32" x14ac:dyDescent="0.3">
      <c r="A120" s="828">
        <v>9</v>
      </c>
      <c r="B120" s="815">
        <f>'Gebäude (02,03)'!G45</f>
        <v>0</v>
      </c>
      <c r="C120" s="815">
        <f>'Gebäude (02,03)'!F45</f>
        <v>0</v>
      </c>
      <c r="D120" s="859">
        <f>'Gebäude (02,03)'!H45</f>
        <v>1</v>
      </c>
      <c r="E120" s="832">
        <f t="shared" si="10"/>
        <v>0</v>
      </c>
      <c r="F120" s="1316">
        <f>'Gebäude (02,03)'!O45</f>
        <v>0</v>
      </c>
      <c r="G120" s="1314">
        <f>'Gebäude (02,03)'!P45</f>
        <v>0</v>
      </c>
      <c r="H120" s="911">
        <f t="shared" si="11"/>
        <v>0</v>
      </c>
      <c r="I120" s="867">
        <f t="shared" si="0"/>
        <v>1</v>
      </c>
      <c r="J120" s="832">
        <f t="shared" si="12"/>
        <v>0</v>
      </c>
      <c r="K120" s="865">
        <f t="shared" si="13"/>
        <v>0</v>
      </c>
      <c r="L120" s="910">
        <f t="shared" si="1"/>
        <v>0</v>
      </c>
      <c r="M120" s="868">
        <f t="shared" si="2"/>
        <v>0</v>
      </c>
      <c r="N120" s="911">
        <f t="shared" si="20"/>
        <v>0</v>
      </c>
      <c r="O120" s="867">
        <f t="shared" si="3"/>
        <v>0</v>
      </c>
      <c r="P120" s="832">
        <f t="shared" si="4"/>
        <v>0</v>
      </c>
      <c r="Q120" s="832">
        <f t="shared" si="14"/>
        <v>0</v>
      </c>
      <c r="R120" s="815">
        <f>'Gebäude (02,03)'!G119</f>
        <v>34</v>
      </c>
      <c r="S120" s="832">
        <f t="shared" si="5"/>
        <v>0</v>
      </c>
      <c r="T120" s="820" t="str">
        <f t="shared" si="15"/>
        <v/>
      </c>
      <c r="U120" s="867">
        <f>IF(OR('Gebäude (02,03)'!B45&lt;&gt;"",'Gebäude (02,03)'!C45&lt;&gt;""),1,0)</f>
        <v>0</v>
      </c>
      <c r="V120" s="1328">
        <f t="shared" si="6"/>
        <v>0</v>
      </c>
      <c r="W120" s="867">
        <f t="shared" si="7"/>
        <v>0</v>
      </c>
      <c r="X120" s="887">
        <f t="shared" si="8"/>
        <v>0</v>
      </c>
      <c r="AA120" s="828">
        <v>9</v>
      </c>
      <c r="AB120" s="811">
        <f t="shared" si="16"/>
        <v>0</v>
      </c>
      <c r="AC120" s="868">
        <f t="shared" si="17"/>
        <v>0</v>
      </c>
      <c r="AD120" s="911">
        <f t="shared" si="18"/>
        <v>0</v>
      </c>
      <c r="AE120" s="887">
        <f t="shared" si="19"/>
        <v>0</v>
      </c>
      <c r="AF120" s="887">
        <f t="shared" si="9"/>
        <v>0</v>
      </c>
    </row>
    <row r="121" spans="1:32" x14ac:dyDescent="0.3">
      <c r="A121" s="828">
        <v>10</v>
      </c>
      <c r="B121" s="815">
        <f>'Gebäude (02,03)'!G46</f>
        <v>0</v>
      </c>
      <c r="C121" s="815">
        <f>'Gebäude (02,03)'!F46</f>
        <v>0</v>
      </c>
      <c r="D121" s="859">
        <f>'Gebäude (02,03)'!H46</f>
        <v>1</v>
      </c>
      <c r="E121" s="832">
        <f t="shared" si="10"/>
        <v>0</v>
      </c>
      <c r="F121" s="1316">
        <f>'Gebäude (02,03)'!O46</f>
        <v>0</v>
      </c>
      <c r="G121" s="1314">
        <f>'Gebäude (02,03)'!P46</f>
        <v>0</v>
      </c>
      <c r="H121" s="911">
        <f t="shared" si="11"/>
        <v>0</v>
      </c>
      <c r="I121" s="867">
        <f t="shared" si="0"/>
        <v>1</v>
      </c>
      <c r="J121" s="832">
        <f t="shared" si="12"/>
        <v>0</v>
      </c>
      <c r="K121" s="865">
        <f t="shared" si="13"/>
        <v>0</v>
      </c>
      <c r="L121" s="910">
        <f t="shared" si="1"/>
        <v>0</v>
      </c>
      <c r="M121" s="868">
        <f t="shared" si="2"/>
        <v>0</v>
      </c>
      <c r="N121" s="911">
        <f t="shared" si="20"/>
        <v>0</v>
      </c>
      <c r="O121" s="867">
        <f t="shared" si="3"/>
        <v>0</v>
      </c>
      <c r="P121" s="832">
        <f t="shared" si="4"/>
        <v>0</v>
      </c>
      <c r="Q121" s="832">
        <f t="shared" si="14"/>
        <v>0</v>
      </c>
      <c r="R121" s="815">
        <f>'Gebäude (02,03)'!G120</f>
        <v>3</v>
      </c>
      <c r="S121" s="832">
        <f t="shared" si="5"/>
        <v>0</v>
      </c>
      <c r="T121" s="820" t="str">
        <f t="shared" si="15"/>
        <v/>
      </c>
      <c r="U121" s="867">
        <f>IF(OR('Gebäude (02,03)'!B46&lt;&gt;"",'Gebäude (02,03)'!C46&lt;&gt;""),1,0)</f>
        <v>0</v>
      </c>
      <c r="V121" s="1328">
        <f t="shared" si="6"/>
        <v>0</v>
      </c>
      <c r="W121" s="867">
        <f t="shared" si="7"/>
        <v>0</v>
      </c>
      <c r="X121" s="887">
        <f t="shared" si="8"/>
        <v>0</v>
      </c>
      <c r="AA121" s="828">
        <v>10</v>
      </c>
      <c r="AB121" s="811">
        <f t="shared" si="16"/>
        <v>0</v>
      </c>
      <c r="AC121" s="868">
        <f t="shared" si="17"/>
        <v>0</v>
      </c>
      <c r="AD121" s="911">
        <f t="shared" si="18"/>
        <v>0</v>
      </c>
      <c r="AE121" s="887">
        <f t="shared" si="19"/>
        <v>0</v>
      </c>
      <c r="AF121" s="887">
        <f t="shared" si="9"/>
        <v>0</v>
      </c>
    </row>
    <row r="122" spans="1:32" x14ac:dyDescent="0.3">
      <c r="A122" s="828">
        <v>11</v>
      </c>
      <c r="B122" s="815">
        <f>'Gebäude (02,03)'!G47</f>
        <v>0</v>
      </c>
      <c r="C122" s="815">
        <f>'Gebäude (02,03)'!F47</f>
        <v>0</v>
      </c>
      <c r="D122" s="859">
        <f>'Gebäude (02,03)'!H47</f>
        <v>1</v>
      </c>
      <c r="E122" s="832">
        <f t="shared" si="10"/>
        <v>0</v>
      </c>
      <c r="F122" s="1316">
        <f>'Gebäude (02,03)'!O47</f>
        <v>0</v>
      </c>
      <c r="G122" s="1314">
        <f>'Gebäude (02,03)'!P47</f>
        <v>0</v>
      </c>
      <c r="H122" s="911">
        <f t="shared" si="11"/>
        <v>0</v>
      </c>
      <c r="I122" s="867">
        <f t="shared" si="0"/>
        <v>1</v>
      </c>
      <c r="J122" s="832">
        <f t="shared" si="12"/>
        <v>0</v>
      </c>
      <c r="K122" s="865">
        <f t="shared" si="13"/>
        <v>0</v>
      </c>
      <c r="L122" s="910">
        <f t="shared" si="1"/>
        <v>0</v>
      </c>
      <c r="M122" s="868">
        <f t="shared" si="2"/>
        <v>0</v>
      </c>
      <c r="N122" s="911">
        <f t="shared" si="20"/>
        <v>0</v>
      </c>
      <c r="O122" s="867">
        <f t="shared" si="3"/>
        <v>0</v>
      </c>
      <c r="P122" s="832">
        <f t="shared" si="4"/>
        <v>0</v>
      </c>
      <c r="Q122" s="832">
        <f t="shared" si="14"/>
        <v>0</v>
      </c>
      <c r="R122" s="815">
        <f>'Gebäude (02,03)'!G121</f>
        <v>3</v>
      </c>
      <c r="S122" s="832">
        <f t="shared" si="5"/>
        <v>0</v>
      </c>
      <c r="T122" s="820" t="str">
        <f t="shared" si="15"/>
        <v/>
      </c>
      <c r="U122" s="867">
        <f>IF(OR('Gebäude (02,03)'!B47&lt;&gt;"",'Gebäude (02,03)'!C47&lt;&gt;""),1,0)</f>
        <v>0</v>
      </c>
      <c r="V122" s="1328">
        <f t="shared" si="6"/>
        <v>0</v>
      </c>
      <c r="W122" s="867">
        <f t="shared" si="7"/>
        <v>0</v>
      </c>
      <c r="X122" s="887">
        <f t="shared" si="8"/>
        <v>0</v>
      </c>
      <c r="AA122" s="828">
        <v>11</v>
      </c>
      <c r="AB122" s="811">
        <f t="shared" si="16"/>
        <v>0</v>
      </c>
      <c r="AC122" s="868">
        <f t="shared" si="17"/>
        <v>0</v>
      </c>
      <c r="AD122" s="911">
        <f t="shared" si="18"/>
        <v>0</v>
      </c>
      <c r="AE122" s="887">
        <f t="shared" si="19"/>
        <v>0</v>
      </c>
      <c r="AF122" s="887">
        <f t="shared" si="9"/>
        <v>0</v>
      </c>
    </row>
    <row r="123" spans="1:32" x14ac:dyDescent="0.3">
      <c r="A123" s="828">
        <v>12</v>
      </c>
      <c r="B123" s="815">
        <f>'Gebäude (02,03)'!G48</f>
        <v>0</v>
      </c>
      <c r="C123" s="815">
        <f>'Gebäude (02,03)'!F48</f>
        <v>0</v>
      </c>
      <c r="D123" s="859">
        <f>'Gebäude (02,03)'!H48</f>
        <v>1</v>
      </c>
      <c r="E123" s="832">
        <f t="shared" si="10"/>
        <v>0</v>
      </c>
      <c r="F123" s="1316">
        <f>'Gebäude (02,03)'!O48</f>
        <v>0</v>
      </c>
      <c r="G123" s="1314">
        <f>'Gebäude (02,03)'!P48</f>
        <v>0</v>
      </c>
      <c r="H123" s="911">
        <f t="shared" si="11"/>
        <v>0</v>
      </c>
      <c r="I123" s="867">
        <f t="shared" si="0"/>
        <v>1</v>
      </c>
      <c r="J123" s="832">
        <f t="shared" si="12"/>
        <v>0</v>
      </c>
      <c r="K123" s="865">
        <f t="shared" si="13"/>
        <v>0</v>
      </c>
      <c r="L123" s="910">
        <f t="shared" si="1"/>
        <v>0</v>
      </c>
      <c r="M123" s="868">
        <f t="shared" si="2"/>
        <v>0</v>
      </c>
      <c r="N123" s="911">
        <f t="shared" si="20"/>
        <v>0</v>
      </c>
      <c r="O123" s="867">
        <f t="shared" si="3"/>
        <v>0</v>
      </c>
      <c r="P123" s="832">
        <f t="shared" si="4"/>
        <v>0</v>
      </c>
      <c r="Q123" s="832">
        <f t="shared" si="14"/>
        <v>0</v>
      </c>
      <c r="R123" s="815">
        <f>'Gebäude (02,03)'!G122</f>
        <v>31</v>
      </c>
      <c r="S123" s="832">
        <f t="shared" si="5"/>
        <v>0</v>
      </c>
      <c r="T123" s="820" t="str">
        <f t="shared" si="15"/>
        <v/>
      </c>
      <c r="U123" s="867">
        <f>IF(OR('Gebäude (02,03)'!B48&lt;&gt;"",'Gebäude (02,03)'!C48&lt;&gt;""),1,0)</f>
        <v>0</v>
      </c>
      <c r="V123" s="1328">
        <f t="shared" si="6"/>
        <v>0</v>
      </c>
      <c r="W123" s="867">
        <f t="shared" si="7"/>
        <v>0</v>
      </c>
      <c r="X123" s="887">
        <f t="shared" si="8"/>
        <v>0</v>
      </c>
      <c r="AA123" s="828">
        <v>12</v>
      </c>
      <c r="AB123" s="811">
        <f t="shared" si="16"/>
        <v>0</v>
      </c>
      <c r="AC123" s="868">
        <f t="shared" si="17"/>
        <v>0</v>
      </c>
      <c r="AD123" s="911">
        <f t="shared" si="18"/>
        <v>0</v>
      </c>
      <c r="AE123" s="887">
        <f t="shared" si="19"/>
        <v>0</v>
      </c>
      <c r="AF123" s="887">
        <f t="shared" si="9"/>
        <v>0</v>
      </c>
    </row>
    <row r="124" spans="1:32" x14ac:dyDescent="0.3">
      <c r="A124" s="828">
        <v>13</v>
      </c>
      <c r="B124" s="815">
        <f>'Gebäude (02,03)'!G49</f>
        <v>0</v>
      </c>
      <c r="C124" s="815">
        <f>'Gebäude (02,03)'!F49</f>
        <v>0</v>
      </c>
      <c r="D124" s="859">
        <f>'Gebäude (02,03)'!H49</f>
        <v>1</v>
      </c>
      <c r="E124" s="832">
        <f t="shared" si="10"/>
        <v>0</v>
      </c>
      <c r="F124" s="1316">
        <f>'Gebäude (02,03)'!O49</f>
        <v>0</v>
      </c>
      <c r="G124" s="1314">
        <f>'Gebäude (02,03)'!P49</f>
        <v>0</v>
      </c>
      <c r="H124" s="911">
        <f t="shared" si="11"/>
        <v>0</v>
      </c>
      <c r="I124" s="867">
        <f t="shared" si="0"/>
        <v>1</v>
      </c>
      <c r="J124" s="832">
        <f t="shared" si="12"/>
        <v>0</v>
      </c>
      <c r="K124" s="865">
        <f t="shared" si="13"/>
        <v>0</v>
      </c>
      <c r="L124" s="910">
        <f t="shared" si="1"/>
        <v>0</v>
      </c>
      <c r="M124" s="868">
        <f t="shared" si="2"/>
        <v>0</v>
      </c>
      <c r="N124" s="911">
        <f t="shared" si="20"/>
        <v>0</v>
      </c>
      <c r="O124" s="867">
        <f t="shared" si="3"/>
        <v>0</v>
      </c>
      <c r="P124" s="832">
        <f t="shared" si="4"/>
        <v>0</v>
      </c>
      <c r="Q124" s="832">
        <f t="shared" si="14"/>
        <v>0</v>
      </c>
      <c r="R124" s="815">
        <f>'Gebäude (02,03)'!G123</f>
        <v>31</v>
      </c>
      <c r="S124" s="832">
        <f t="shared" si="5"/>
        <v>0</v>
      </c>
      <c r="T124" s="820" t="str">
        <f t="shared" si="15"/>
        <v/>
      </c>
      <c r="U124" s="867">
        <f>IF(OR('Gebäude (02,03)'!B49&lt;&gt;"",'Gebäude (02,03)'!C49&lt;&gt;""),1,0)</f>
        <v>0</v>
      </c>
      <c r="V124" s="1328">
        <f t="shared" si="6"/>
        <v>0</v>
      </c>
      <c r="W124" s="867">
        <f t="shared" si="7"/>
        <v>0</v>
      </c>
      <c r="X124" s="887">
        <f t="shared" si="8"/>
        <v>0</v>
      </c>
      <c r="AA124" s="828">
        <v>13</v>
      </c>
      <c r="AB124" s="811">
        <f t="shared" si="16"/>
        <v>0</v>
      </c>
      <c r="AC124" s="868">
        <f t="shared" si="17"/>
        <v>0</v>
      </c>
      <c r="AD124" s="911">
        <f t="shared" si="18"/>
        <v>0</v>
      </c>
      <c r="AE124" s="887">
        <f t="shared" si="19"/>
        <v>0</v>
      </c>
      <c r="AF124" s="887">
        <f t="shared" si="9"/>
        <v>0</v>
      </c>
    </row>
    <row r="125" spans="1:32" x14ac:dyDescent="0.3">
      <c r="A125" s="828">
        <v>14</v>
      </c>
      <c r="B125" s="815">
        <f>'Gebäude (02,03)'!G50</f>
        <v>0</v>
      </c>
      <c r="C125" s="815">
        <f>'Gebäude (02,03)'!F50</f>
        <v>0</v>
      </c>
      <c r="D125" s="859">
        <f>'Gebäude (02,03)'!H50</f>
        <v>1</v>
      </c>
      <c r="E125" s="832">
        <f t="shared" si="10"/>
        <v>0</v>
      </c>
      <c r="F125" s="1316">
        <f>'Gebäude (02,03)'!O50</f>
        <v>0</v>
      </c>
      <c r="G125" s="1314">
        <f>'Gebäude (02,03)'!P50</f>
        <v>0</v>
      </c>
      <c r="H125" s="911">
        <f t="shared" si="11"/>
        <v>0</v>
      </c>
      <c r="I125" s="867">
        <f t="shared" si="0"/>
        <v>1</v>
      </c>
      <c r="J125" s="832">
        <f t="shared" si="12"/>
        <v>0</v>
      </c>
      <c r="K125" s="865">
        <f t="shared" si="13"/>
        <v>0</v>
      </c>
      <c r="L125" s="910">
        <f t="shared" si="1"/>
        <v>0</v>
      </c>
      <c r="M125" s="868">
        <f t="shared" si="2"/>
        <v>0</v>
      </c>
      <c r="N125" s="911">
        <f t="shared" si="20"/>
        <v>0</v>
      </c>
      <c r="O125" s="867">
        <f t="shared" si="3"/>
        <v>0</v>
      </c>
      <c r="P125" s="832">
        <f t="shared" si="4"/>
        <v>0</v>
      </c>
      <c r="Q125" s="832">
        <f t="shared" si="14"/>
        <v>0</v>
      </c>
      <c r="R125" s="815">
        <f>'Gebäude (02,03)'!G124</f>
        <v>1</v>
      </c>
      <c r="S125" s="832">
        <f t="shared" si="5"/>
        <v>0</v>
      </c>
      <c r="T125" s="820" t="str">
        <f t="shared" si="15"/>
        <v/>
      </c>
      <c r="U125" s="867">
        <f>IF(OR('Gebäude (02,03)'!B50&lt;&gt;"",'Gebäude (02,03)'!C50&lt;&gt;""),1,0)</f>
        <v>0</v>
      </c>
      <c r="V125" s="1328">
        <f t="shared" si="6"/>
        <v>0</v>
      </c>
      <c r="W125" s="867">
        <f t="shared" si="7"/>
        <v>0</v>
      </c>
      <c r="X125" s="887">
        <f t="shared" si="8"/>
        <v>0</v>
      </c>
      <c r="AA125" s="828">
        <v>14</v>
      </c>
      <c r="AB125" s="811">
        <f t="shared" si="16"/>
        <v>0</v>
      </c>
      <c r="AC125" s="868">
        <f t="shared" si="17"/>
        <v>0</v>
      </c>
      <c r="AD125" s="911">
        <f t="shared" si="18"/>
        <v>0</v>
      </c>
      <c r="AE125" s="887">
        <f t="shared" si="19"/>
        <v>0</v>
      </c>
      <c r="AF125" s="887">
        <f t="shared" si="9"/>
        <v>0</v>
      </c>
    </row>
    <row r="126" spans="1:32" x14ac:dyDescent="0.3">
      <c r="A126" s="828">
        <v>15</v>
      </c>
      <c r="B126" s="815">
        <f>'Gebäude (02,03)'!G51</f>
        <v>0</v>
      </c>
      <c r="C126" s="815">
        <f>'Gebäude (02,03)'!F51</f>
        <v>0</v>
      </c>
      <c r="D126" s="859">
        <f>'Gebäude (02,03)'!H51</f>
        <v>1</v>
      </c>
      <c r="E126" s="832">
        <f t="shared" si="10"/>
        <v>0</v>
      </c>
      <c r="F126" s="1316">
        <f>'Gebäude (02,03)'!O51</f>
        <v>0</v>
      </c>
      <c r="G126" s="1314">
        <f>'Gebäude (02,03)'!P51</f>
        <v>0</v>
      </c>
      <c r="H126" s="911">
        <f t="shared" si="11"/>
        <v>0</v>
      </c>
      <c r="I126" s="867">
        <f t="shared" si="0"/>
        <v>1</v>
      </c>
      <c r="J126" s="832">
        <f t="shared" si="12"/>
        <v>0</v>
      </c>
      <c r="K126" s="865">
        <f t="shared" si="13"/>
        <v>0</v>
      </c>
      <c r="L126" s="910">
        <f t="shared" si="1"/>
        <v>0</v>
      </c>
      <c r="M126" s="868">
        <f t="shared" si="2"/>
        <v>0</v>
      </c>
      <c r="N126" s="911">
        <f t="shared" si="20"/>
        <v>0</v>
      </c>
      <c r="O126" s="867">
        <f t="shared" si="3"/>
        <v>0</v>
      </c>
      <c r="P126" s="832">
        <f t="shared" si="4"/>
        <v>0</v>
      </c>
      <c r="Q126" s="832">
        <f t="shared" si="14"/>
        <v>0</v>
      </c>
      <c r="R126" s="815">
        <f>'Gebäude (02,03)'!G125</f>
        <v>1</v>
      </c>
      <c r="S126" s="832">
        <f t="shared" si="5"/>
        <v>0</v>
      </c>
      <c r="T126" s="820" t="str">
        <f t="shared" si="15"/>
        <v/>
      </c>
      <c r="U126" s="867">
        <f>IF(OR('Gebäude (02,03)'!B51&lt;&gt;"",'Gebäude (02,03)'!C51&lt;&gt;""),1,0)</f>
        <v>0</v>
      </c>
      <c r="V126" s="1328">
        <f t="shared" si="6"/>
        <v>0</v>
      </c>
      <c r="W126" s="867">
        <f t="shared" si="7"/>
        <v>0</v>
      </c>
      <c r="X126" s="887">
        <f t="shared" si="8"/>
        <v>0</v>
      </c>
      <c r="AA126" s="828">
        <v>15</v>
      </c>
      <c r="AB126" s="811">
        <f t="shared" si="16"/>
        <v>0</v>
      </c>
      <c r="AC126" s="868">
        <f t="shared" si="17"/>
        <v>0</v>
      </c>
      <c r="AD126" s="911">
        <f t="shared" si="18"/>
        <v>0</v>
      </c>
      <c r="AE126" s="887">
        <f t="shared" si="19"/>
        <v>0</v>
      </c>
      <c r="AF126" s="887">
        <f t="shared" si="9"/>
        <v>0</v>
      </c>
    </row>
    <row r="127" spans="1:32" x14ac:dyDescent="0.3">
      <c r="A127" s="828">
        <v>16</v>
      </c>
      <c r="B127" s="815">
        <f>'Gebäude (02,03)'!G52</f>
        <v>0</v>
      </c>
      <c r="C127" s="815">
        <f>'Gebäude (02,03)'!F52</f>
        <v>0</v>
      </c>
      <c r="D127" s="859">
        <f>'Gebäude (02,03)'!H52</f>
        <v>1</v>
      </c>
      <c r="E127" s="832">
        <f t="shared" si="10"/>
        <v>0</v>
      </c>
      <c r="F127" s="1316">
        <f>'Gebäude (02,03)'!O52</f>
        <v>0</v>
      </c>
      <c r="G127" s="1314">
        <f>'Gebäude (02,03)'!P52</f>
        <v>0</v>
      </c>
      <c r="H127" s="911">
        <f>IF(G127&gt;0,F127/(0.5*G127),0)</f>
        <v>0</v>
      </c>
      <c r="I127" s="867">
        <f t="shared" si="0"/>
        <v>1</v>
      </c>
      <c r="J127" s="832">
        <f t="shared" si="12"/>
        <v>0</v>
      </c>
      <c r="K127" s="865">
        <f t="shared" si="13"/>
        <v>0</v>
      </c>
      <c r="L127" s="910">
        <f t="shared" si="1"/>
        <v>0</v>
      </c>
      <c r="M127" s="868">
        <f>IF(ISERROR(1/B127-L127),0,1/B127-L127)</f>
        <v>0</v>
      </c>
      <c r="N127" s="911">
        <f t="shared" si="20"/>
        <v>0</v>
      </c>
      <c r="O127" s="867">
        <f t="shared" si="3"/>
        <v>0</v>
      </c>
      <c r="P127" s="832">
        <f t="shared" si="4"/>
        <v>0</v>
      </c>
      <c r="Q127" s="832">
        <f t="shared" si="14"/>
        <v>0</v>
      </c>
      <c r="R127" s="815">
        <f>'Gebäude (02,03)'!G126</f>
        <v>1</v>
      </c>
      <c r="S127" s="832">
        <f t="shared" si="5"/>
        <v>0</v>
      </c>
      <c r="T127" s="820" t="str">
        <f t="shared" si="15"/>
        <v/>
      </c>
      <c r="U127" s="867">
        <f>IF(OR('Gebäude (02,03)'!B52&lt;&gt;"",'Gebäude (02,03)'!C52&lt;&gt;""),1,0)</f>
        <v>0</v>
      </c>
      <c r="V127" s="1328">
        <f t="shared" si="6"/>
        <v>0</v>
      </c>
      <c r="W127" s="867">
        <f t="shared" si="7"/>
        <v>0</v>
      </c>
      <c r="X127" s="887">
        <f t="shared" si="8"/>
        <v>0</v>
      </c>
      <c r="AA127" s="828">
        <v>16</v>
      </c>
      <c r="AB127" s="811">
        <f t="shared" si="16"/>
        <v>0</v>
      </c>
      <c r="AC127" s="868">
        <f>IF(ISERROR(1/AB127-L127),0,1/AB127-L127)</f>
        <v>0</v>
      </c>
      <c r="AD127" s="911">
        <f t="shared" si="18"/>
        <v>0</v>
      </c>
      <c r="AE127" s="887">
        <f t="shared" si="19"/>
        <v>0</v>
      </c>
      <c r="AF127" s="887">
        <f t="shared" si="9"/>
        <v>0</v>
      </c>
    </row>
    <row r="128" spans="1:32" x14ac:dyDescent="0.3">
      <c r="A128" s="828">
        <v>17</v>
      </c>
      <c r="B128" s="815">
        <f>'Gebäude (02,03)'!G53</f>
        <v>0</v>
      </c>
      <c r="C128" s="815">
        <f>'Gebäude (02,03)'!F53</f>
        <v>0</v>
      </c>
      <c r="D128" s="859">
        <f>'Gebäude (02,03)'!H53</f>
        <v>1</v>
      </c>
      <c r="E128" s="832">
        <f t="shared" si="10"/>
        <v>0</v>
      </c>
      <c r="F128" s="1316">
        <f>'Gebäude (02,03)'!O53</f>
        <v>0</v>
      </c>
      <c r="G128" s="1314">
        <f>'Gebäude (02,03)'!P53</f>
        <v>0</v>
      </c>
      <c r="H128" s="911">
        <f t="shared" si="11"/>
        <v>0</v>
      </c>
      <c r="I128" s="867">
        <f t="shared" si="0"/>
        <v>1</v>
      </c>
      <c r="J128" s="832">
        <f t="shared" si="12"/>
        <v>0</v>
      </c>
      <c r="K128" s="865">
        <f t="shared" si="13"/>
        <v>0</v>
      </c>
      <c r="L128" s="910">
        <f t="shared" si="1"/>
        <v>0</v>
      </c>
      <c r="M128" s="868">
        <f t="shared" si="2"/>
        <v>0</v>
      </c>
      <c r="N128" s="911">
        <f t="shared" si="20"/>
        <v>0</v>
      </c>
      <c r="O128" s="867">
        <f t="shared" si="3"/>
        <v>0</v>
      </c>
      <c r="P128" s="832">
        <f t="shared" si="4"/>
        <v>0</v>
      </c>
      <c r="Q128" s="832">
        <f t="shared" si="14"/>
        <v>0</v>
      </c>
      <c r="R128" s="815">
        <f>'Gebäude (02,03)'!G127</f>
        <v>1</v>
      </c>
      <c r="S128" s="832">
        <f t="shared" si="5"/>
        <v>0</v>
      </c>
      <c r="T128" s="820" t="str">
        <f t="shared" si="15"/>
        <v/>
      </c>
      <c r="U128" s="867">
        <f>IF(OR('Gebäude (02,03)'!B53&lt;&gt;"",'Gebäude (02,03)'!C53&lt;&gt;""),1,0)</f>
        <v>0</v>
      </c>
      <c r="V128" s="1328">
        <f t="shared" si="6"/>
        <v>0</v>
      </c>
      <c r="W128" s="867">
        <f t="shared" si="7"/>
        <v>0</v>
      </c>
      <c r="X128" s="887">
        <f t="shared" si="8"/>
        <v>0</v>
      </c>
      <c r="AA128" s="828">
        <v>17</v>
      </c>
      <c r="AB128" s="811">
        <f t="shared" si="16"/>
        <v>0</v>
      </c>
      <c r="AC128" s="868">
        <f t="shared" ref="AC128:AC141" si="21">IF(ISERROR(1/AB128-L128),0,1/AB128-L128)</f>
        <v>0</v>
      </c>
      <c r="AD128" s="911">
        <f t="shared" si="18"/>
        <v>0</v>
      </c>
      <c r="AE128" s="887">
        <f t="shared" si="19"/>
        <v>0</v>
      </c>
      <c r="AF128" s="887">
        <f t="shared" si="9"/>
        <v>0</v>
      </c>
    </row>
    <row r="129" spans="1:32" x14ac:dyDescent="0.3">
      <c r="A129" s="828">
        <v>18</v>
      </c>
      <c r="B129" s="815">
        <f>'Gebäude (02,03)'!G54</f>
        <v>0</v>
      </c>
      <c r="C129" s="815">
        <f>'Gebäude (02,03)'!F54</f>
        <v>0</v>
      </c>
      <c r="D129" s="859">
        <f>'Gebäude (02,03)'!H54</f>
        <v>1</v>
      </c>
      <c r="E129" s="832">
        <f t="shared" si="10"/>
        <v>0</v>
      </c>
      <c r="F129" s="1316">
        <f>'Gebäude (02,03)'!O54</f>
        <v>0</v>
      </c>
      <c r="G129" s="1314">
        <f>'Gebäude (02,03)'!P54</f>
        <v>0</v>
      </c>
      <c r="H129" s="911">
        <f t="shared" si="11"/>
        <v>0</v>
      </c>
      <c r="I129" s="867">
        <f t="shared" si="0"/>
        <v>1</v>
      </c>
      <c r="J129" s="832">
        <f t="shared" si="12"/>
        <v>0</v>
      </c>
      <c r="K129" s="865">
        <f t="shared" si="13"/>
        <v>0</v>
      </c>
      <c r="L129" s="910">
        <f t="shared" si="1"/>
        <v>0</v>
      </c>
      <c r="M129" s="868">
        <f t="shared" si="2"/>
        <v>0</v>
      </c>
      <c r="N129" s="911">
        <f t="shared" si="20"/>
        <v>0</v>
      </c>
      <c r="O129" s="867">
        <f t="shared" si="3"/>
        <v>0</v>
      </c>
      <c r="P129" s="832">
        <f t="shared" si="4"/>
        <v>0</v>
      </c>
      <c r="Q129" s="832">
        <f t="shared" si="14"/>
        <v>0</v>
      </c>
      <c r="R129" s="815">
        <f>'Gebäude (02,03)'!G128</f>
        <v>1</v>
      </c>
      <c r="S129" s="832">
        <f t="shared" si="5"/>
        <v>0</v>
      </c>
      <c r="T129" s="820" t="str">
        <f t="shared" si="15"/>
        <v/>
      </c>
      <c r="U129" s="867">
        <f>IF(OR('Gebäude (02,03)'!B54&lt;&gt;"",'Gebäude (02,03)'!C54&lt;&gt;""),1,0)</f>
        <v>0</v>
      </c>
      <c r="V129" s="1328">
        <f t="shared" si="6"/>
        <v>0</v>
      </c>
      <c r="W129" s="867">
        <f t="shared" si="7"/>
        <v>0</v>
      </c>
      <c r="X129" s="887">
        <f t="shared" si="8"/>
        <v>0</v>
      </c>
      <c r="AA129" s="828">
        <v>18</v>
      </c>
      <c r="AB129" s="811">
        <f t="shared" si="16"/>
        <v>0</v>
      </c>
      <c r="AC129" s="868">
        <f t="shared" si="21"/>
        <v>0</v>
      </c>
      <c r="AD129" s="911">
        <f t="shared" si="18"/>
        <v>0</v>
      </c>
      <c r="AE129" s="887">
        <f t="shared" si="19"/>
        <v>0</v>
      </c>
      <c r="AF129" s="887">
        <f t="shared" si="9"/>
        <v>0</v>
      </c>
    </row>
    <row r="130" spans="1:32" x14ac:dyDescent="0.3">
      <c r="A130" s="828">
        <v>19</v>
      </c>
      <c r="B130" s="815">
        <f>'Gebäude (02,03)'!G55</f>
        <v>0</v>
      </c>
      <c r="C130" s="815">
        <f>'Gebäude (02,03)'!F55</f>
        <v>0</v>
      </c>
      <c r="D130" s="859">
        <f>'Gebäude (02,03)'!H55</f>
        <v>1</v>
      </c>
      <c r="E130" s="832">
        <f t="shared" si="10"/>
        <v>0</v>
      </c>
      <c r="F130" s="1316">
        <f>'Gebäude (02,03)'!O55</f>
        <v>0</v>
      </c>
      <c r="G130" s="1314">
        <f>'Gebäude (02,03)'!P55</f>
        <v>0</v>
      </c>
      <c r="H130" s="911">
        <f t="shared" si="11"/>
        <v>0</v>
      </c>
      <c r="I130" s="867">
        <f t="shared" si="0"/>
        <v>1</v>
      </c>
      <c r="J130" s="832">
        <f t="shared" si="12"/>
        <v>0</v>
      </c>
      <c r="K130" s="865">
        <f t="shared" si="13"/>
        <v>0</v>
      </c>
      <c r="L130" s="910">
        <f t="shared" si="1"/>
        <v>0</v>
      </c>
      <c r="M130" s="868">
        <f t="shared" si="2"/>
        <v>0</v>
      </c>
      <c r="N130" s="911">
        <f t="shared" si="20"/>
        <v>0</v>
      </c>
      <c r="O130" s="867">
        <f t="shared" si="3"/>
        <v>0</v>
      </c>
      <c r="P130" s="832">
        <f t="shared" si="4"/>
        <v>0</v>
      </c>
      <c r="Q130" s="832">
        <f t="shared" si="14"/>
        <v>0</v>
      </c>
      <c r="R130" s="815">
        <f>'Gebäude (02,03)'!G129</f>
        <v>1</v>
      </c>
      <c r="S130" s="832">
        <f t="shared" si="5"/>
        <v>0</v>
      </c>
      <c r="T130" s="820" t="str">
        <f t="shared" si="15"/>
        <v/>
      </c>
      <c r="U130" s="867">
        <f>IF(OR('Gebäude (02,03)'!B55&lt;&gt;"",'Gebäude (02,03)'!C55&lt;&gt;""),1,0)</f>
        <v>0</v>
      </c>
      <c r="V130" s="1328">
        <f t="shared" si="6"/>
        <v>0</v>
      </c>
      <c r="W130" s="867">
        <f t="shared" si="7"/>
        <v>0</v>
      </c>
      <c r="X130" s="887">
        <f t="shared" si="8"/>
        <v>0</v>
      </c>
      <c r="AA130" s="828">
        <v>19</v>
      </c>
      <c r="AB130" s="811">
        <f t="shared" si="16"/>
        <v>0</v>
      </c>
      <c r="AC130" s="868">
        <f t="shared" si="21"/>
        <v>0</v>
      </c>
      <c r="AD130" s="911">
        <f t="shared" si="18"/>
        <v>0</v>
      </c>
      <c r="AE130" s="887">
        <f t="shared" si="19"/>
        <v>0</v>
      </c>
      <c r="AF130" s="887">
        <f t="shared" si="9"/>
        <v>0</v>
      </c>
    </row>
    <row r="131" spans="1:32" x14ac:dyDescent="0.3">
      <c r="A131" s="828">
        <v>20</v>
      </c>
      <c r="B131" s="815">
        <f>'Gebäude (02,03)'!G56</f>
        <v>0</v>
      </c>
      <c r="C131" s="815">
        <f>'Gebäude (02,03)'!F56</f>
        <v>0</v>
      </c>
      <c r="D131" s="859">
        <f>'Gebäude (02,03)'!H56</f>
        <v>1</v>
      </c>
      <c r="E131" s="832">
        <f t="shared" si="10"/>
        <v>0</v>
      </c>
      <c r="F131" s="1316">
        <f>'Gebäude (02,03)'!O56</f>
        <v>0</v>
      </c>
      <c r="G131" s="1314">
        <f>'Gebäude (02,03)'!P56</f>
        <v>0</v>
      </c>
      <c r="H131" s="911">
        <f t="shared" si="11"/>
        <v>0</v>
      </c>
      <c r="I131" s="867">
        <f t="shared" si="0"/>
        <v>1</v>
      </c>
      <c r="J131" s="832">
        <f t="shared" si="12"/>
        <v>0</v>
      </c>
      <c r="K131" s="865">
        <f t="shared" si="13"/>
        <v>0</v>
      </c>
      <c r="L131" s="910">
        <f t="shared" si="1"/>
        <v>0</v>
      </c>
      <c r="M131" s="868">
        <f t="shared" si="2"/>
        <v>0</v>
      </c>
      <c r="N131" s="911">
        <f t="shared" si="20"/>
        <v>0</v>
      </c>
      <c r="O131" s="867">
        <f t="shared" si="3"/>
        <v>0</v>
      </c>
      <c r="P131" s="832">
        <f t="shared" si="4"/>
        <v>0</v>
      </c>
      <c r="Q131" s="832">
        <f t="shared" si="14"/>
        <v>0</v>
      </c>
      <c r="R131" s="815">
        <f>'Gebäude (02,03)'!G130</f>
        <v>1</v>
      </c>
      <c r="S131" s="832">
        <f t="shared" si="5"/>
        <v>0</v>
      </c>
      <c r="T131" s="820" t="str">
        <f t="shared" si="15"/>
        <v/>
      </c>
      <c r="U131" s="867">
        <f>IF(OR('Gebäude (02,03)'!B56&lt;&gt;"",'Gebäude (02,03)'!C56&lt;&gt;""),1,0)</f>
        <v>0</v>
      </c>
      <c r="V131" s="1328">
        <f t="shared" si="6"/>
        <v>0</v>
      </c>
      <c r="W131" s="867">
        <f t="shared" si="7"/>
        <v>0</v>
      </c>
      <c r="X131" s="887">
        <f t="shared" si="8"/>
        <v>0</v>
      </c>
      <c r="AA131" s="828">
        <v>20</v>
      </c>
      <c r="AB131" s="811">
        <f t="shared" si="16"/>
        <v>0</v>
      </c>
      <c r="AC131" s="868">
        <f t="shared" si="21"/>
        <v>0</v>
      </c>
      <c r="AD131" s="911">
        <f t="shared" si="18"/>
        <v>0</v>
      </c>
      <c r="AE131" s="887">
        <f t="shared" si="19"/>
        <v>0</v>
      </c>
      <c r="AF131" s="887">
        <f t="shared" si="9"/>
        <v>0</v>
      </c>
    </row>
    <row r="132" spans="1:32" x14ac:dyDescent="0.3">
      <c r="A132" s="828">
        <v>21</v>
      </c>
      <c r="B132" s="815">
        <f>'Gebäude (02,03)'!G57</f>
        <v>0</v>
      </c>
      <c r="C132" s="815">
        <f>'Gebäude (02,03)'!F57</f>
        <v>0</v>
      </c>
      <c r="D132" s="859">
        <f>'Gebäude (02,03)'!H57</f>
        <v>1</v>
      </c>
      <c r="E132" s="832">
        <f t="shared" si="10"/>
        <v>0</v>
      </c>
      <c r="F132" s="1316">
        <f>'Gebäude (02,03)'!O57</f>
        <v>0</v>
      </c>
      <c r="G132" s="1314">
        <f>'Gebäude (02,03)'!P57</f>
        <v>0</v>
      </c>
      <c r="H132" s="911">
        <f t="shared" si="11"/>
        <v>0</v>
      </c>
      <c r="I132" s="867">
        <f t="shared" si="0"/>
        <v>1</v>
      </c>
      <c r="J132" s="832">
        <f t="shared" si="12"/>
        <v>0</v>
      </c>
      <c r="K132" s="865">
        <f t="shared" si="13"/>
        <v>0</v>
      </c>
      <c r="L132" s="910">
        <f t="shared" si="1"/>
        <v>0</v>
      </c>
      <c r="M132" s="868">
        <f t="shared" si="2"/>
        <v>0</v>
      </c>
      <c r="N132" s="911">
        <f t="shared" si="20"/>
        <v>0</v>
      </c>
      <c r="O132" s="867">
        <f t="shared" si="3"/>
        <v>0</v>
      </c>
      <c r="P132" s="832">
        <f t="shared" si="4"/>
        <v>0</v>
      </c>
      <c r="Q132" s="832">
        <f t="shared" si="14"/>
        <v>0</v>
      </c>
      <c r="R132" s="815">
        <f>'Gebäude (02,03)'!G131</f>
        <v>1</v>
      </c>
      <c r="S132" s="832">
        <f t="shared" si="5"/>
        <v>0</v>
      </c>
      <c r="T132" s="820" t="str">
        <f t="shared" si="15"/>
        <v/>
      </c>
      <c r="U132" s="867">
        <f>IF(OR('Gebäude (02,03)'!B57&lt;&gt;"",'Gebäude (02,03)'!C57&lt;&gt;""),1,0)</f>
        <v>0</v>
      </c>
      <c r="V132" s="1328">
        <f t="shared" si="6"/>
        <v>0</v>
      </c>
      <c r="W132" s="867">
        <f t="shared" si="7"/>
        <v>0</v>
      </c>
      <c r="X132" s="887">
        <f t="shared" si="8"/>
        <v>0</v>
      </c>
      <c r="AA132" s="828">
        <v>21</v>
      </c>
      <c r="AB132" s="811">
        <f t="shared" si="16"/>
        <v>0</v>
      </c>
      <c r="AC132" s="868">
        <f t="shared" si="21"/>
        <v>0</v>
      </c>
      <c r="AD132" s="911">
        <f t="shared" si="18"/>
        <v>0</v>
      </c>
      <c r="AE132" s="887">
        <f t="shared" si="19"/>
        <v>0</v>
      </c>
      <c r="AF132" s="887">
        <f t="shared" si="9"/>
        <v>0</v>
      </c>
    </row>
    <row r="133" spans="1:32" x14ac:dyDescent="0.3">
      <c r="A133" s="828">
        <v>22</v>
      </c>
      <c r="B133" s="815">
        <f>'Gebäude (02,03)'!G58</f>
        <v>0</v>
      </c>
      <c r="C133" s="815">
        <f>'Gebäude (02,03)'!F58</f>
        <v>0</v>
      </c>
      <c r="D133" s="859">
        <f>'Gebäude (02,03)'!H58</f>
        <v>1</v>
      </c>
      <c r="E133" s="832">
        <f t="shared" si="10"/>
        <v>0</v>
      </c>
      <c r="F133" s="1316">
        <f>'Gebäude (02,03)'!O58</f>
        <v>0</v>
      </c>
      <c r="G133" s="1314">
        <f>'Gebäude (02,03)'!P58</f>
        <v>0</v>
      </c>
      <c r="H133" s="911">
        <f t="shared" si="11"/>
        <v>0</v>
      </c>
      <c r="I133" s="867">
        <f t="shared" si="0"/>
        <v>1</v>
      </c>
      <c r="J133" s="832">
        <f t="shared" si="12"/>
        <v>0</v>
      </c>
      <c r="K133" s="865">
        <f t="shared" si="13"/>
        <v>0</v>
      </c>
      <c r="L133" s="910">
        <f t="shared" si="1"/>
        <v>0</v>
      </c>
      <c r="M133" s="868">
        <f t="shared" si="2"/>
        <v>0</v>
      </c>
      <c r="N133" s="911">
        <f t="shared" si="20"/>
        <v>0</v>
      </c>
      <c r="O133" s="867">
        <f t="shared" si="3"/>
        <v>0</v>
      </c>
      <c r="P133" s="832">
        <f t="shared" si="4"/>
        <v>0</v>
      </c>
      <c r="Q133" s="832">
        <f t="shared" si="14"/>
        <v>0</v>
      </c>
      <c r="R133" s="815">
        <f>'Gebäude (02,03)'!G132</f>
        <v>1</v>
      </c>
      <c r="S133" s="832">
        <f t="shared" si="5"/>
        <v>0</v>
      </c>
      <c r="T133" s="820" t="str">
        <f t="shared" si="15"/>
        <v/>
      </c>
      <c r="U133" s="867">
        <f>IF(OR('Gebäude (02,03)'!B58&lt;&gt;"",'Gebäude (02,03)'!C58&lt;&gt;""),1,0)</f>
        <v>0</v>
      </c>
      <c r="V133" s="1328">
        <f t="shared" si="6"/>
        <v>0</v>
      </c>
      <c r="W133" s="867">
        <f t="shared" si="7"/>
        <v>0</v>
      </c>
      <c r="X133" s="887">
        <f t="shared" si="8"/>
        <v>0</v>
      </c>
      <c r="AA133" s="828">
        <v>22</v>
      </c>
      <c r="AB133" s="811">
        <f t="shared" si="16"/>
        <v>0</v>
      </c>
      <c r="AC133" s="868">
        <f t="shared" si="21"/>
        <v>0</v>
      </c>
      <c r="AD133" s="911">
        <f t="shared" si="18"/>
        <v>0</v>
      </c>
      <c r="AE133" s="887">
        <f t="shared" si="19"/>
        <v>0</v>
      </c>
      <c r="AF133" s="887">
        <f t="shared" si="9"/>
        <v>0</v>
      </c>
    </row>
    <row r="134" spans="1:32" x14ac:dyDescent="0.3">
      <c r="A134" s="828">
        <v>23</v>
      </c>
      <c r="B134" s="815">
        <f>'Gebäude (02,03)'!G59</f>
        <v>0</v>
      </c>
      <c r="C134" s="815">
        <f>'Gebäude (02,03)'!F59</f>
        <v>0</v>
      </c>
      <c r="D134" s="859">
        <f>'Gebäude (02,03)'!H59</f>
        <v>1</v>
      </c>
      <c r="E134" s="832">
        <f t="shared" si="10"/>
        <v>0</v>
      </c>
      <c r="F134" s="1316">
        <f>'Gebäude (02,03)'!O59</f>
        <v>0</v>
      </c>
      <c r="G134" s="1314">
        <f>'Gebäude (02,03)'!P59</f>
        <v>0</v>
      </c>
      <c r="H134" s="911">
        <f t="shared" si="11"/>
        <v>0</v>
      </c>
      <c r="I134" s="867">
        <f t="shared" si="0"/>
        <v>1</v>
      </c>
      <c r="J134" s="832">
        <f t="shared" si="12"/>
        <v>0</v>
      </c>
      <c r="K134" s="865">
        <f t="shared" si="13"/>
        <v>0</v>
      </c>
      <c r="L134" s="910">
        <f t="shared" si="1"/>
        <v>0</v>
      </c>
      <c r="M134" s="868">
        <f t="shared" si="2"/>
        <v>0</v>
      </c>
      <c r="N134" s="911">
        <f t="shared" si="20"/>
        <v>0</v>
      </c>
      <c r="O134" s="867">
        <f t="shared" si="3"/>
        <v>0</v>
      </c>
      <c r="P134" s="832">
        <f t="shared" si="4"/>
        <v>0</v>
      </c>
      <c r="Q134" s="832">
        <f t="shared" si="14"/>
        <v>0</v>
      </c>
      <c r="R134" s="815">
        <f>'Gebäude (02,03)'!G133</f>
        <v>1</v>
      </c>
      <c r="S134" s="832">
        <f t="shared" si="5"/>
        <v>0</v>
      </c>
      <c r="T134" s="820" t="str">
        <f t="shared" si="15"/>
        <v/>
      </c>
      <c r="U134" s="867">
        <f>IF(OR('Gebäude (02,03)'!B59&lt;&gt;"",'Gebäude (02,03)'!C59&lt;&gt;""),1,0)</f>
        <v>0</v>
      </c>
      <c r="V134" s="1328">
        <f t="shared" si="6"/>
        <v>0</v>
      </c>
      <c r="W134" s="867">
        <f t="shared" si="7"/>
        <v>0</v>
      </c>
      <c r="X134" s="887">
        <f t="shared" si="8"/>
        <v>0</v>
      </c>
      <c r="AA134" s="828">
        <v>23</v>
      </c>
      <c r="AB134" s="811">
        <f t="shared" si="16"/>
        <v>0</v>
      </c>
      <c r="AC134" s="868">
        <f t="shared" si="21"/>
        <v>0</v>
      </c>
      <c r="AD134" s="911">
        <f t="shared" si="18"/>
        <v>0</v>
      </c>
      <c r="AE134" s="887">
        <f t="shared" si="19"/>
        <v>0</v>
      </c>
      <c r="AF134" s="887">
        <f t="shared" si="9"/>
        <v>0</v>
      </c>
    </row>
    <row r="135" spans="1:32" x14ac:dyDescent="0.3">
      <c r="A135" s="828">
        <v>24</v>
      </c>
      <c r="B135" s="815">
        <f>'Gebäude (02,03)'!G60</f>
        <v>0</v>
      </c>
      <c r="C135" s="815">
        <f>'Gebäude (02,03)'!F60</f>
        <v>0</v>
      </c>
      <c r="D135" s="859">
        <f>'Gebäude (02,03)'!H60</f>
        <v>1</v>
      </c>
      <c r="E135" s="832">
        <f t="shared" si="10"/>
        <v>0</v>
      </c>
      <c r="F135" s="1316">
        <f>'Gebäude (02,03)'!O60</f>
        <v>0</v>
      </c>
      <c r="G135" s="1314">
        <f>'Gebäude (02,03)'!P60</f>
        <v>0</v>
      </c>
      <c r="H135" s="911">
        <f t="shared" si="11"/>
        <v>0</v>
      </c>
      <c r="I135" s="867">
        <f t="shared" si="0"/>
        <v>1</v>
      </c>
      <c r="J135" s="832">
        <f t="shared" si="12"/>
        <v>0</v>
      </c>
      <c r="K135" s="865">
        <f t="shared" si="13"/>
        <v>0</v>
      </c>
      <c r="L135" s="910">
        <f t="shared" si="1"/>
        <v>0</v>
      </c>
      <c r="M135" s="868">
        <f t="shared" si="2"/>
        <v>0</v>
      </c>
      <c r="N135" s="911">
        <f t="shared" si="20"/>
        <v>0</v>
      </c>
      <c r="O135" s="867">
        <f t="shared" si="3"/>
        <v>0</v>
      </c>
      <c r="P135" s="832">
        <f t="shared" si="4"/>
        <v>0</v>
      </c>
      <c r="Q135" s="832">
        <f t="shared" si="14"/>
        <v>0</v>
      </c>
      <c r="R135" s="815">
        <f>'Gebäude (02,03)'!G134</f>
        <v>1</v>
      </c>
      <c r="S135" s="832">
        <f t="shared" si="5"/>
        <v>0</v>
      </c>
      <c r="T135" s="820" t="str">
        <f t="shared" si="15"/>
        <v/>
      </c>
      <c r="U135" s="867">
        <f>IF(OR('Gebäude (02,03)'!B60&lt;&gt;"",'Gebäude (02,03)'!C60&lt;&gt;""),1,0)</f>
        <v>0</v>
      </c>
      <c r="V135" s="1328">
        <f t="shared" si="6"/>
        <v>0</v>
      </c>
      <c r="W135" s="867">
        <f t="shared" si="7"/>
        <v>0</v>
      </c>
      <c r="X135" s="887">
        <f t="shared" si="8"/>
        <v>0</v>
      </c>
      <c r="AA135" s="828">
        <v>24</v>
      </c>
      <c r="AB135" s="811">
        <f t="shared" si="16"/>
        <v>0</v>
      </c>
      <c r="AC135" s="868">
        <f t="shared" si="21"/>
        <v>0</v>
      </c>
      <c r="AD135" s="911">
        <f t="shared" si="18"/>
        <v>0</v>
      </c>
      <c r="AE135" s="887">
        <f t="shared" si="19"/>
        <v>0</v>
      </c>
      <c r="AF135" s="887">
        <f t="shared" si="9"/>
        <v>0</v>
      </c>
    </row>
    <row r="136" spans="1:32" x14ac:dyDescent="0.3">
      <c r="A136" s="828">
        <v>25</v>
      </c>
      <c r="B136" s="815">
        <f>'Gebäude (02,03)'!G61</f>
        <v>0</v>
      </c>
      <c r="C136" s="815">
        <f>'Gebäude (02,03)'!F61</f>
        <v>0</v>
      </c>
      <c r="D136" s="859">
        <f>'Gebäude (02,03)'!H61</f>
        <v>1</v>
      </c>
      <c r="E136" s="832">
        <f t="shared" si="10"/>
        <v>0</v>
      </c>
      <c r="F136" s="1316">
        <f>'Gebäude (02,03)'!O61</f>
        <v>0</v>
      </c>
      <c r="G136" s="1314">
        <f>'Gebäude (02,03)'!P61</f>
        <v>0</v>
      </c>
      <c r="H136" s="911">
        <f t="shared" si="11"/>
        <v>0</v>
      </c>
      <c r="I136" s="867">
        <f t="shared" si="0"/>
        <v>1</v>
      </c>
      <c r="J136" s="832">
        <f t="shared" si="12"/>
        <v>0</v>
      </c>
      <c r="K136" s="865">
        <f t="shared" si="13"/>
        <v>0</v>
      </c>
      <c r="L136" s="910">
        <f t="shared" si="1"/>
        <v>0</v>
      </c>
      <c r="M136" s="868">
        <f t="shared" si="2"/>
        <v>0</v>
      </c>
      <c r="N136" s="911">
        <f t="shared" si="20"/>
        <v>0</v>
      </c>
      <c r="O136" s="867">
        <f t="shared" si="3"/>
        <v>0</v>
      </c>
      <c r="P136" s="832">
        <f t="shared" si="4"/>
        <v>0</v>
      </c>
      <c r="Q136" s="832">
        <f t="shared" si="14"/>
        <v>0</v>
      </c>
      <c r="R136" s="815">
        <f>'Gebäude (02,03)'!G135</f>
        <v>1</v>
      </c>
      <c r="S136" s="832">
        <f t="shared" si="5"/>
        <v>0</v>
      </c>
      <c r="T136" s="820" t="str">
        <f t="shared" si="15"/>
        <v/>
      </c>
      <c r="U136" s="867">
        <f>IF(OR('Gebäude (02,03)'!B61&lt;&gt;"",'Gebäude (02,03)'!C61&lt;&gt;""),1,0)</f>
        <v>0</v>
      </c>
      <c r="V136" s="1328">
        <f t="shared" si="6"/>
        <v>0</v>
      </c>
      <c r="W136" s="867">
        <f t="shared" si="7"/>
        <v>0</v>
      </c>
      <c r="X136" s="887">
        <f t="shared" si="8"/>
        <v>0</v>
      </c>
      <c r="AA136" s="828">
        <v>25</v>
      </c>
      <c r="AB136" s="811">
        <f t="shared" si="16"/>
        <v>0</v>
      </c>
      <c r="AC136" s="868">
        <f t="shared" si="21"/>
        <v>0</v>
      </c>
      <c r="AD136" s="911">
        <f t="shared" si="18"/>
        <v>0</v>
      </c>
      <c r="AE136" s="887">
        <f t="shared" si="19"/>
        <v>0</v>
      </c>
      <c r="AF136" s="887">
        <f t="shared" si="9"/>
        <v>0</v>
      </c>
    </row>
    <row r="137" spans="1:32" x14ac:dyDescent="0.3">
      <c r="A137" s="828">
        <v>26</v>
      </c>
      <c r="B137" s="815">
        <f>'Gebäude (02,03)'!G62</f>
        <v>0</v>
      </c>
      <c r="C137" s="815">
        <f>'Gebäude (02,03)'!F62</f>
        <v>0</v>
      </c>
      <c r="D137" s="859">
        <f>'Gebäude (02,03)'!H62</f>
        <v>1</v>
      </c>
      <c r="E137" s="832">
        <f t="shared" si="10"/>
        <v>0</v>
      </c>
      <c r="F137" s="1316">
        <f>'Gebäude (02,03)'!O62</f>
        <v>0</v>
      </c>
      <c r="G137" s="1314">
        <f>'Gebäude (02,03)'!P62</f>
        <v>0</v>
      </c>
      <c r="H137" s="911">
        <f t="shared" si="11"/>
        <v>0</v>
      </c>
      <c r="I137" s="867">
        <f t="shared" si="0"/>
        <v>1</v>
      </c>
      <c r="J137" s="832">
        <f t="shared" si="12"/>
        <v>0</v>
      </c>
      <c r="K137" s="865">
        <f t="shared" si="13"/>
        <v>0</v>
      </c>
      <c r="L137" s="910">
        <f t="shared" si="1"/>
        <v>0</v>
      </c>
      <c r="M137" s="868">
        <f t="shared" si="2"/>
        <v>0</v>
      </c>
      <c r="N137" s="911">
        <f t="shared" si="20"/>
        <v>0</v>
      </c>
      <c r="O137" s="867">
        <f t="shared" si="3"/>
        <v>0</v>
      </c>
      <c r="P137" s="832">
        <f t="shared" si="4"/>
        <v>0</v>
      </c>
      <c r="Q137" s="832">
        <f t="shared" si="14"/>
        <v>0</v>
      </c>
      <c r="R137" s="815">
        <f>'Gebäude (02,03)'!G136</f>
        <v>1</v>
      </c>
      <c r="S137" s="832">
        <f t="shared" si="5"/>
        <v>0</v>
      </c>
      <c r="T137" s="820" t="str">
        <f t="shared" si="15"/>
        <v/>
      </c>
      <c r="U137" s="867">
        <f>IF(OR('Gebäude (02,03)'!B62&lt;&gt;"",'Gebäude (02,03)'!C62&lt;&gt;""),1,0)</f>
        <v>0</v>
      </c>
      <c r="V137" s="1328">
        <f t="shared" si="6"/>
        <v>0</v>
      </c>
      <c r="W137" s="867">
        <f t="shared" si="7"/>
        <v>0</v>
      </c>
      <c r="X137" s="887">
        <f t="shared" si="8"/>
        <v>0</v>
      </c>
      <c r="AA137" s="828">
        <v>26</v>
      </c>
      <c r="AB137" s="811">
        <f t="shared" si="16"/>
        <v>0</v>
      </c>
      <c r="AC137" s="868">
        <f t="shared" si="21"/>
        <v>0</v>
      </c>
      <c r="AD137" s="911">
        <f t="shared" si="18"/>
        <v>0</v>
      </c>
      <c r="AE137" s="887">
        <f t="shared" si="19"/>
        <v>0</v>
      </c>
      <c r="AF137" s="887">
        <f t="shared" si="9"/>
        <v>0</v>
      </c>
    </row>
    <row r="138" spans="1:32" x14ac:dyDescent="0.3">
      <c r="A138" s="828">
        <v>27</v>
      </c>
      <c r="B138" s="815">
        <f>'Gebäude (02,03)'!G63</f>
        <v>0</v>
      </c>
      <c r="C138" s="815">
        <f>'Gebäude (02,03)'!F63</f>
        <v>0</v>
      </c>
      <c r="D138" s="859">
        <f>'Gebäude (02,03)'!H63</f>
        <v>1</v>
      </c>
      <c r="E138" s="832">
        <f t="shared" si="10"/>
        <v>0</v>
      </c>
      <c r="F138" s="1316">
        <f>'Gebäude (02,03)'!O63</f>
        <v>0</v>
      </c>
      <c r="G138" s="1314">
        <f>'Gebäude (02,03)'!P63</f>
        <v>0</v>
      </c>
      <c r="H138" s="911">
        <f t="shared" si="11"/>
        <v>0</v>
      </c>
      <c r="I138" s="867">
        <f t="shared" si="0"/>
        <v>1</v>
      </c>
      <c r="J138" s="832">
        <f t="shared" si="12"/>
        <v>0</v>
      </c>
      <c r="K138" s="865">
        <f t="shared" si="13"/>
        <v>0</v>
      </c>
      <c r="L138" s="910">
        <f t="shared" si="1"/>
        <v>0</v>
      </c>
      <c r="M138" s="868">
        <f t="shared" si="2"/>
        <v>0</v>
      </c>
      <c r="N138" s="911">
        <f t="shared" si="20"/>
        <v>0</v>
      </c>
      <c r="O138" s="867">
        <f t="shared" si="3"/>
        <v>0</v>
      </c>
      <c r="P138" s="832">
        <f t="shared" si="4"/>
        <v>0</v>
      </c>
      <c r="Q138" s="832">
        <f t="shared" si="14"/>
        <v>0</v>
      </c>
      <c r="R138" s="815">
        <f>'Gebäude (02,03)'!G137</f>
        <v>1</v>
      </c>
      <c r="S138" s="832">
        <f t="shared" si="5"/>
        <v>0</v>
      </c>
      <c r="T138" s="820" t="str">
        <f t="shared" si="15"/>
        <v/>
      </c>
      <c r="U138" s="867">
        <f>IF(OR('Gebäude (02,03)'!B63&lt;&gt;"",'Gebäude (02,03)'!C63&lt;&gt;""),1,0)</f>
        <v>0</v>
      </c>
      <c r="V138" s="1328">
        <f t="shared" si="6"/>
        <v>0</v>
      </c>
      <c r="W138" s="867">
        <f t="shared" si="7"/>
        <v>0</v>
      </c>
      <c r="X138" s="887">
        <f t="shared" si="8"/>
        <v>0</v>
      </c>
      <c r="AA138" s="828">
        <v>27</v>
      </c>
      <c r="AB138" s="811">
        <f t="shared" si="16"/>
        <v>0</v>
      </c>
      <c r="AC138" s="868">
        <f t="shared" si="21"/>
        <v>0</v>
      </c>
      <c r="AD138" s="911">
        <f t="shared" si="18"/>
        <v>0</v>
      </c>
      <c r="AE138" s="887">
        <f t="shared" si="19"/>
        <v>0</v>
      </c>
      <c r="AF138" s="887">
        <f t="shared" si="9"/>
        <v>0</v>
      </c>
    </row>
    <row r="139" spans="1:32" x14ac:dyDescent="0.3">
      <c r="A139" s="828">
        <v>28</v>
      </c>
      <c r="B139" s="815">
        <f>'Gebäude (02,03)'!G64</f>
        <v>0</v>
      </c>
      <c r="C139" s="815">
        <f>'Gebäude (02,03)'!F64</f>
        <v>0</v>
      </c>
      <c r="D139" s="859">
        <f>'Gebäude (02,03)'!H64</f>
        <v>1</v>
      </c>
      <c r="E139" s="832">
        <f t="shared" si="10"/>
        <v>0</v>
      </c>
      <c r="F139" s="1316">
        <f>'Gebäude (02,03)'!O64</f>
        <v>0</v>
      </c>
      <c r="G139" s="1314">
        <f>'Gebäude (02,03)'!P64</f>
        <v>0</v>
      </c>
      <c r="H139" s="911">
        <f t="shared" si="11"/>
        <v>0</v>
      </c>
      <c r="I139" s="867">
        <f t="shared" si="0"/>
        <v>1</v>
      </c>
      <c r="J139" s="832">
        <f t="shared" si="12"/>
        <v>0</v>
      </c>
      <c r="K139" s="865">
        <f t="shared" si="13"/>
        <v>0</v>
      </c>
      <c r="L139" s="910">
        <f t="shared" si="1"/>
        <v>0</v>
      </c>
      <c r="M139" s="868">
        <f t="shared" si="2"/>
        <v>0</v>
      </c>
      <c r="N139" s="911">
        <f t="shared" si="20"/>
        <v>0</v>
      </c>
      <c r="O139" s="867">
        <f t="shared" si="3"/>
        <v>0</v>
      </c>
      <c r="P139" s="832">
        <f t="shared" si="4"/>
        <v>0</v>
      </c>
      <c r="Q139" s="832">
        <f t="shared" si="14"/>
        <v>0</v>
      </c>
      <c r="R139" s="815">
        <f>'Gebäude (02,03)'!G138</f>
        <v>1</v>
      </c>
      <c r="S139" s="832">
        <f t="shared" si="5"/>
        <v>0</v>
      </c>
      <c r="T139" s="820" t="str">
        <f t="shared" si="15"/>
        <v/>
      </c>
      <c r="U139" s="867">
        <f>IF(OR('Gebäude (02,03)'!B64&lt;&gt;"",'Gebäude (02,03)'!C64&lt;&gt;""),1,0)</f>
        <v>0</v>
      </c>
      <c r="V139" s="1328">
        <f t="shared" si="6"/>
        <v>0</v>
      </c>
      <c r="W139" s="867">
        <f t="shared" si="7"/>
        <v>0</v>
      </c>
      <c r="X139" s="887">
        <f t="shared" si="8"/>
        <v>0</v>
      </c>
      <c r="AA139" s="828">
        <v>28</v>
      </c>
      <c r="AB139" s="811">
        <f t="shared" si="16"/>
        <v>0</v>
      </c>
      <c r="AC139" s="868">
        <f t="shared" si="21"/>
        <v>0</v>
      </c>
      <c r="AD139" s="911">
        <f t="shared" si="18"/>
        <v>0</v>
      </c>
      <c r="AE139" s="887">
        <f t="shared" si="19"/>
        <v>0</v>
      </c>
      <c r="AF139" s="887">
        <f t="shared" si="9"/>
        <v>0</v>
      </c>
    </row>
    <row r="140" spans="1:32" x14ac:dyDescent="0.3">
      <c r="A140" s="828">
        <v>29</v>
      </c>
      <c r="B140" s="815">
        <f>'Gebäude (02,03)'!G65</f>
        <v>0</v>
      </c>
      <c r="C140" s="815">
        <f>'Gebäude (02,03)'!F65</f>
        <v>0</v>
      </c>
      <c r="D140" s="859">
        <f>'Gebäude (02,03)'!H65</f>
        <v>1</v>
      </c>
      <c r="E140" s="832">
        <f t="shared" si="10"/>
        <v>0</v>
      </c>
      <c r="F140" s="1316">
        <f>'Gebäude (02,03)'!O65</f>
        <v>0</v>
      </c>
      <c r="G140" s="1314">
        <f>'Gebäude (02,03)'!P65</f>
        <v>0</v>
      </c>
      <c r="H140" s="911">
        <f t="shared" si="11"/>
        <v>0</v>
      </c>
      <c r="I140" s="867">
        <f t="shared" si="0"/>
        <v>1</v>
      </c>
      <c r="J140" s="832">
        <f t="shared" si="12"/>
        <v>0</v>
      </c>
      <c r="K140" s="865">
        <f t="shared" si="13"/>
        <v>0</v>
      </c>
      <c r="L140" s="910">
        <f t="shared" si="1"/>
        <v>0</v>
      </c>
      <c r="M140" s="868">
        <f t="shared" si="2"/>
        <v>0</v>
      </c>
      <c r="N140" s="911">
        <f t="shared" si="20"/>
        <v>0</v>
      </c>
      <c r="O140" s="867">
        <f t="shared" si="3"/>
        <v>0</v>
      </c>
      <c r="P140" s="832">
        <f t="shared" si="4"/>
        <v>0</v>
      </c>
      <c r="Q140" s="832">
        <f t="shared" si="14"/>
        <v>0</v>
      </c>
      <c r="R140" s="815">
        <f>'Gebäude (02,03)'!G139</f>
        <v>1</v>
      </c>
      <c r="S140" s="832">
        <f t="shared" si="5"/>
        <v>0</v>
      </c>
      <c r="T140" s="820" t="str">
        <f t="shared" si="15"/>
        <v/>
      </c>
      <c r="U140" s="867">
        <f>IF(OR('Gebäude (02,03)'!B65&lt;&gt;"",'Gebäude (02,03)'!C65&lt;&gt;""),1,0)</f>
        <v>0</v>
      </c>
      <c r="V140" s="1328">
        <f t="shared" si="6"/>
        <v>0</v>
      </c>
      <c r="W140" s="867">
        <f t="shared" si="7"/>
        <v>0</v>
      </c>
      <c r="X140" s="887">
        <f t="shared" si="8"/>
        <v>0</v>
      </c>
      <c r="AA140" s="828">
        <v>29</v>
      </c>
      <c r="AB140" s="811">
        <f t="shared" si="16"/>
        <v>0</v>
      </c>
      <c r="AC140" s="868">
        <f t="shared" si="21"/>
        <v>0</v>
      </c>
      <c r="AD140" s="911">
        <f t="shared" si="18"/>
        <v>0</v>
      </c>
      <c r="AE140" s="887">
        <f t="shared" si="19"/>
        <v>0</v>
      </c>
      <c r="AF140" s="887">
        <f t="shared" si="9"/>
        <v>0</v>
      </c>
    </row>
    <row r="141" spans="1:32" s="483" customFormat="1" x14ac:dyDescent="0.3">
      <c r="A141" s="828">
        <v>30</v>
      </c>
      <c r="B141" s="815">
        <f>'Gebäude (02,03)'!G66</f>
        <v>0</v>
      </c>
      <c r="C141" s="815">
        <f>'Gebäude (02,03)'!F66</f>
        <v>0</v>
      </c>
      <c r="D141" s="859">
        <f>'Gebäude (02,03)'!H66</f>
        <v>1</v>
      </c>
      <c r="E141" s="832">
        <f t="shared" si="10"/>
        <v>0</v>
      </c>
      <c r="F141" s="1316">
        <f>'Gebäude (02,03)'!O66</f>
        <v>0</v>
      </c>
      <c r="G141" s="1314">
        <f>'Gebäude (02,03)'!P66</f>
        <v>0</v>
      </c>
      <c r="H141" s="911">
        <f t="shared" si="11"/>
        <v>0</v>
      </c>
      <c r="I141" s="867">
        <f t="shared" si="0"/>
        <v>1</v>
      </c>
      <c r="J141" s="832">
        <f t="shared" si="12"/>
        <v>0</v>
      </c>
      <c r="K141" s="865">
        <f t="shared" si="13"/>
        <v>0</v>
      </c>
      <c r="L141" s="910">
        <f t="shared" si="1"/>
        <v>0</v>
      </c>
      <c r="M141" s="868">
        <f t="shared" si="2"/>
        <v>0</v>
      </c>
      <c r="N141" s="911">
        <f t="shared" si="20"/>
        <v>0</v>
      </c>
      <c r="O141" s="867">
        <f t="shared" si="3"/>
        <v>0</v>
      </c>
      <c r="P141" s="832">
        <f t="shared" si="4"/>
        <v>0</v>
      </c>
      <c r="Q141" s="832">
        <f t="shared" si="14"/>
        <v>0</v>
      </c>
      <c r="R141" s="815">
        <f>'Gebäude (02,03)'!G140</f>
        <v>1</v>
      </c>
      <c r="S141" s="832">
        <f t="shared" si="5"/>
        <v>0</v>
      </c>
      <c r="T141" s="820" t="str">
        <f t="shared" si="15"/>
        <v/>
      </c>
      <c r="U141" s="867">
        <f>IF(OR('Gebäude (02,03)'!B66&lt;&gt;"",'Gebäude (02,03)'!C66&lt;&gt;""),1,0)</f>
        <v>0</v>
      </c>
      <c r="V141" s="1328">
        <f t="shared" si="6"/>
        <v>0</v>
      </c>
      <c r="W141" s="867">
        <f t="shared" si="7"/>
        <v>0</v>
      </c>
      <c r="X141" s="887">
        <f t="shared" si="8"/>
        <v>0</v>
      </c>
      <c r="AA141" s="828">
        <v>30</v>
      </c>
      <c r="AB141" s="811">
        <f t="shared" si="16"/>
        <v>0</v>
      </c>
      <c r="AC141" s="868">
        <f t="shared" si="21"/>
        <v>0</v>
      </c>
      <c r="AD141" s="911">
        <f t="shared" si="18"/>
        <v>0</v>
      </c>
      <c r="AE141" s="887">
        <f t="shared" si="19"/>
        <v>0</v>
      </c>
      <c r="AF141" s="887">
        <f t="shared" si="9"/>
        <v>0</v>
      </c>
    </row>
    <row r="142" spans="1:32" x14ac:dyDescent="0.3">
      <c r="A142" s="862"/>
      <c r="B142" s="872" t="s">
        <v>938</v>
      </c>
      <c r="C142" s="860">
        <f>SUM(C112:C141)</f>
        <v>1000</v>
      </c>
      <c r="D142" s="871" t="s">
        <v>357</v>
      </c>
      <c r="E142" s="820"/>
      <c r="F142" s="884"/>
      <c r="G142" s="1318"/>
      <c r="H142" s="1317"/>
      <c r="I142" s="869"/>
      <c r="J142" s="870"/>
      <c r="K142" s="871"/>
      <c r="L142" s="869"/>
      <c r="M142" s="870"/>
      <c r="N142" s="871"/>
      <c r="O142" s="884"/>
      <c r="P142" s="870"/>
      <c r="Q142" s="870"/>
      <c r="R142" s="870"/>
      <c r="S142" s="870"/>
      <c r="T142" s="870"/>
      <c r="U142" s="880" t="s">
        <v>1026</v>
      </c>
      <c r="V142" s="861">
        <f>SUM(V112:V141)</f>
        <v>200</v>
      </c>
      <c r="W142" s="867"/>
      <c r="X142" s="723">
        <f>SUM(X112:X141)</f>
        <v>0</v>
      </c>
      <c r="AA142" s="862"/>
      <c r="AB142" s="872" t="s">
        <v>938</v>
      </c>
      <c r="AC142" s="870"/>
      <c r="AD142" s="871"/>
      <c r="AE142" s="762">
        <f>SUM(AE112:AE141)</f>
        <v>280</v>
      </c>
      <c r="AF142" s="762">
        <f>SUM(AF112:AF141)</f>
        <v>0</v>
      </c>
    </row>
    <row r="143" spans="1:32" x14ac:dyDescent="0.3">
      <c r="A143" s="819"/>
      <c r="B143" s="820"/>
      <c r="C143" s="832"/>
      <c r="D143" s="820"/>
      <c r="E143" s="820"/>
      <c r="F143" s="832"/>
      <c r="G143" s="832"/>
      <c r="H143" s="832"/>
      <c r="I143" s="820"/>
      <c r="J143" s="820"/>
      <c r="K143" s="820"/>
      <c r="L143" s="820"/>
      <c r="M143" s="820"/>
      <c r="N143" s="820"/>
      <c r="O143" s="832"/>
      <c r="P143" s="820"/>
      <c r="Q143" s="820"/>
      <c r="R143" s="820"/>
      <c r="S143" s="820"/>
      <c r="T143" s="820"/>
      <c r="U143" s="869"/>
      <c r="V143" s="873" t="s">
        <v>71</v>
      </c>
      <c r="W143" s="869"/>
      <c r="X143" s="874" t="s">
        <v>71</v>
      </c>
      <c r="AA143" s="819"/>
      <c r="AB143" s="820"/>
      <c r="AC143" s="820"/>
      <c r="AD143" s="832"/>
      <c r="AE143" s="938" t="s">
        <v>71</v>
      </c>
      <c r="AF143" s="874" t="s">
        <v>71</v>
      </c>
    </row>
    <row r="144" spans="1:32" x14ac:dyDescent="0.3">
      <c r="A144" s="819"/>
      <c r="B144" s="875" t="s">
        <v>1089</v>
      </c>
      <c r="C144" s="876"/>
      <c r="D144" s="877"/>
      <c r="E144" s="1304" t="s">
        <v>1225</v>
      </c>
      <c r="F144" s="820"/>
      <c r="G144" s="820"/>
      <c r="H144" s="820"/>
      <c r="I144" s="832"/>
      <c r="J144" s="820"/>
      <c r="K144" s="820"/>
      <c r="L144" s="820"/>
      <c r="M144" s="820"/>
      <c r="N144" s="820"/>
      <c r="O144" s="820"/>
      <c r="P144" s="878"/>
      <c r="Q144" s="879"/>
      <c r="R144" s="820"/>
      <c r="S144" s="832"/>
      <c r="T144" s="820"/>
      <c r="U144" s="820"/>
      <c r="V144" s="820"/>
      <c r="W144" s="820"/>
      <c r="X144" s="825"/>
      <c r="AA144" s="819"/>
      <c r="AB144" s="875"/>
      <c r="AC144" s="820"/>
      <c r="AD144" s="832"/>
      <c r="AE144" s="887"/>
      <c r="AF144" s="825"/>
    </row>
    <row r="145" spans="1:42" x14ac:dyDescent="0.3">
      <c r="A145" s="819"/>
      <c r="B145" s="880"/>
      <c r="C145" s="820" t="s">
        <v>1247</v>
      </c>
      <c r="D145" s="865">
        <f>COUNTIF(D112:D141,14)</f>
        <v>0</v>
      </c>
      <c r="E145" s="1305" t="str">
        <f>IF(SUM(L112:L141)&gt;0,"ja","nein")</f>
        <v>nein</v>
      </c>
      <c r="F145" s="820"/>
      <c r="G145" s="820"/>
      <c r="H145" s="820"/>
      <c r="I145" s="832"/>
      <c r="J145" s="820"/>
      <c r="K145" s="820"/>
      <c r="L145" s="820"/>
      <c r="M145" s="820"/>
      <c r="N145" s="820"/>
      <c r="O145" s="820"/>
      <c r="P145" s="820"/>
      <c r="Q145" s="820"/>
      <c r="R145" s="820"/>
      <c r="S145" s="820"/>
      <c r="T145" s="820"/>
      <c r="U145" s="820"/>
      <c r="V145" s="820"/>
      <c r="W145" s="820"/>
      <c r="X145" s="825"/>
      <c r="AA145" s="819"/>
      <c r="AB145" s="880"/>
      <c r="AC145" s="820"/>
      <c r="AD145" s="832"/>
      <c r="AE145" s="825"/>
      <c r="AF145" s="825"/>
    </row>
    <row r="146" spans="1:42" ht="14.5" thickBot="1" x14ac:dyDescent="0.35">
      <c r="A146" s="821"/>
      <c r="B146" s="881"/>
      <c r="C146" s="822" t="s">
        <v>1248</v>
      </c>
      <c r="D146" s="882">
        <f>COUNTIF(D112:D141,15)</f>
        <v>0</v>
      </c>
      <c r="E146" s="1320"/>
      <c r="F146" s="822"/>
      <c r="G146" s="822"/>
      <c r="H146" s="822"/>
      <c r="I146" s="834"/>
      <c r="J146" s="822"/>
      <c r="K146" s="822"/>
      <c r="L146" s="822"/>
      <c r="M146" s="822"/>
      <c r="N146" s="822"/>
      <c r="O146" s="822"/>
      <c r="P146" s="822"/>
      <c r="Q146" s="822"/>
      <c r="R146" s="822"/>
      <c r="S146" s="822"/>
      <c r="T146" s="822"/>
      <c r="U146" s="822"/>
      <c r="V146" s="822"/>
      <c r="W146" s="822"/>
      <c r="X146" s="826"/>
      <c r="AA146" s="821"/>
      <c r="AB146" s="881"/>
      <c r="AC146" s="822"/>
      <c r="AD146" s="834"/>
      <c r="AE146" s="826"/>
      <c r="AF146" s="826"/>
    </row>
    <row r="147" spans="1:42" ht="14.5" thickBot="1" x14ac:dyDescent="0.35"/>
    <row r="148" spans="1:42" x14ac:dyDescent="0.3">
      <c r="A148" s="160" t="s">
        <v>999</v>
      </c>
      <c r="B148" s="823"/>
      <c r="C148" s="823"/>
      <c r="D148" s="823"/>
      <c r="E148" s="823"/>
      <c r="F148" s="823"/>
      <c r="G148" s="823"/>
      <c r="H148" s="823"/>
      <c r="I148" s="823"/>
      <c r="J148" s="823"/>
      <c r="K148" s="823"/>
      <c r="L148" s="823"/>
      <c r="M148" s="823"/>
      <c r="N148" s="823"/>
      <c r="O148" s="823"/>
      <c r="P148" s="824"/>
      <c r="AA148" s="160" t="s">
        <v>999</v>
      </c>
      <c r="AB148" s="823"/>
      <c r="AC148" s="823"/>
      <c r="AD148" s="823"/>
      <c r="AE148" s="823"/>
      <c r="AF148" s="823"/>
      <c r="AG148" s="823"/>
      <c r="AH148" s="823"/>
      <c r="AI148" s="823"/>
      <c r="AJ148" s="823"/>
      <c r="AK148" s="823"/>
      <c r="AL148" s="823"/>
      <c r="AM148" s="823"/>
      <c r="AN148" s="823"/>
      <c r="AO148" s="823"/>
      <c r="AP148" s="824"/>
    </row>
    <row r="149" spans="1:42" x14ac:dyDescent="0.3">
      <c r="A149" s="819"/>
      <c r="B149" s="832"/>
      <c r="C149" s="832"/>
      <c r="D149" s="832"/>
      <c r="E149" s="832" t="s">
        <v>972</v>
      </c>
      <c r="F149" s="832" t="s">
        <v>973</v>
      </c>
      <c r="G149" s="832" t="s">
        <v>974</v>
      </c>
      <c r="H149" s="832" t="s">
        <v>975</v>
      </c>
      <c r="I149" s="832" t="s">
        <v>960</v>
      </c>
      <c r="J149" s="832" t="s">
        <v>976</v>
      </c>
      <c r="K149" s="832" t="s">
        <v>977</v>
      </c>
      <c r="L149" s="832" t="s">
        <v>978</v>
      </c>
      <c r="M149" s="832" t="s">
        <v>979</v>
      </c>
      <c r="N149" s="832" t="s">
        <v>980</v>
      </c>
      <c r="O149" s="832" t="s">
        <v>981</v>
      </c>
      <c r="P149" s="857" t="s">
        <v>982</v>
      </c>
      <c r="AA149" s="819"/>
      <c r="AB149" s="832"/>
      <c r="AC149" s="832"/>
      <c r="AD149" s="832"/>
      <c r="AE149" s="832" t="s">
        <v>972</v>
      </c>
      <c r="AF149" s="832" t="s">
        <v>973</v>
      </c>
      <c r="AG149" s="832" t="s">
        <v>974</v>
      </c>
      <c r="AH149" s="832" t="s">
        <v>975</v>
      </c>
      <c r="AI149" s="832" t="s">
        <v>960</v>
      </c>
      <c r="AJ149" s="832" t="s">
        <v>976</v>
      </c>
      <c r="AK149" s="832" t="s">
        <v>977</v>
      </c>
      <c r="AL149" s="832" t="s">
        <v>978</v>
      </c>
      <c r="AM149" s="832" t="s">
        <v>979</v>
      </c>
      <c r="AN149" s="832" t="s">
        <v>980</v>
      </c>
      <c r="AO149" s="832" t="s">
        <v>981</v>
      </c>
      <c r="AP149" s="857" t="s">
        <v>982</v>
      </c>
    </row>
    <row r="150" spans="1:42" x14ac:dyDescent="0.3">
      <c r="A150" s="828" t="s">
        <v>1090</v>
      </c>
      <c r="B150" s="832" t="s">
        <v>983</v>
      </c>
      <c r="C150" s="832" t="s">
        <v>985</v>
      </c>
      <c r="D150" s="832" t="s">
        <v>984</v>
      </c>
      <c r="E150" s="832">
        <v>1</v>
      </c>
      <c r="F150" s="832">
        <v>2</v>
      </c>
      <c r="G150" s="832">
        <v>3</v>
      </c>
      <c r="H150" s="832">
        <v>4</v>
      </c>
      <c r="I150" s="832">
        <v>5</v>
      </c>
      <c r="J150" s="832">
        <v>6</v>
      </c>
      <c r="K150" s="832">
        <v>7</v>
      </c>
      <c r="L150" s="832">
        <v>8</v>
      </c>
      <c r="M150" s="832">
        <v>9</v>
      </c>
      <c r="N150" s="832">
        <v>10</v>
      </c>
      <c r="O150" s="832">
        <v>11</v>
      </c>
      <c r="P150" s="857">
        <v>12</v>
      </c>
      <c r="AA150" s="828" t="s">
        <v>1090</v>
      </c>
      <c r="AB150" s="832" t="s">
        <v>983</v>
      </c>
      <c r="AC150" s="832" t="s">
        <v>985</v>
      </c>
      <c r="AD150" s="832" t="s">
        <v>1209</v>
      </c>
      <c r="AE150" s="832">
        <v>1</v>
      </c>
      <c r="AF150" s="832">
        <v>2</v>
      </c>
      <c r="AG150" s="832">
        <v>3</v>
      </c>
      <c r="AH150" s="832">
        <v>4</v>
      </c>
      <c r="AI150" s="832">
        <v>5</v>
      </c>
      <c r="AJ150" s="832">
        <v>6</v>
      </c>
      <c r="AK150" s="832">
        <v>7</v>
      </c>
      <c r="AL150" s="832">
        <v>8</v>
      </c>
      <c r="AM150" s="832">
        <v>9</v>
      </c>
      <c r="AN150" s="832">
        <v>10</v>
      </c>
      <c r="AO150" s="832">
        <v>11</v>
      </c>
      <c r="AP150" s="857">
        <v>12</v>
      </c>
    </row>
    <row r="151" spans="1:42" x14ac:dyDescent="0.3">
      <c r="A151" s="828">
        <v>1</v>
      </c>
      <c r="B151" s="815">
        <f>'Gebäude (02,03)'!P111</f>
        <v>0.7</v>
      </c>
      <c r="C151" s="815">
        <f>'Gebäude (02,03)'!O111</f>
        <v>0.9</v>
      </c>
      <c r="D151" s="815">
        <f>'Gebäude (02,03)'!N111</f>
        <v>0</v>
      </c>
      <c r="E151" s="889">
        <f>IF($T112="",0,$C112*$B151*$C151*1*0.9*$D151*$P112*VLOOKUP($T112,$B$68:$N$100,E$150+1,FALSE))</f>
        <v>0</v>
      </c>
      <c r="F151" s="890">
        <f t="shared" ref="F151:P151" si="22">IF($T112="",0,$C112*$B151*$C151*1*0.9*$D151*$P112*VLOOKUP($T112,$B$68:$N$100,F$150+1,FALSE))</f>
        <v>0</v>
      </c>
      <c r="G151" s="890">
        <f t="shared" si="22"/>
        <v>0</v>
      </c>
      <c r="H151" s="890">
        <f t="shared" si="22"/>
        <v>0</v>
      </c>
      <c r="I151" s="890">
        <f t="shared" si="22"/>
        <v>0</v>
      </c>
      <c r="J151" s="890">
        <f t="shared" si="22"/>
        <v>0</v>
      </c>
      <c r="K151" s="890">
        <f t="shared" si="22"/>
        <v>0</v>
      </c>
      <c r="L151" s="890">
        <f t="shared" si="22"/>
        <v>0</v>
      </c>
      <c r="M151" s="890">
        <f t="shared" si="22"/>
        <v>0</v>
      </c>
      <c r="N151" s="890">
        <f t="shared" si="22"/>
        <v>0</v>
      </c>
      <c r="O151" s="890">
        <f t="shared" si="22"/>
        <v>0</v>
      </c>
      <c r="P151" s="891">
        <f t="shared" si="22"/>
        <v>0</v>
      </c>
      <c r="AA151" s="828">
        <v>1</v>
      </c>
      <c r="AB151" s="832">
        <f>B151</f>
        <v>0.7</v>
      </c>
      <c r="AC151" s="832">
        <f>C151</f>
        <v>0.9</v>
      </c>
      <c r="AD151" s="811">
        <f>INDEX($H$20:$H$46,D112)</f>
        <v>0</v>
      </c>
      <c r="AE151" s="889">
        <f t="shared" ref="AE151:AP151" si="23">IF($T112="",0,$C112*$AB151*$AC151*1*0.9*$AD151*$P112*VLOOKUP($T112,$B$68:$N$100,AE$150+1,FALSE))</f>
        <v>0</v>
      </c>
      <c r="AF151" s="890">
        <f t="shared" si="23"/>
        <v>0</v>
      </c>
      <c r="AG151" s="890">
        <f t="shared" si="23"/>
        <v>0</v>
      </c>
      <c r="AH151" s="890">
        <f t="shared" si="23"/>
        <v>0</v>
      </c>
      <c r="AI151" s="890">
        <f t="shared" si="23"/>
        <v>0</v>
      </c>
      <c r="AJ151" s="890">
        <f t="shared" si="23"/>
        <v>0</v>
      </c>
      <c r="AK151" s="890">
        <f t="shared" si="23"/>
        <v>0</v>
      </c>
      <c r="AL151" s="890">
        <f t="shared" si="23"/>
        <v>0</v>
      </c>
      <c r="AM151" s="890">
        <f t="shared" si="23"/>
        <v>0</v>
      </c>
      <c r="AN151" s="890">
        <f t="shared" si="23"/>
        <v>0</v>
      </c>
      <c r="AO151" s="890">
        <f t="shared" si="23"/>
        <v>0</v>
      </c>
      <c r="AP151" s="891">
        <f t="shared" si="23"/>
        <v>0</v>
      </c>
    </row>
    <row r="152" spans="1:42" x14ac:dyDescent="0.3">
      <c r="A152" s="828">
        <v>2</v>
      </c>
      <c r="B152" s="815">
        <f>'Gebäude (02,03)'!P112</f>
        <v>0.7</v>
      </c>
      <c r="C152" s="815">
        <f>'Gebäude (02,03)'!O112</f>
        <v>0.9</v>
      </c>
      <c r="D152" s="815">
        <f>'Gebäude (02,03)'!N112</f>
        <v>0</v>
      </c>
      <c r="E152" s="892">
        <f>IF($T113="",0,$C113*$B152*$C152*1*0.9*$D152*$P113*VLOOKUP($T113,$B$68:$N$100,E$150+1,FALSE))</f>
        <v>0</v>
      </c>
      <c r="F152" s="893">
        <f t="shared" ref="F152:P152" si="24">IF($T113="",0,$C113*$B152*$C152*1*0.9*$D152*$P113*VLOOKUP($T113,$B$68:$N$100,F$150+1,FALSE))</f>
        <v>0</v>
      </c>
      <c r="G152" s="893">
        <f t="shared" si="24"/>
        <v>0</v>
      </c>
      <c r="H152" s="893">
        <f t="shared" si="24"/>
        <v>0</v>
      </c>
      <c r="I152" s="893">
        <f t="shared" si="24"/>
        <v>0</v>
      </c>
      <c r="J152" s="893">
        <f t="shared" si="24"/>
        <v>0</v>
      </c>
      <c r="K152" s="893">
        <f t="shared" si="24"/>
        <v>0</v>
      </c>
      <c r="L152" s="893">
        <f t="shared" si="24"/>
        <v>0</v>
      </c>
      <c r="M152" s="893">
        <f t="shared" si="24"/>
        <v>0</v>
      </c>
      <c r="N152" s="893">
        <f t="shared" si="24"/>
        <v>0</v>
      </c>
      <c r="O152" s="893">
        <f t="shared" si="24"/>
        <v>0</v>
      </c>
      <c r="P152" s="894">
        <f t="shared" si="24"/>
        <v>0</v>
      </c>
      <c r="AA152" s="828">
        <v>2</v>
      </c>
      <c r="AB152" s="832">
        <f t="shared" ref="AB152:AB180" si="25">B152</f>
        <v>0.7</v>
      </c>
      <c r="AC152" s="832">
        <f t="shared" ref="AC152:AC180" si="26">C152</f>
        <v>0.9</v>
      </c>
      <c r="AD152" s="811">
        <f t="shared" ref="AD152:AD180" si="27">INDEX($H$20:$H$46,D113)</f>
        <v>0</v>
      </c>
      <c r="AE152" s="892">
        <f t="shared" ref="AE152:AP152" si="28">IF($T113="",0,$C113*$AB152*$AC152*1*0.9*$AD152*$P113*VLOOKUP($T113,$B$68:$N$100,AE$150+1,FALSE))</f>
        <v>0</v>
      </c>
      <c r="AF152" s="893">
        <f t="shared" si="28"/>
        <v>0</v>
      </c>
      <c r="AG152" s="893">
        <f t="shared" si="28"/>
        <v>0</v>
      </c>
      <c r="AH152" s="893">
        <f t="shared" si="28"/>
        <v>0</v>
      </c>
      <c r="AI152" s="893">
        <f t="shared" si="28"/>
        <v>0</v>
      </c>
      <c r="AJ152" s="893">
        <f t="shared" si="28"/>
        <v>0</v>
      </c>
      <c r="AK152" s="893">
        <f t="shared" si="28"/>
        <v>0</v>
      </c>
      <c r="AL152" s="893">
        <f t="shared" si="28"/>
        <v>0</v>
      </c>
      <c r="AM152" s="893">
        <f t="shared" si="28"/>
        <v>0</v>
      </c>
      <c r="AN152" s="893">
        <f t="shared" si="28"/>
        <v>0</v>
      </c>
      <c r="AO152" s="893">
        <f t="shared" si="28"/>
        <v>0</v>
      </c>
      <c r="AP152" s="894">
        <f t="shared" si="28"/>
        <v>0</v>
      </c>
    </row>
    <row r="153" spans="1:42" x14ac:dyDescent="0.3">
      <c r="A153" s="828">
        <v>3</v>
      </c>
      <c r="B153" s="815">
        <f>'Gebäude (02,03)'!P113</f>
        <v>0.7</v>
      </c>
      <c r="C153" s="815">
        <f>'Gebäude (02,03)'!O113</f>
        <v>0.9</v>
      </c>
      <c r="D153" s="815">
        <f>'Gebäude (02,03)'!N113</f>
        <v>0</v>
      </c>
      <c r="E153" s="892">
        <f t="shared" ref="E153:P153" si="29">IF($T114="",0,$C114*$B153*$C153*1*0.9*$D153*$P114*VLOOKUP($T114,$B$68:$N$100,E$150+1,FALSE))</f>
        <v>0</v>
      </c>
      <c r="F153" s="893">
        <f t="shared" si="29"/>
        <v>0</v>
      </c>
      <c r="G153" s="893">
        <f t="shared" si="29"/>
        <v>0</v>
      </c>
      <c r="H153" s="893">
        <f t="shared" si="29"/>
        <v>0</v>
      </c>
      <c r="I153" s="893">
        <f t="shared" si="29"/>
        <v>0</v>
      </c>
      <c r="J153" s="893">
        <f t="shared" si="29"/>
        <v>0</v>
      </c>
      <c r="K153" s="893">
        <f t="shared" si="29"/>
        <v>0</v>
      </c>
      <c r="L153" s="893">
        <f t="shared" si="29"/>
        <v>0</v>
      </c>
      <c r="M153" s="893">
        <f t="shared" si="29"/>
        <v>0</v>
      </c>
      <c r="N153" s="893">
        <f t="shared" si="29"/>
        <v>0</v>
      </c>
      <c r="O153" s="893">
        <f t="shared" si="29"/>
        <v>0</v>
      </c>
      <c r="P153" s="894">
        <f t="shared" si="29"/>
        <v>0</v>
      </c>
      <c r="AA153" s="828">
        <v>3</v>
      </c>
      <c r="AB153" s="832">
        <f t="shared" si="25"/>
        <v>0.7</v>
      </c>
      <c r="AC153" s="832">
        <f t="shared" si="26"/>
        <v>0.9</v>
      </c>
      <c r="AD153" s="811">
        <f t="shared" si="27"/>
        <v>0</v>
      </c>
      <c r="AE153" s="892">
        <f t="shared" ref="AE153:AP153" si="30">IF($T114="",0,$C114*$AB153*$AC153*1*0.9*$AD153*$P114*VLOOKUP($T114,$B$68:$N$100,AE$150+1,FALSE))</f>
        <v>0</v>
      </c>
      <c r="AF153" s="893">
        <f t="shared" si="30"/>
        <v>0</v>
      </c>
      <c r="AG153" s="893">
        <f t="shared" si="30"/>
        <v>0</v>
      </c>
      <c r="AH153" s="893">
        <f t="shared" si="30"/>
        <v>0</v>
      </c>
      <c r="AI153" s="893">
        <f t="shared" si="30"/>
        <v>0</v>
      </c>
      <c r="AJ153" s="893">
        <f t="shared" si="30"/>
        <v>0</v>
      </c>
      <c r="AK153" s="893">
        <f t="shared" si="30"/>
        <v>0</v>
      </c>
      <c r="AL153" s="893">
        <f t="shared" si="30"/>
        <v>0</v>
      </c>
      <c r="AM153" s="893">
        <f t="shared" si="30"/>
        <v>0</v>
      </c>
      <c r="AN153" s="893">
        <f t="shared" si="30"/>
        <v>0</v>
      </c>
      <c r="AO153" s="893">
        <f t="shared" si="30"/>
        <v>0</v>
      </c>
      <c r="AP153" s="894">
        <f t="shared" si="30"/>
        <v>0</v>
      </c>
    </row>
    <row r="154" spans="1:42" x14ac:dyDescent="0.3">
      <c r="A154" s="828">
        <v>4</v>
      </c>
      <c r="B154" s="815">
        <f>'Gebäude (02,03)'!P114</f>
        <v>0.7</v>
      </c>
      <c r="C154" s="815">
        <f>'Gebäude (02,03)'!O114</f>
        <v>0.9</v>
      </c>
      <c r="D154" s="815">
        <f>'Gebäude (02,03)'!N114</f>
        <v>0</v>
      </c>
      <c r="E154" s="892">
        <f t="shared" ref="E154:P154" si="31">IF($T115="",0,$C115*$B154*$C154*1*0.9*$D154*$P115*VLOOKUP($T115,$B$68:$N$100,E$150+1,FALSE))</f>
        <v>0</v>
      </c>
      <c r="F154" s="893">
        <f t="shared" si="31"/>
        <v>0</v>
      </c>
      <c r="G154" s="893">
        <f t="shared" si="31"/>
        <v>0</v>
      </c>
      <c r="H154" s="893">
        <f t="shared" si="31"/>
        <v>0</v>
      </c>
      <c r="I154" s="893">
        <f t="shared" si="31"/>
        <v>0</v>
      </c>
      <c r="J154" s="893">
        <f t="shared" si="31"/>
        <v>0</v>
      </c>
      <c r="K154" s="893">
        <f t="shared" si="31"/>
        <v>0</v>
      </c>
      <c r="L154" s="893">
        <f t="shared" si="31"/>
        <v>0</v>
      </c>
      <c r="M154" s="893">
        <f t="shared" si="31"/>
        <v>0</v>
      </c>
      <c r="N154" s="893">
        <f t="shared" si="31"/>
        <v>0</v>
      </c>
      <c r="O154" s="893">
        <f t="shared" si="31"/>
        <v>0</v>
      </c>
      <c r="P154" s="894">
        <f t="shared" si="31"/>
        <v>0</v>
      </c>
      <c r="AA154" s="828">
        <v>4</v>
      </c>
      <c r="AB154" s="832">
        <f t="shared" si="25"/>
        <v>0.7</v>
      </c>
      <c r="AC154" s="832">
        <f t="shared" si="26"/>
        <v>0.9</v>
      </c>
      <c r="AD154" s="811">
        <f t="shared" si="27"/>
        <v>0</v>
      </c>
      <c r="AE154" s="892">
        <f t="shared" ref="AE154:AP154" si="32">IF($T115="",0,$C115*$AB154*$AC154*1*0.9*$AD154*$P115*VLOOKUP($T115,$B$68:$N$100,AE$150+1,FALSE))</f>
        <v>0</v>
      </c>
      <c r="AF154" s="893">
        <f t="shared" si="32"/>
        <v>0</v>
      </c>
      <c r="AG154" s="893">
        <f t="shared" si="32"/>
        <v>0</v>
      </c>
      <c r="AH154" s="893">
        <f t="shared" si="32"/>
        <v>0</v>
      </c>
      <c r="AI154" s="893">
        <f t="shared" si="32"/>
        <v>0</v>
      </c>
      <c r="AJ154" s="893">
        <f t="shared" si="32"/>
        <v>0</v>
      </c>
      <c r="AK154" s="893">
        <f t="shared" si="32"/>
        <v>0</v>
      </c>
      <c r="AL154" s="893">
        <f t="shared" si="32"/>
        <v>0</v>
      </c>
      <c r="AM154" s="893">
        <f t="shared" si="32"/>
        <v>0</v>
      </c>
      <c r="AN154" s="893">
        <f t="shared" si="32"/>
        <v>0</v>
      </c>
      <c r="AO154" s="893">
        <f t="shared" si="32"/>
        <v>0</v>
      </c>
      <c r="AP154" s="894">
        <f t="shared" si="32"/>
        <v>0</v>
      </c>
    </row>
    <row r="155" spans="1:42" x14ac:dyDescent="0.3">
      <c r="A155" s="828">
        <v>5</v>
      </c>
      <c r="B155" s="815">
        <f>'Gebäude (02,03)'!P115</f>
        <v>0.7</v>
      </c>
      <c r="C155" s="815">
        <f>'Gebäude (02,03)'!O115</f>
        <v>0.9</v>
      </c>
      <c r="D155" s="815">
        <f>'Gebäude (02,03)'!N115</f>
        <v>0</v>
      </c>
      <c r="E155" s="892">
        <f t="shared" ref="E155:P155" si="33">IF($T116="",0,$C116*$B155*$C155*1*0.9*$D155*$P116*VLOOKUP($T116,$B$68:$N$100,E$150+1,FALSE))</f>
        <v>0</v>
      </c>
      <c r="F155" s="893">
        <f t="shared" si="33"/>
        <v>0</v>
      </c>
      <c r="G155" s="893">
        <f t="shared" si="33"/>
        <v>0</v>
      </c>
      <c r="H155" s="893">
        <f t="shared" si="33"/>
        <v>0</v>
      </c>
      <c r="I155" s="893">
        <f t="shared" si="33"/>
        <v>0</v>
      </c>
      <c r="J155" s="893">
        <f t="shared" si="33"/>
        <v>0</v>
      </c>
      <c r="K155" s="893">
        <f t="shared" si="33"/>
        <v>0</v>
      </c>
      <c r="L155" s="893">
        <f t="shared" si="33"/>
        <v>0</v>
      </c>
      <c r="M155" s="893">
        <f t="shared" si="33"/>
        <v>0</v>
      </c>
      <c r="N155" s="893">
        <f t="shared" si="33"/>
        <v>0</v>
      </c>
      <c r="O155" s="893">
        <f t="shared" si="33"/>
        <v>0</v>
      </c>
      <c r="P155" s="894">
        <f t="shared" si="33"/>
        <v>0</v>
      </c>
      <c r="AA155" s="828">
        <v>5</v>
      </c>
      <c r="AB155" s="832">
        <f t="shared" si="25"/>
        <v>0.7</v>
      </c>
      <c r="AC155" s="832">
        <f t="shared" si="26"/>
        <v>0.9</v>
      </c>
      <c r="AD155" s="811">
        <f t="shared" si="27"/>
        <v>0</v>
      </c>
      <c r="AE155" s="892">
        <f t="shared" ref="AE155:AP155" si="34">IF($T116="",0,$C116*$AB155*$AC155*1*0.9*$AD155*$P116*VLOOKUP($T116,$B$68:$N$100,AE$150+1,FALSE))</f>
        <v>0</v>
      </c>
      <c r="AF155" s="893">
        <f t="shared" si="34"/>
        <v>0</v>
      </c>
      <c r="AG155" s="893">
        <f t="shared" si="34"/>
        <v>0</v>
      </c>
      <c r="AH155" s="893">
        <f t="shared" si="34"/>
        <v>0</v>
      </c>
      <c r="AI155" s="893">
        <f t="shared" si="34"/>
        <v>0</v>
      </c>
      <c r="AJ155" s="893">
        <f t="shared" si="34"/>
        <v>0</v>
      </c>
      <c r="AK155" s="893">
        <f t="shared" si="34"/>
        <v>0</v>
      </c>
      <c r="AL155" s="893">
        <f t="shared" si="34"/>
        <v>0</v>
      </c>
      <c r="AM155" s="893">
        <f t="shared" si="34"/>
        <v>0</v>
      </c>
      <c r="AN155" s="893">
        <f t="shared" si="34"/>
        <v>0</v>
      </c>
      <c r="AO155" s="893">
        <f t="shared" si="34"/>
        <v>0</v>
      </c>
      <c r="AP155" s="894">
        <f t="shared" si="34"/>
        <v>0</v>
      </c>
    </row>
    <row r="156" spans="1:42" x14ac:dyDescent="0.3">
      <c r="A156" s="828">
        <v>6</v>
      </c>
      <c r="B156" s="815">
        <f>'Gebäude (02,03)'!P116</f>
        <v>0.7</v>
      </c>
      <c r="C156" s="815">
        <f>'Gebäude (02,03)'!O116</f>
        <v>0.9</v>
      </c>
      <c r="D156" s="815">
        <f>'Gebäude (02,03)'!N116</f>
        <v>0</v>
      </c>
      <c r="E156" s="892">
        <f t="shared" ref="E156:P156" si="35">IF($T117="",0,$C117*$B156*$C156*1*0.9*$D156*$P117*VLOOKUP($T117,$B$68:$N$100,E$150+1,FALSE))</f>
        <v>0</v>
      </c>
      <c r="F156" s="893">
        <f t="shared" si="35"/>
        <v>0</v>
      </c>
      <c r="G156" s="893">
        <f t="shared" si="35"/>
        <v>0</v>
      </c>
      <c r="H156" s="893">
        <f t="shared" si="35"/>
        <v>0</v>
      </c>
      <c r="I156" s="893">
        <f t="shared" si="35"/>
        <v>0</v>
      </c>
      <c r="J156" s="893">
        <f t="shared" si="35"/>
        <v>0</v>
      </c>
      <c r="K156" s="893">
        <f t="shared" si="35"/>
        <v>0</v>
      </c>
      <c r="L156" s="893">
        <f t="shared" si="35"/>
        <v>0</v>
      </c>
      <c r="M156" s="893">
        <f t="shared" si="35"/>
        <v>0</v>
      </c>
      <c r="N156" s="893">
        <f t="shared" si="35"/>
        <v>0</v>
      </c>
      <c r="O156" s="893">
        <f t="shared" si="35"/>
        <v>0</v>
      </c>
      <c r="P156" s="894">
        <f t="shared" si="35"/>
        <v>0</v>
      </c>
      <c r="AA156" s="828">
        <v>6</v>
      </c>
      <c r="AB156" s="832">
        <f t="shared" si="25"/>
        <v>0.7</v>
      </c>
      <c r="AC156" s="832">
        <f t="shared" si="26"/>
        <v>0.9</v>
      </c>
      <c r="AD156" s="811">
        <f t="shared" si="27"/>
        <v>0</v>
      </c>
      <c r="AE156" s="892">
        <f t="shared" ref="AE156:AP156" si="36">IF($T117="",0,$C117*$AB156*$AC156*1*0.9*$AD156*$P117*VLOOKUP($T117,$B$68:$N$100,AE$150+1,FALSE))</f>
        <v>0</v>
      </c>
      <c r="AF156" s="893">
        <f t="shared" si="36"/>
        <v>0</v>
      </c>
      <c r="AG156" s="893">
        <f t="shared" si="36"/>
        <v>0</v>
      </c>
      <c r="AH156" s="893">
        <f t="shared" si="36"/>
        <v>0</v>
      </c>
      <c r="AI156" s="893">
        <f t="shared" si="36"/>
        <v>0</v>
      </c>
      <c r="AJ156" s="893">
        <f t="shared" si="36"/>
        <v>0</v>
      </c>
      <c r="AK156" s="893">
        <f t="shared" si="36"/>
        <v>0</v>
      </c>
      <c r="AL156" s="893">
        <f t="shared" si="36"/>
        <v>0</v>
      </c>
      <c r="AM156" s="893">
        <f t="shared" si="36"/>
        <v>0</v>
      </c>
      <c r="AN156" s="893">
        <f t="shared" si="36"/>
        <v>0</v>
      </c>
      <c r="AO156" s="893">
        <f t="shared" si="36"/>
        <v>0</v>
      </c>
      <c r="AP156" s="894">
        <f t="shared" si="36"/>
        <v>0</v>
      </c>
    </row>
    <row r="157" spans="1:42" x14ac:dyDescent="0.3">
      <c r="A157" s="828">
        <v>7</v>
      </c>
      <c r="B157" s="815">
        <f>'Gebäude (02,03)'!P117</f>
        <v>0.7</v>
      </c>
      <c r="C157" s="815">
        <f>'Gebäude (02,03)'!O117</f>
        <v>0.9</v>
      </c>
      <c r="D157" s="815">
        <f>'Gebäude (02,03)'!N117</f>
        <v>0</v>
      </c>
      <c r="E157" s="892">
        <f t="shared" ref="E157:P157" si="37">IF($T118="",0,$C118*$B157*$C157*1*0.9*$D157*$P118*VLOOKUP($T118,$B$68:$N$100,E$150+1,FALSE))</f>
        <v>0</v>
      </c>
      <c r="F157" s="893">
        <f t="shared" si="37"/>
        <v>0</v>
      </c>
      <c r="G157" s="893">
        <f t="shared" si="37"/>
        <v>0</v>
      </c>
      <c r="H157" s="893">
        <f t="shared" si="37"/>
        <v>0</v>
      </c>
      <c r="I157" s="893">
        <f t="shared" si="37"/>
        <v>0</v>
      </c>
      <c r="J157" s="893">
        <f t="shared" si="37"/>
        <v>0</v>
      </c>
      <c r="K157" s="893">
        <f t="shared" si="37"/>
        <v>0</v>
      </c>
      <c r="L157" s="893">
        <f t="shared" si="37"/>
        <v>0</v>
      </c>
      <c r="M157" s="893">
        <f t="shared" si="37"/>
        <v>0</v>
      </c>
      <c r="N157" s="893">
        <f t="shared" si="37"/>
        <v>0</v>
      </c>
      <c r="O157" s="893">
        <f t="shared" si="37"/>
        <v>0</v>
      </c>
      <c r="P157" s="894">
        <f t="shared" si="37"/>
        <v>0</v>
      </c>
      <c r="AA157" s="828">
        <v>7</v>
      </c>
      <c r="AB157" s="832">
        <f t="shared" si="25"/>
        <v>0.7</v>
      </c>
      <c r="AC157" s="832">
        <f t="shared" si="26"/>
        <v>0.9</v>
      </c>
      <c r="AD157" s="811">
        <f t="shared" si="27"/>
        <v>0</v>
      </c>
      <c r="AE157" s="892">
        <f t="shared" ref="AE157:AP157" si="38">IF($T118="",0,$C118*$AB157*$AC157*1*0.9*$AD157*$P118*VLOOKUP($T118,$B$68:$N$100,AE$150+1,FALSE))</f>
        <v>0</v>
      </c>
      <c r="AF157" s="893">
        <f t="shared" si="38"/>
        <v>0</v>
      </c>
      <c r="AG157" s="893">
        <f t="shared" si="38"/>
        <v>0</v>
      </c>
      <c r="AH157" s="893">
        <f t="shared" si="38"/>
        <v>0</v>
      </c>
      <c r="AI157" s="893">
        <f t="shared" si="38"/>
        <v>0</v>
      </c>
      <c r="AJ157" s="893">
        <f t="shared" si="38"/>
        <v>0</v>
      </c>
      <c r="AK157" s="893">
        <f t="shared" si="38"/>
        <v>0</v>
      </c>
      <c r="AL157" s="893">
        <f t="shared" si="38"/>
        <v>0</v>
      </c>
      <c r="AM157" s="893">
        <f t="shared" si="38"/>
        <v>0</v>
      </c>
      <c r="AN157" s="893">
        <f t="shared" si="38"/>
        <v>0</v>
      </c>
      <c r="AO157" s="893">
        <f t="shared" si="38"/>
        <v>0</v>
      </c>
      <c r="AP157" s="894">
        <f t="shared" si="38"/>
        <v>0</v>
      </c>
    </row>
    <row r="158" spans="1:42" x14ac:dyDescent="0.3">
      <c r="A158" s="828">
        <v>8</v>
      </c>
      <c r="B158" s="815">
        <f>'Gebäude (02,03)'!P118</f>
        <v>0.7</v>
      </c>
      <c r="C158" s="815">
        <f>'Gebäude (02,03)'!O118</f>
        <v>0.9</v>
      </c>
      <c r="D158" s="815">
        <f>'Gebäude (02,03)'!N118</f>
        <v>0</v>
      </c>
      <c r="E158" s="892">
        <f t="shared" ref="E158:P158" si="39">IF($T119="",0,$C119*$B158*$C158*1*0.9*$D158*$P119*VLOOKUP($T119,$B$68:$N$100,E$150+1,FALSE))</f>
        <v>0</v>
      </c>
      <c r="F158" s="893">
        <f t="shared" si="39"/>
        <v>0</v>
      </c>
      <c r="G158" s="893">
        <f t="shared" si="39"/>
        <v>0</v>
      </c>
      <c r="H158" s="893">
        <f t="shared" si="39"/>
        <v>0</v>
      </c>
      <c r="I158" s="893">
        <f t="shared" si="39"/>
        <v>0</v>
      </c>
      <c r="J158" s="893">
        <f t="shared" si="39"/>
        <v>0</v>
      </c>
      <c r="K158" s="893">
        <f t="shared" si="39"/>
        <v>0</v>
      </c>
      <c r="L158" s="893">
        <f t="shared" si="39"/>
        <v>0</v>
      </c>
      <c r="M158" s="893">
        <f t="shared" si="39"/>
        <v>0</v>
      </c>
      <c r="N158" s="893">
        <f t="shared" si="39"/>
        <v>0</v>
      </c>
      <c r="O158" s="893">
        <f t="shared" si="39"/>
        <v>0</v>
      </c>
      <c r="P158" s="894">
        <f t="shared" si="39"/>
        <v>0</v>
      </c>
      <c r="AA158" s="828">
        <v>8</v>
      </c>
      <c r="AB158" s="832">
        <f t="shared" si="25"/>
        <v>0.7</v>
      </c>
      <c r="AC158" s="832">
        <f t="shared" si="26"/>
        <v>0.9</v>
      </c>
      <c r="AD158" s="811">
        <f t="shared" si="27"/>
        <v>0</v>
      </c>
      <c r="AE158" s="892">
        <f t="shared" ref="AE158:AP158" si="40">IF($T119="",0,$C119*$AB158*$AC158*1*0.9*$AD158*$P119*VLOOKUP($T119,$B$68:$N$100,AE$150+1,FALSE))</f>
        <v>0</v>
      </c>
      <c r="AF158" s="893">
        <f t="shared" si="40"/>
        <v>0</v>
      </c>
      <c r="AG158" s="893">
        <f t="shared" si="40"/>
        <v>0</v>
      </c>
      <c r="AH158" s="893">
        <f t="shared" si="40"/>
        <v>0</v>
      </c>
      <c r="AI158" s="893">
        <f t="shared" si="40"/>
        <v>0</v>
      </c>
      <c r="AJ158" s="893">
        <f t="shared" si="40"/>
        <v>0</v>
      </c>
      <c r="AK158" s="893">
        <f t="shared" si="40"/>
        <v>0</v>
      </c>
      <c r="AL158" s="893">
        <f t="shared" si="40"/>
        <v>0</v>
      </c>
      <c r="AM158" s="893">
        <f t="shared" si="40"/>
        <v>0</v>
      </c>
      <c r="AN158" s="893">
        <f t="shared" si="40"/>
        <v>0</v>
      </c>
      <c r="AO158" s="893">
        <f t="shared" si="40"/>
        <v>0</v>
      </c>
      <c r="AP158" s="894">
        <f t="shared" si="40"/>
        <v>0</v>
      </c>
    </row>
    <row r="159" spans="1:42" x14ac:dyDescent="0.3">
      <c r="A159" s="828">
        <v>9</v>
      </c>
      <c r="B159" s="815">
        <f>'Gebäude (02,03)'!P119</f>
        <v>0.7</v>
      </c>
      <c r="C159" s="815">
        <f>'Gebäude (02,03)'!O119</f>
        <v>0.9</v>
      </c>
      <c r="D159" s="815">
        <f>'Gebäude (02,03)'!N119</f>
        <v>0</v>
      </c>
      <c r="E159" s="892">
        <f t="shared" ref="E159:P159" si="41">IF($T120="",0,$C120*$B159*$C159*1*0.9*$D159*$P120*VLOOKUP($T120,$B$68:$N$100,E$150+1,FALSE))</f>
        <v>0</v>
      </c>
      <c r="F159" s="893">
        <f t="shared" si="41"/>
        <v>0</v>
      </c>
      <c r="G159" s="893">
        <f t="shared" si="41"/>
        <v>0</v>
      </c>
      <c r="H159" s="893">
        <f t="shared" si="41"/>
        <v>0</v>
      </c>
      <c r="I159" s="893">
        <f t="shared" si="41"/>
        <v>0</v>
      </c>
      <c r="J159" s="893">
        <f t="shared" si="41"/>
        <v>0</v>
      </c>
      <c r="K159" s="893">
        <f t="shared" si="41"/>
        <v>0</v>
      </c>
      <c r="L159" s="893">
        <f t="shared" si="41"/>
        <v>0</v>
      </c>
      <c r="M159" s="893">
        <f t="shared" si="41"/>
        <v>0</v>
      </c>
      <c r="N159" s="893">
        <f t="shared" si="41"/>
        <v>0</v>
      </c>
      <c r="O159" s="893">
        <f t="shared" si="41"/>
        <v>0</v>
      </c>
      <c r="P159" s="894">
        <f t="shared" si="41"/>
        <v>0</v>
      </c>
      <c r="AA159" s="828">
        <v>9</v>
      </c>
      <c r="AB159" s="832">
        <f t="shared" si="25"/>
        <v>0.7</v>
      </c>
      <c r="AC159" s="832">
        <f t="shared" si="26"/>
        <v>0.9</v>
      </c>
      <c r="AD159" s="811">
        <f t="shared" si="27"/>
        <v>0</v>
      </c>
      <c r="AE159" s="892">
        <f t="shared" ref="AE159:AP159" si="42">IF($T120="",0,$C120*$AB159*$AC159*1*0.9*$AD159*$P120*VLOOKUP($T120,$B$68:$N$100,AE$150+1,FALSE))</f>
        <v>0</v>
      </c>
      <c r="AF159" s="893">
        <f t="shared" si="42"/>
        <v>0</v>
      </c>
      <c r="AG159" s="893">
        <f t="shared" si="42"/>
        <v>0</v>
      </c>
      <c r="AH159" s="893">
        <f t="shared" si="42"/>
        <v>0</v>
      </c>
      <c r="AI159" s="893">
        <f t="shared" si="42"/>
        <v>0</v>
      </c>
      <c r="AJ159" s="893">
        <f t="shared" si="42"/>
        <v>0</v>
      </c>
      <c r="AK159" s="893">
        <f t="shared" si="42"/>
        <v>0</v>
      </c>
      <c r="AL159" s="893">
        <f t="shared" si="42"/>
        <v>0</v>
      </c>
      <c r="AM159" s="893">
        <f t="shared" si="42"/>
        <v>0</v>
      </c>
      <c r="AN159" s="893">
        <f t="shared" si="42"/>
        <v>0</v>
      </c>
      <c r="AO159" s="893">
        <f t="shared" si="42"/>
        <v>0</v>
      </c>
      <c r="AP159" s="894">
        <f t="shared" si="42"/>
        <v>0</v>
      </c>
    </row>
    <row r="160" spans="1:42" x14ac:dyDescent="0.3">
      <c r="A160" s="828">
        <v>10</v>
      </c>
      <c r="B160" s="815">
        <f>'Gebäude (02,03)'!P120</f>
        <v>0.7</v>
      </c>
      <c r="C160" s="815">
        <f>'Gebäude (02,03)'!O120</f>
        <v>0.9</v>
      </c>
      <c r="D160" s="815">
        <f>'Gebäude (02,03)'!N120</f>
        <v>0</v>
      </c>
      <c r="E160" s="892">
        <f t="shared" ref="E160:P160" si="43">IF($T121="",0,$C121*$B160*$C160*1*0.9*$D160*$P121*VLOOKUP($T121,$B$68:$N$100,E$150+1,FALSE))</f>
        <v>0</v>
      </c>
      <c r="F160" s="893">
        <f t="shared" si="43"/>
        <v>0</v>
      </c>
      <c r="G160" s="893">
        <f t="shared" si="43"/>
        <v>0</v>
      </c>
      <c r="H160" s="893">
        <f t="shared" si="43"/>
        <v>0</v>
      </c>
      <c r="I160" s="893">
        <f t="shared" si="43"/>
        <v>0</v>
      </c>
      <c r="J160" s="893">
        <f t="shared" si="43"/>
        <v>0</v>
      </c>
      <c r="K160" s="893">
        <f t="shared" si="43"/>
        <v>0</v>
      </c>
      <c r="L160" s="893">
        <f t="shared" si="43"/>
        <v>0</v>
      </c>
      <c r="M160" s="893">
        <f t="shared" si="43"/>
        <v>0</v>
      </c>
      <c r="N160" s="893">
        <f t="shared" si="43"/>
        <v>0</v>
      </c>
      <c r="O160" s="893">
        <f t="shared" si="43"/>
        <v>0</v>
      </c>
      <c r="P160" s="894">
        <f t="shared" si="43"/>
        <v>0</v>
      </c>
      <c r="AA160" s="828">
        <v>10</v>
      </c>
      <c r="AB160" s="832">
        <f t="shared" si="25"/>
        <v>0.7</v>
      </c>
      <c r="AC160" s="832">
        <f t="shared" si="26"/>
        <v>0.9</v>
      </c>
      <c r="AD160" s="811">
        <f t="shared" si="27"/>
        <v>0</v>
      </c>
      <c r="AE160" s="892">
        <f t="shared" ref="AE160:AP160" si="44">IF($T121="",0,$C121*$AB160*$AC160*1*0.9*$AD160*$P121*VLOOKUP($T121,$B$68:$N$100,AE$150+1,FALSE))</f>
        <v>0</v>
      </c>
      <c r="AF160" s="893">
        <f t="shared" si="44"/>
        <v>0</v>
      </c>
      <c r="AG160" s="893">
        <f t="shared" si="44"/>
        <v>0</v>
      </c>
      <c r="AH160" s="893">
        <f t="shared" si="44"/>
        <v>0</v>
      </c>
      <c r="AI160" s="893">
        <f t="shared" si="44"/>
        <v>0</v>
      </c>
      <c r="AJ160" s="893">
        <f t="shared" si="44"/>
        <v>0</v>
      </c>
      <c r="AK160" s="893">
        <f t="shared" si="44"/>
        <v>0</v>
      </c>
      <c r="AL160" s="893">
        <f t="shared" si="44"/>
        <v>0</v>
      </c>
      <c r="AM160" s="893">
        <f t="shared" si="44"/>
        <v>0</v>
      </c>
      <c r="AN160" s="893">
        <f t="shared" si="44"/>
        <v>0</v>
      </c>
      <c r="AO160" s="893">
        <f t="shared" si="44"/>
        <v>0</v>
      </c>
      <c r="AP160" s="894">
        <f t="shared" si="44"/>
        <v>0</v>
      </c>
    </row>
    <row r="161" spans="1:42" x14ac:dyDescent="0.3">
      <c r="A161" s="828">
        <v>11</v>
      </c>
      <c r="B161" s="815">
        <f>'Gebäude (02,03)'!P121</f>
        <v>0.7</v>
      </c>
      <c r="C161" s="815">
        <f>'Gebäude (02,03)'!O121</f>
        <v>0.9</v>
      </c>
      <c r="D161" s="815">
        <f>'Gebäude (02,03)'!N121</f>
        <v>0</v>
      </c>
      <c r="E161" s="892">
        <f t="shared" ref="E161:P161" si="45">IF($T122="",0,$C122*$B161*$C161*1*0.9*$D161*$P122*VLOOKUP($T122,$B$68:$N$100,E$150+1,FALSE))</f>
        <v>0</v>
      </c>
      <c r="F161" s="893">
        <f t="shared" si="45"/>
        <v>0</v>
      </c>
      <c r="G161" s="893">
        <f t="shared" si="45"/>
        <v>0</v>
      </c>
      <c r="H161" s="893">
        <f t="shared" si="45"/>
        <v>0</v>
      </c>
      <c r="I161" s="893">
        <f t="shared" si="45"/>
        <v>0</v>
      </c>
      <c r="J161" s="893">
        <f t="shared" si="45"/>
        <v>0</v>
      </c>
      <c r="K161" s="893">
        <f t="shared" si="45"/>
        <v>0</v>
      </c>
      <c r="L161" s="893">
        <f t="shared" si="45"/>
        <v>0</v>
      </c>
      <c r="M161" s="893">
        <f t="shared" si="45"/>
        <v>0</v>
      </c>
      <c r="N161" s="893">
        <f t="shared" si="45"/>
        <v>0</v>
      </c>
      <c r="O161" s="893">
        <f t="shared" si="45"/>
        <v>0</v>
      </c>
      <c r="P161" s="894">
        <f t="shared" si="45"/>
        <v>0</v>
      </c>
      <c r="AA161" s="828">
        <v>11</v>
      </c>
      <c r="AB161" s="832">
        <f t="shared" si="25"/>
        <v>0.7</v>
      </c>
      <c r="AC161" s="832">
        <f t="shared" si="26"/>
        <v>0.9</v>
      </c>
      <c r="AD161" s="811">
        <f t="shared" si="27"/>
        <v>0</v>
      </c>
      <c r="AE161" s="892">
        <f t="shared" ref="AE161:AP161" si="46">IF($T122="",0,$C122*$AB161*$AC161*1*0.9*$AD161*$P122*VLOOKUP($T122,$B$68:$N$100,AE$150+1,FALSE))</f>
        <v>0</v>
      </c>
      <c r="AF161" s="893">
        <f t="shared" si="46"/>
        <v>0</v>
      </c>
      <c r="AG161" s="893">
        <f t="shared" si="46"/>
        <v>0</v>
      </c>
      <c r="AH161" s="893">
        <f t="shared" si="46"/>
        <v>0</v>
      </c>
      <c r="AI161" s="893">
        <f t="shared" si="46"/>
        <v>0</v>
      </c>
      <c r="AJ161" s="893">
        <f t="shared" si="46"/>
        <v>0</v>
      </c>
      <c r="AK161" s="893">
        <f t="shared" si="46"/>
        <v>0</v>
      </c>
      <c r="AL161" s="893">
        <f t="shared" si="46"/>
        <v>0</v>
      </c>
      <c r="AM161" s="893">
        <f t="shared" si="46"/>
        <v>0</v>
      </c>
      <c r="AN161" s="893">
        <f t="shared" si="46"/>
        <v>0</v>
      </c>
      <c r="AO161" s="893">
        <f t="shared" si="46"/>
        <v>0</v>
      </c>
      <c r="AP161" s="894">
        <f t="shared" si="46"/>
        <v>0</v>
      </c>
    </row>
    <row r="162" spans="1:42" x14ac:dyDescent="0.3">
      <c r="A162" s="828">
        <v>12</v>
      </c>
      <c r="B162" s="815">
        <f>'Gebäude (02,03)'!P122</f>
        <v>0.7</v>
      </c>
      <c r="C162" s="815">
        <f>'Gebäude (02,03)'!O122</f>
        <v>0.9</v>
      </c>
      <c r="D162" s="815">
        <f>'Gebäude (02,03)'!N122</f>
        <v>0</v>
      </c>
      <c r="E162" s="892">
        <f t="shared" ref="E162:P162" si="47">IF($T123="",0,$C123*$B162*$C162*1*0.9*$D162*$P123*VLOOKUP($T123,$B$68:$N$100,E$150+1,FALSE))</f>
        <v>0</v>
      </c>
      <c r="F162" s="893">
        <f t="shared" si="47"/>
        <v>0</v>
      </c>
      <c r="G162" s="893">
        <f t="shared" si="47"/>
        <v>0</v>
      </c>
      <c r="H162" s="893">
        <f t="shared" si="47"/>
        <v>0</v>
      </c>
      <c r="I162" s="893">
        <f t="shared" si="47"/>
        <v>0</v>
      </c>
      <c r="J162" s="893">
        <f t="shared" si="47"/>
        <v>0</v>
      </c>
      <c r="K162" s="893">
        <f t="shared" si="47"/>
        <v>0</v>
      </c>
      <c r="L162" s="893">
        <f t="shared" si="47"/>
        <v>0</v>
      </c>
      <c r="M162" s="893">
        <f t="shared" si="47"/>
        <v>0</v>
      </c>
      <c r="N162" s="893">
        <f t="shared" si="47"/>
        <v>0</v>
      </c>
      <c r="O162" s="893">
        <f t="shared" si="47"/>
        <v>0</v>
      </c>
      <c r="P162" s="894">
        <f t="shared" si="47"/>
        <v>0</v>
      </c>
      <c r="AA162" s="828">
        <v>12</v>
      </c>
      <c r="AB162" s="832">
        <f t="shared" si="25"/>
        <v>0.7</v>
      </c>
      <c r="AC162" s="832">
        <f t="shared" si="26"/>
        <v>0.9</v>
      </c>
      <c r="AD162" s="811">
        <f t="shared" si="27"/>
        <v>0</v>
      </c>
      <c r="AE162" s="892">
        <f t="shared" ref="AE162:AP162" si="48">IF($T123="",0,$C123*$AB162*$AC162*1*0.9*$AD162*$P123*VLOOKUP($T123,$B$68:$N$100,AE$150+1,FALSE))</f>
        <v>0</v>
      </c>
      <c r="AF162" s="893">
        <f t="shared" si="48"/>
        <v>0</v>
      </c>
      <c r="AG162" s="893">
        <f t="shared" si="48"/>
        <v>0</v>
      </c>
      <c r="AH162" s="893">
        <f t="shared" si="48"/>
        <v>0</v>
      </c>
      <c r="AI162" s="893">
        <f t="shared" si="48"/>
        <v>0</v>
      </c>
      <c r="AJ162" s="893">
        <f t="shared" si="48"/>
        <v>0</v>
      </c>
      <c r="AK162" s="893">
        <f t="shared" si="48"/>
        <v>0</v>
      </c>
      <c r="AL162" s="893">
        <f t="shared" si="48"/>
        <v>0</v>
      </c>
      <c r="AM162" s="893">
        <f t="shared" si="48"/>
        <v>0</v>
      </c>
      <c r="AN162" s="893">
        <f t="shared" si="48"/>
        <v>0</v>
      </c>
      <c r="AO162" s="893">
        <f t="shared" si="48"/>
        <v>0</v>
      </c>
      <c r="AP162" s="894">
        <f t="shared" si="48"/>
        <v>0</v>
      </c>
    </row>
    <row r="163" spans="1:42" x14ac:dyDescent="0.3">
      <c r="A163" s="828">
        <v>13</v>
      </c>
      <c r="B163" s="815">
        <f>'Gebäude (02,03)'!P123</f>
        <v>0.7</v>
      </c>
      <c r="C163" s="815">
        <f>'Gebäude (02,03)'!O123</f>
        <v>0.9</v>
      </c>
      <c r="D163" s="815">
        <f>'Gebäude (02,03)'!N123</f>
        <v>0</v>
      </c>
      <c r="E163" s="892">
        <f t="shared" ref="E163:P163" si="49">IF($T124="",0,$C124*$B163*$C163*1*0.9*$D163*$P124*VLOOKUP($T124,$B$68:$N$100,E$150+1,FALSE))</f>
        <v>0</v>
      </c>
      <c r="F163" s="893">
        <f t="shared" si="49"/>
        <v>0</v>
      </c>
      <c r="G163" s="893">
        <f t="shared" si="49"/>
        <v>0</v>
      </c>
      <c r="H163" s="893">
        <f t="shared" si="49"/>
        <v>0</v>
      </c>
      <c r="I163" s="893">
        <f t="shared" si="49"/>
        <v>0</v>
      </c>
      <c r="J163" s="893">
        <f t="shared" si="49"/>
        <v>0</v>
      </c>
      <c r="K163" s="893">
        <f t="shared" si="49"/>
        <v>0</v>
      </c>
      <c r="L163" s="893">
        <f t="shared" si="49"/>
        <v>0</v>
      </c>
      <c r="M163" s="893">
        <f t="shared" si="49"/>
        <v>0</v>
      </c>
      <c r="N163" s="893">
        <f t="shared" si="49"/>
        <v>0</v>
      </c>
      <c r="O163" s="893">
        <f t="shared" si="49"/>
        <v>0</v>
      </c>
      <c r="P163" s="894">
        <f t="shared" si="49"/>
        <v>0</v>
      </c>
      <c r="AA163" s="828">
        <v>13</v>
      </c>
      <c r="AB163" s="832">
        <f t="shared" si="25"/>
        <v>0.7</v>
      </c>
      <c r="AC163" s="832">
        <f t="shared" si="26"/>
        <v>0.9</v>
      </c>
      <c r="AD163" s="811">
        <f t="shared" si="27"/>
        <v>0</v>
      </c>
      <c r="AE163" s="892">
        <f t="shared" ref="AE163:AP163" si="50">IF($T124="",0,$C124*$AB163*$AC163*1*0.9*$AD163*$P124*VLOOKUP($T124,$B$68:$N$100,AE$150+1,FALSE))</f>
        <v>0</v>
      </c>
      <c r="AF163" s="893">
        <f t="shared" si="50"/>
        <v>0</v>
      </c>
      <c r="AG163" s="893">
        <f t="shared" si="50"/>
        <v>0</v>
      </c>
      <c r="AH163" s="893">
        <f t="shared" si="50"/>
        <v>0</v>
      </c>
      <c r="AI163" s="893">
        <f t="shared" si="50"/>
        <v>0</v>
      </c>
      <c r="AJ163" s="893">
        <f t="shared" si="50"/>
        <v>0</v>
      </c>
      <c r="AK163" s="893">
        <f t="shared" si="50"/>
        <v>0</v>
      </c>
      <c r="AL163" s="893">
        <f t="shared" si="50"/>
        <v>0</v>
      </c>
      <c r="AM163" s="893">
        <f t="shared" si="50"/>
        <v>0</v>
      </c>
      <c r="AN163" s="893">
        <f t="shared" si="50"/>
        <v>0</v>
      </c>
      <c r="AO163" s="893">
        <f t="shared" si="50"/>
        <v>0</v>
      </c>
      <c r="AP163" s="894">
        <f t="shared" si="50"/>
        <v>0</v>
      </c>
    </row>
    <row r="164" spans="1:42" x14ac:dyDescent="0.3">
      <c r="A164" s="828">
        <v>14</v>
      </c>
      <c r="B164" s="815">
        <f>'Gebäude (02,03)'!P124</f>
        <v>0.7</v>
      </c>
      <c r="C164" s="815">
        <f>'Gebäude (02,03)'!O124</f>
        <v>0.9</v>
      </c>
      <c r="D164" s="815">
        <f>'Gebäude (02,03)'!N124</f>
        <v>0</v>
      </c>
      <c r="E164" s="892">
        <f t="shared" ref="E164:P164" si="51">IF($T125="",0,$C125*$B164*$C164*1*0.9*$D164*$P125*VLOOKUP($T125,$B$68:$N$100,E$150+1,FALSE))</f>
        <v>0</v>
      </c>
      <c r="F164" s="893">
        <f t="shared" si="51"/>
        <v>0</v>
      </c>
      <c r="G164" s="893">
        <f t="shared" si="51"/>
        <v>0</v>
      </c>
      <c r="H164" s="893">
        <f t="shared" si="51"/>
        <v>0</v>
      </c>
      <c r="I164" s="893">
        <f t="shared" si="51"/>
        <v>0</v>
      </c>
      <c r="J164" s="893">
        <f t="shared" si="51"/>
        <v>0</v>
      </c>
      <c r="K164" s="893">
        <f t="shared" si="51"/>
        <v>0</v>
      </c>
      <c r="L164" s="893">
        <f t="shared" si="51"/>
        <v>0</v>
      </c>
      <c r="M164" s="893">
        <f t="shared" si="51"/>
        <v>0</v>
      </c>
      <c r="N164" s="893">
        <f t="shared" si="51"/>
        <v>0</v>
      </c>
      <c r="O164" s="893">
        <f t="shared" si="51"/>
        <v>0</v>
      </c>
      <c r="P164" s="894">
        <f t="shared" si="51"/>
        <v>0</v>
      </c>
      <c r="AA164" s="828">
        <v>14</v>
      </c>
      <c r="AB164" s="832">
        <f t="shared" si="25"/>
        <v>0.7</v>
      </c>
      <c r="AC164" s="832">
        <f t="shared" si="26"/>
        <v>0.9</v>
      </c>
      <c r="AD164" s="811">
        <f t="shared" si="27"/>
        <v>0</v>
      </c>
      <c r="AE164" s="892">
        <f t="shared" ref="AE164:AP164" si="52">IF($T125="",0,$C125*$AB164*$AC164*1*0.9*$AD164*$P125*VLOOKUP($T125,$B$68:$N$100,AE$150+1,FALSE))</f>
        <v>0</v>
      </c>
      <c r="AF164" s="893">
        <f t="shared" si="52"/>
        <v>0</v>
      </c>
      <c r="AG164" s="893">
        <f t="shared" si="52"/>
        <v>0</v>
      </c>
      <c r="AH164" s="893">
        <f t="shared" si="52"/>
        <v>0</v>
      </c>
      <c r="AI164" s="893">
        <f t="shared" si="52"/>
        <v>0</v>
      </c>
      <c r="AJ164" s="893">
        <f t="shared" si="52"/>
        <v>0</v>
      </c>
      <c r="AK164" s="893">
        <f t="shared" si="52"/>
        <v>0</v>
      </c>
      <c r="AL164" s="893">
        <f t="shared" si="52"/>
        <v>0</v>
      </c>
      <c r="AM164" s="893">
        <f t="shared" si="52"/>
        <v>0</v>
      </c>
      <c r="AN164" s="893">
        <f t="shared" si="52"/>
        <v>0</v>
      </c>
      <c r="AO164" s="893">
        <f t="shared" si="52"/>
        <v>0</v>
      </c>
      <c r="AP164" s="894">
        <f t="shared" si="52"/>
        <v>0</v>
      </c>
    </row>
    <row r="165" spans="1:42" x14ac:dyDescent="0.3">
      <c r="A165" s="828">
        <v>15</v>
      </c>
      <c r="B165" s="815">
        <f>'Gebäude (02,03)'!P125</f>
        <v>0.7</v>
      </c>
      <c r="C165" s="815">
        <f>'Gebäude (02,03)'!O125</f>
        <v>0.9</v>
      </c>
      <c r="D165" s="815">
        <f>'Gebäude (02,03)'!N125</f>
        <v>0</v>
      </c>
      <c r="E165" s="892">
        <f t="shared" ref="E165:P165" si="53">IF($T126="",0,$C126*$B165*$C165*1*0.9*$D165*$P126*VLOOKUP($T126,$B$68:$N$100,E$150+1,FALSE))</f>
        <v>0</v>
      </c>
      <c r="F165" s="893">
        <f t="shared" si="53"/>
        <v>0</v>
      </c>
      <c r="G165" s="893">
        <f t="shared" si="53"/>
        <v>0</v>
      </c>
      <c r="H165" s="893">
        <f t="shared" si="53"/>
        <v>0</v>
      </c>
      <c r="I165" s="893">
        <f t="shared" si="53"/>
        <v>0</v>
      </c>
      <c r="J165" s="893">
        <f t="shared" si="53"/>
        <v>0</v>
      </c>
      <c r="K165" s="893">
        <f t="shared" si="53"/>
        <v>0</v>
      </c>
      <c r="L165" s="893">
        <f t="shared" si="53"/>
        <v>0</v>
      </c>
      <c r="M165" s="893">
        <f t="shared" si="53"/>
        <v>0</v>
      </c>
      <c r="N165" s="893">
        <f t="shared" si="53"/>
        <v>0</v>
      </c>
      <c r="O165" s="893">
        <f t="shared" si="53"/>
        <v>0</v>
      </c>
      <c r="P165" s="894">
        <f t="shared" si="53"/>
        <v>0</v>
      </c>
      <c r="AA165" s="828">
        <v>15</v>
      </c>
      <c r="AB165" s="832">
        <f t="shared" si="25"/>
        <v>0.7</v>
      </c>
      <c r="AC165" s="832">
        <f t="shared" si="26"/>
        <v>0.9</v>
      </c>
      <c r="AD165" s="811">
        <f t="shared" si="27"/>
        <v>0</v>
      </c>
      <c r="AE165" s="892">
        <f t="shared" ref="AE165:AP165" si="54">IF($T126="",0,$C126*$AB165*$AC165*1*0.9*$AD165*$P126*VLOOKUP($T126,$B$68:$N$100,AE$150+1,FALSE))</f>
        <v>0</v>
      </c>
      <c r="AF165" s="893">
        <f t="shared" si="54"/>
        <v>0</v>
      </c>
      <c r="AG165" s="893">
        <f t="shared" si="54"/>
        <v>0</v>
      </c>
      <c r="AH165" s="893">
        <f t="shared" si="54"/>
        <v>0</v>
      </c>
      <c r="AI165" s="893">
        <f t="shared" si="54"/>
        <v>0</v>
      </c>
      <c r="AJ165" s="893">
        <f t="shared" si="54"/>
        <v>0</v>
      </c>
      <c r="AK165" s="893">
        <f t="shared" si="54"/>
        <v>0</v>
      </c>
      <c r="AL165" s="893">
        <f t="shared" si="54"/>
        <v>0</v>
      </c>
      <c r="AM165" s="893">
        <f t="shared" si="54"/>
        <v>0</v>
      </c>
      <c r="AN165" s="893">
        <f t="shared" si="54"/>
        <v>0</v>
      </c>
      <c r="AO165" s="893">
        <f t="shared" si="54"/>
        <v>0</v>
      </c>
      <c r="AP165" s="894">
        <f t="shared" si="54"/>
        <v>0</v>
      </c>
    </row>
    <row r="166" spans="1:42" x14ac:dyDescent="0.3">
      <c r="A166" s="828">
        <v>16</v>
      </c>
      <c r="B166" s="815">
        <f>'Gebäude (02,03)'!P126</f>
        <v>0.7</v>
      </c>
      <c r="C166" s="815">
        <f>'Gebäude (02,03)'!O126</f>
        <v>0.9</v>
      </c>
      <c r="D166" s="815">
        <f>'Gebäude (02,03)'!N126</f>
        <v>0</v>
      </c>
      <c r="E166" s="892">
        <f t="shared" ref="E166:P166" si="55">IF($T127="",0,$C127*$B166*$C166*1*0.9*$D166*$P127*VLOOKUP($T127,$B$68:$N$100,E$150+1,FALSE))</f>
        <v>0</v>
      </c>
      <c r="F166" s="893">
        <f t="shared" si="55"/>
        <v>0</v>
      </c>
      <c r="G166" s="893">
        <f t="shared" si="55"/>
        <v>0</v>
      </c>
      <c r="H166" s="893">
        <f t="shared" si="55"/>
        <v>0</v>
      </c>
      <c r="I166" s="893">
        <f t="shared" si="55"/>
        <v>0</v>
      </c>
      <c r="J166" s="893">
        <f t="shared" si="55"/>
        <v>0</v>
      </c>
      <c r="K166" s="893">
        <f t="shared" si="55"/>
        <v>0</v>
      </c>
      <c r="L166" s="893">
        <f t="shared" si="55"/>
        <v>0</v>
      </c>
      <c r="M166" s="893">
        <f t="shared" si="55"/>
        <v>0</v>
      </c>
      <c r="N166" s="893">
        <f t="shared" si="55"/>
        <v>0</v>
      </c>
      <c r="O166" s="893">
        <f t="shared" si="55"/>
        <v>0</v>
      </c>
      <c r="P166" s="894">
        <f t="shared" si="55"/>
        <v>0</v>
      </c>
      <c r="AA166" s="828">
        <v>16</v>
      </c>
      <c r="AB166" s="832">
        <f t="shared" si="25"/>
        <v>0.7</v>
      </c>
      <c r="AC166" s="832">
        <f t="shared" si="26"/>
        <v>0.9</v>
      </c>
      <c r="AD166" s="811">
        <f t="shared" si="27"/>
        <v>0</v>
      </c>
      <c r="AE166" s="892">
        <f t="shared" ref="AE166:AP166" si="56">IF($T127="",0,$C127*$AB166*$AC166*1*0.9*$AD166*$P127*VLOOKUP($T127,$B$68:$N$100,AE$150+1,FALSE))</f>
        <v>0</v>
      </c>
      <c r="AF166" s="893">
        <f t="shared" si="56"/>
        <v>0</v>
      </c>
      <c r="AG166" s="893">
        <f t="shared" si="56"/>
        <v>0</v>
      </c>
      <c r="AH166" s="893">
        <f t="shared" si="56"/>
        <v>0</v>
      </c>
      <c r="AI166" s="893">
        <f t="shared" si="56"/>
        <v>0</v>
      </c>
      <c r="AJ166" s="893">
        <f t="shared" si="56"/>
        <v>0</v>
      </c>
      <c r="AK166" s="893">
        <f t="shared" si="56"/>
        <v>0</v>
      </c>
      <c r="AL166" s="893">
        <f t="shared" si="56"/>
        <v>0</v>
      </c>
      <c r="AM166" s="893">
        <f t="shared" si="56"/>
        <v>0</v>
      </c>
      <c r="AN166" s="893">
        <f t="shared" si="56"/>
        <v>0</v>
      </c>
      <c r="AO166" s="893">
        <f t="shared" si="56"/>
        <v>0</v>
      </c>
      <c r="AP166" s="894">
        <f t="shared" si="56"/>
        <v>0</v>
      </c>
    </row>
    <row r="167" spans="1:42" x14ac:dyDescent="0.3">
      <c r="A167" s="828">
        <v>17</v>
      </c>
      <c r="B167" s="815">
        <f>'Gebäude (02,03)'!P127</f>
        <v>0.7</v>
      </c>
      <c r="C167" s="815">
        <f>'Gebäude (02,03)'!O127</f>
        <v>0.9</v>
      </c>
      <c r="D167" s="815">
        <f>'Gebäude (02,03)'!N127</f>
        <v>0</v>
      </c>
      <c r="E167" s="892">
        <f t="shared" ref="E167:P167" si="57">IF($T128="",0,$C128*$B167*$C167*1*0.9*$D167*$P128*VLOOKUP($T128,$B$68:$N$100,E$150+1,FALSE))</f>
        <v>0</v>
      </c>
      <c r="F167" s="893">
        <f t="shared" si="57"/>
        <v>0</v>
      </c>
      <c r="G167" s="893">
        <f t="shared" si="57"/>
        <v>0</v>
      </c>
      <c r="H167" s="893">
        <f t="shared" si="57"/>
        <v>0</v>
      </c>
      <c r="I167" s="893">
        <f t="shared" si="57"/>
        <v>0</v>
      </c>
      <c r="J167" s="893">
        <f t="shared" si="57"/>
        <v>0</v>
      </c>
      <c r="K167" s="893">
        <f t="shared" si="57"/>
        <v>0</v>
      </c>
      <c r="L167" s="893">
        <f t="shared" si="57"/>
        <v>0</v>
      </c>
      <c r="M167" s="893">
        <f t="shared" si="57"/>
        <v>0</v>
      </c>
      <c r="N167" s="893">
        <f t="shared" si="57"/>
        <v>0</v>
      </c>
      <c r="O167" s="893">
        <f t="shared" si="57"/>
        <v>0</v>
      </c>
      <c r="P167" s="894">
        <f t="shared" si="57"/>
        <v>0</v>
      </c>
      <c r="AA167" s="828">
        <v>17</v>
      </c>
      <c r="AB167" s="832">
        <f t="shared" si="25"/>
        <v>0.7</v>
      </c>
      <c r="AC167" s="832">
        <f t="shared" si="26"/>
        <v>0.9</v>
      </c>
      <c r="AD167" s="811">
        <f t="shared" si="27"/>
        <v>0</v>
      </c>
      <c r="AE167" s="892">
        <f t="shared" ref="AE167:AP167" si="58">IF($T128="",0,$C128*$AB167*$AC167*1*0.9*$AD167*$P128*VLOOKUP($T128,$B$68:$N$100,AE$150+1,FALSE))</f>
        <v>0</v>
      </c>
      <c r="AF167" s="893">
        <f t="shared" si="58"/>
        <v>0</v>
      </c>
      <c r="AG167" s="893">
        <f t="shared" si="58"/>
        <v>0</v>
      </c>
      <c r="AH167" s="893">
        <f t="shared" si="58"/>
        <v>0</v>
      </c>
      <c r="AI167" s="893">
        <f t="shared" si="58"/>
        <v>0</v>
      </c>
      <c r="AJ167" s="893">
        <f t="shared" si="58"/>
        <v>0</v>
      </c>
      <c r="AK167" s="893">
        <f t="shared" si="58"/>
        <v>0</v>
      </c>
      <c r="AL167" s="893">
        <f t="shared" si="58"/>
        <v>0</v>
      </c>
      <c r="AM167" s="893">
        <f t="shared" si="58"/>
        <v>0</v>
      </c>
      <c r="AN167" s="893">
        <f t="shared" si="58"/>
        <v>0</v>
      </c>
      <c r="AO167" s="893">
        <f t="shared" si="58"/>
        <v>0</v>
      </c>
      <c r="AP167" s="894">
        <f t="shared" si="58"/>
        <v>0</v>
      </c>
    </row>
    <row r="168" spans="1:42" x14ac:dyDescent="0.3">
      <c r="A168" s="828">
        <v>18</v>
      </c>
      <c r="B168" s="815">
        <f>'Gebäude (02,03)'!P128</f>
        <v>0.7</v>
      </c>
      <c r="C168" s="815">
        <f>'Gebäude (02,03)'!O128</f>
        <v>0.9</v>
      </c>
      <c r="D168" s="815">
        <f>'Gebäude (02,03)'!N128</f>
        <v>0</v>
      </c>
      <c r="E168" s="892">
        <f t="shared" ref="E168:P168" si="59">IF($T129="",0,$C129*$B168*$C168*1*0.9*$D168*$P129*VLOOKUP($T129,$B$68:$N$100,E$150+1,FALSE))</f>
        <v>0</v>
      </c>
      <c r="F168" s="893">
        <f t="shared" si="59"/>
        <v>0</v>
      </c>
      <c r="G168" s="893">
        <f t="shared" si="59"/>
        <v>0</v>
      </c>
      <c r="H168" s="893">
        <f t="shared" si="59"/>
        <v>0</v>
      </c>
      <c r="I168" s="893">
        <f t="shared" si="59"/>
        <v>0</v>
      </c>
      <c r="J168" s="893">
        <f t="shared" si="59"/>
        <v>0</v>
      </c>
      <c r="K168" s="893">
        <f t="shared" si="59"/>
        <v>0</v>
      </c>
      <c r="L168" s="893">
        <f t="shared" si="59"/>
        <v>0</v>
      </c>
      <c r="M168" s="893">
        <f t="shared" si="59"/>
        <v>0</v>
      </c>
      <c r="N168" s="893">
        <f t="shared" si="59"/>
        <v>0</v>
      </c>
      <c r="O168" s="893">
        <f t="shared" si="59"/>
        <v>0</v>
      </c>
      <c r="P168" s="894">
        <f t="shared" si="59"/>
        <v>0</v>
      </c>
      <c r="AA168" s="828">
        <v>18</v>
      </c>
      <c r="AB168" s="832">
        <f t="shared" si="25"/>
        <v>0.7</v>
      </c>
      <c r="AC168" s="832">
        <f t="shared" si="26"/>
        <v>0.9</v>
      </c>
      <c r="AD168" s="811">
        <f t="shared" si="27"/>
        <v>0</v>
      </c>
      <c r="AE168" s="892">
        <f t="shared" ref="AE168:AP168" si="60">IF($T129="",0,$C129*$AB168*$AC168*1*0.9*$AD168*$P129*VLOOKUP($T129,$B$68:$N$100,AE$150+1,FALSE))</f>
        <v>0</v>
      </c>
      <c r="AF168" s="893">
        <f t="shared" si="60"/>
        <v>0</v>
      </c>
      <c r="AG168" s="893">
        <f t="shared" si="60"/>
        <v>0</v>
      </c>
      <c r="AH168" s="893">
        <f t="shared" si="60"/>
        <v>0</v>
      </c>
      <c r="AI168" s="893">
        <f t="shared" si="60"/>
        <v>0</v>
      </c>
      <c r="AJ168" s="893">
        <f t="shared" si="60"/>
        <v>0</v>
      </c>
      <c r="AK168" s="893">
        <f t="shared" si="60"/>
        <v>0</v>
      </c>
      <c r="AL168" s="893">
        <f t="shared" si="60"/>
        <v>0</v>
      </c>
      <c r="AM168" s="893">
        <f t="shared" si="60"/>
        <v>0</v>
      </c>
      <c r="AN168" s="893">
        <f t="shared" si="60"/>
        <v>0</v>
      </c>
      <c r="AO168" s="893">
        <f t="shared" si="60"/>
        <v>0</v>
      </c>
      <c r="AP168" s="894">
        <f t="shared" si="60"/>
        <v>0</v>
      </c>
    </row>
    <row r="169" spans="1:42" x14ac:dyDescent="0.3">
      <c r="A169" s="828">
        <v>19</v>
      </c>
      <c r="B169" s="815">
        <f>'Gebäude (02,03)'!P129</f>
        <v>0.7</v>
      </c>
      <c r="C169" s="815">
        <f>'Gebäude (02,03)'!O129</f>
        <v>0.9</v>
      </c>
      <c r="D169" s="815">
        <f>'Gebäude (02,03)'!N129</f>
        <v>0</v>
      </c>
      <c r="E169" s="892">
        <f t="shared" ref="E169:P169" si="61">IF($T130="",0,$C130*$B169*$C169*1*0.9*$D169*$P130*VLOOKUP($T130,$B$68:$N$100,E$150+1,FALSE))</f>
        <v>0</v>
      </c>
      <c r="F169" s="893">
        <f t="shared" si="61"/>
        <v>0</v>
      </c>
      <c r="G169" s="893">
        <f t="shared" si="61"/>
        <v>0</v>
      </c>
      <c r="H169" s="893">
        <f t="shared" si="61"/>
        <v>0</v>
      </c>
      <c r="I169" s="893">
        <f t="shared" si="61"/>
        <v>0</v>
      </c>
      <c r="J169" s="893">
        <f t="shared" si="61"/>
        <v>0</v>
      </c>
      <c r="K169" s="893">
        <f t="shared" si="61"/>
        <v>0</v>
      </c>
      <c r="L169" s="893">
        <f t="shared" si="61"/>
        <v>0</v>
      </c>
      <c r="M169" s="893">
        <f t="shared" si="61"/>
        <v>0</v>
      </c>
      <c r="N169" s="893">
        <f t="shared" si="61"/>
        <v>0</v>
      </c>
      <c r="O169" s="893">
        <f t="shared" si="61"/>
        <v>0</v>
      </c>
      <c r="P169" s="894">
        <f t="shared" si="61"/>
        <v>0</v>
      </c>
      <c r="AA169" s="828">
        <v>19</v>
      </c>
      <c r="AB169" s="832">
        <f t="shared" si="25"/>
        <v>0.7</v>
      </c>
      <c r="AC169" s="832">
        <f t="shared" si="26"/>
        <v>0.9</v>
      </c>
      <c r="AD169" s="811">
        <f t="shared" si="27"/>
        <v>0</v>
      </c>
      <c r="AE169" s="892">
        <f t="shared" ref="AE169:AP169" si="62">IF($T130="",0,$C130*$AB169*$AC169*1*0.9*$AD169*$P130*VLOOKUP($T130,$B$68:$N$100,AE$150+1,FALSE))</f>
        <v>0</v>
      </c>
      <c r="AF169" s="893">
        <f t="shared" si="62"/>
        <v>0</v>
      </c>
      <c r="AG169" s="893">
        <f t="shared" si="62"/>
        <v>0</v>
      </c>
      <c r="AH169" s="893">
        <f t="shared" si="62"/>
        <v>0</v>
      </c>
      <c r="AI169" s="893">
        <f t="shared" si="62"/>
        <v>0</v>
      </c>
      <c r="AJ169" s="893">
        <f t="shared" si="62"/>
        <v>0</v>
      </c>
      <c r="AK169" s="893">
        <f t="shared" si="62"/>
        <v>0</v>
      </c>
      <c r="AL169" s="893">
        <f t="shared" si="62"/>
        <v>0</v>
      </c>
      <c r="AM169" s="893">
        <f t="shared" si="62"/>
        <v>0</v>
      </c>
      <c r="AN169" s="893">
        <f t="shared" si="62"/>
        <v>0</v>
      </c>
      <c r="AO169" s="893">
        <f t="shared" si="62"/>
        <v>0</v>
      </c>
      <c r="AP169" s="894">
        <f t="shared" si="62"/>
        <v>0</v>
      </c>
    </row>
    <row r="170" spans="1:42" x14ac:dyDescent="0.3">
      <c r="A170" s="828">
        <v>20</v>
      </c>
      <c r="B170" s="815">
        <f>'Gebäude (02,03)'!P130</f>
        <v>0.7</v>
      </c>
      <c r="C170" s="815">
        <f>'Gebäude (02,03)'!O130</f>
        <v>0.9</v>
      </c>
      <c r="D170" s="815">
        <f>'Gebäude (02,03)'!N130</f>
        <v>0</v>
      </c>
      <c r="E170" s="892">
        <f t="shared" ref="E170:P170" si="63">IF($T131="",0,$C131*$B170*$C170*1*0.9*$D170*$P131*VLOOKUP($T131,$B$68:$N$100,E$150+1,FALSE))</f>
        <v>0</v>
      </c>
      <c r="F170" s="893">
        <f t="shared" si="63"/>
        <v>0</v>
      </c>
      <c r="G170" s="893">
        <f t="shared" si="63"/>
        <v>0</v>
      </c>
      <c r="H170" s="893">
        <f t="shared" si="63"/>
        <v>0</v>
      </c>
      <c r="I170" s="893">
        <f t="shared" si="63"/>
        <v>0</v>
      </c>
      <c r="J170" s="893">
        <f t="shared" si="63"/>
        <v>0</v>
      </c>
      <c r="K170" s="893">
        <f t="shared" si="63"/>
        <v>0</v>
      </c>
      <c r="L170" s="893">
        <f t="shared" si="63"/>
        <v>0</v>
      </c>
      <c r="M170" s="893">
        <f t="shared" si="63"/>
        <v>0</v>
      </c>
      <c r="N170" s="893">
        <f t="shared" si="63"/>
        <v>0</v>
      </c>
      <c r="O170" s="893">
        <f t="shared" si="63"/>
        <v>0</v>
      </c>
      <c r="P170" s="894">
        <f t="shared" si="63"/>
        <v>0</v>
      </c>
      <c r="AA170" s="828">
        <v>20</v>
      </c>
      <c r="AB170" s="832">
        <f t="shared" si="25"/>
        <v>0.7</v>
      </c>
      <c r="AC170" s="832">
        <f t="shared" si="26"/>
        <v>0.9</v>
      </c>
      <c r="AD170" s="811">
        <f t="shared" si="27"/>
        <v>0</v>
      </c>
      <c r="AE170" s="892">
        <f t="shared" ref="AE170:AP170" si="64">IF($T131="",0,$C131*$AB170*$AC170*1*0.9*$AD170*$P131*VLOOKUP($T131,$B$68:$N$100,AE$150+1,FALSE))</f>
        <v>0</v>
      </c>
      <c r="AF170" s="893">
        <f t="shared" si="64"/>
        <v>0</v>
      </c>
      <c r="AG170" s="893">
        <f t="shared" si="64"/>
        <v>0</v>
      </c>
      <c r="AH170" s="893">
        <f t="shared" si="64"/>
        <v>0</v>
      </c>
      <c r="AI170" s="893">
        <f t="shared" si="64"/>
        <v>0</v>
      </c>
      <c r="AJ170" s="893">
        <f t="shared" si="64"/>
        <v>0</v>
      </c>
      <c r="AK170" s="893">
        <f t="shared" si="64"/>
        <v>0</v>
      </c>
      <c r="AL170" s="893">
        <f t="shared" si="64"/>
        <v>0</v>
      </c>
      <c r="AM170" s="893">
        <f t="shared" si="64"/>
        <v>0</v>
      </c>
      <c r="AN170" s="893">
        <f t="shared" si="64"/>
        <v>0</v>
      </c>
      <c r="AO170" s="893">
        <f t="shared" si="64"/>
        <v>0</v>
      </c>
      <c r="AP170" s="894">
        <f t="shared" si="64"/>
        <v>0</v>
      </c>
    </row>
    <row r="171" spans="1:42" x14ac:dyDescent="0.3">
      <c r="A171" s="828">
        <v>21</v>
      </c>
      <c r="B171" s="815">
        <f>'Gebäude (02,03)'!P131</f>
        <v>0.7</v>
      </c>
      <c r="C171" s="815">
        <f>'Gebäude (02,03)'!O131</f>
        <v>0.9</v>
      </c>
      <c r="D171" s="815">
        <f>'Gebäude (02,03)'!N131</f>
        <v>0</v>
      </c>
      <c r="E171" s="892">
        <f t="shared" ref="E171:P171" si="65">IF($T132="",0,$C132*$B171*$C171*1*0.9*$D171*$P132*VLOOKUP($T132,$B$68:$N$100,E$150+1,FALSE))</f>
        <v>0</v>
      </c>
      <c r="F171" s="893">
        <f t="shared" si="65"/>
        <v>0</v>
      </c>
      <c r="G171" s="893">
        <f t="shared" si="65"/>
        <v>0</v>
      </c>
      <c r="H171" s="893">
        <f t="shared" si="65"/>
        <v>0</v>
      </c>
      <c r="I171" s="893">
        <f t="shared" si="65"/>
        <v>0</v>
      </c>
      <c r="J171" s="893">
        <f t="shared" si="65"/>
        <v>0</v>
      </c>
      <c r="K171" s="893">
        <f t="shared" si="65"/>
        <v>0</v>
      </c>
      <c r="L171" s="893">
        <f t="shared" si="65"/>
        <v>0</v>
      </c>
      <c r="M171" s="893">
        <f t="shared" si="65"/>
        <v>0</v>
      </c>
      <c r="N171" s="893">
        <f t="shared" si="65"/>
        <v>0</v>
      </c>
      <c r="O171" s="893">
        <f t="shared" si="65"/>
        <v>0</v>
      </c>
      <c r="P171" s="894">
        <f t="shared" si="65"/>
        <v>0</v>
      </c>
      <c r="AA171" s="828">
        <v>21</v>
      </c>
      <c r="AB171" s="832">
        <f t="shared" si="25"/>
        <v>0.7</v>
      </c>
      <c r="AC171" s="832">
        <f t="shared" si="26"/>
        <v>0.9</v>
      </c>
      <c r="AD171" s="811">
        <f t="shared" si="27"/>
        <v>0</v>
      </c>
      <c r="AE171" s="892">
        <f t="shared" ref="AE171:AP171" si="66">IF($T132="",0,$C132*$AB171*$AC171*1*0.9*$AD171*$P132*VLOOKUP($T132,$B$68:$N$100,AE$150+1,FALSE))</f>
        <v>0</v>
      </c>
      <c r="AF171" s="893">
        <f t="shared" si="66"/>
        <v>0</v>
      </c>
      <c r="AG171" s="893">
        <f t="shared" si="66"/>
        <v>0</v>
      </c>
      <c r="AH171" s="893">
        <f t="shared" si="66"/>
        <v>0</v>
      </c>
      <c r="AI171" s="893">
        <f t="shared" si="66"/>
        <v>0</v>
      </c>
      <c r="AJ171" s="893">
        <f t="shared" si="66"/>
        <v>0</v>
      </c>
      <c r="AK171" s="893">
        <f t="shared" si="66"/>
        <v>0</v>
      </c>
      <c r="AL171" s="893">
        <f t="shared" si="66"/>
        <v>0</v>
      </c>
      <c r="AM171" s="893">
        <f t="shared" si="66"/>
        <v>0</v>
      </c>
      <c r="AN171" s="893">
        <f t="shared" si="66"/>
        <v>0</v>
      </c>
      <c r="AO171" s="893">
        <f t="shared" si="66"/>
        <v>0</v>
      </c>
      <c r="AP171" s="894">
        <f t="shared" si="66"/>
        <v>0</v>
      </c>
    </row>
    <row r="172" spans="1:42" x14ac:dyDescent="0.3">
      <c r="A172" s="828">
        <v>22</v>
      </c>
      <c r="B172" s="815">
        <f>'Gebäude (02,03)'!P132</f>
        <v>0.7</v>
      </c>
      <c r="C172" s="815">
        <f>'Gebäude (02,03)'!O132</f>
        <v>0.9</v>
      </c>
      <c r="D172" s="815">
        <f>'Gebäude (02,03)'!N132</f>
        <v>0</v>
      </c>
      <c r="E172" s="892">
        <f t="shared" ref="E172:P172" si="67">IF($T133="",0,$C133*$B172*$C172*1*0.9*$D172*$P133*VLOOKUP($T133,$B$68:$N$100,E$150+1,FALSE))</f>
        <v>0</v>
      </c>
      <c r="F172" s="893">
        <f t="shared" si="67"/>
        <v>0</v>
      </c>
      <c r="G172" s="893">
        <f t="shared" si="67"/>
        <v>0</v>
      </c>
      <c r="H172" s="893">
        <f t="shared" si="67"/>
        <v>0</v>
      </c>
      <c r="I172" s="893">
        <f t="shared" si="67"/>
        <v>0</v>
      </c>
      <c r="J172" s="893">
        <f t="shared" si="67"/>
        <v>0</v>
      </c>
      <c r="K172" s="893">
        <f t="shared" si="67"/>
        <v>0</v>
      </c>
      <c r="L172" s="893">
        <f t="shared" si="67"/>
        <v>0</v>
      </c>
      <c r="M172" s="893">
        <f t="shared" si="67"/>
        <v>0</v>
      </c>
      <c r="N172" s="893">
        <f t="shared" si="67"/>
        <v>0</v>
      </c>
      <c r="O172" s="893">
        <f t="shared" si="67"/>
        <v>0</v>
      </c>
      <c r="P172" s="894">
        <f t="shared" si="67"/>
        <v>0</v>
      </c>
      <c r="AA172" s="828">
        <v>22</v>
      </c>
      <c r="AB172" s="832">
        <f t="shared" si="25"/>
        <v>0.7</v>
      </c>
      <c r="AC172" s="832">
        <f t="shared" si="26"/>
        <v>0.9</v>
      </c>
      <c r="AD172" s="811">
        <f t="shared" si="27"/>
        <v>0</v>
      </c>
      <c r="AE172" s="892">
        <f t="shared" ref="AE172:AP172" si="68">IF($T133="",0,$C133*$AB172*$AC172*1*0.9*$AD172*$P133*VLOOKUP($T133,$B$68:$N$100,AE$150+1,FALSE))</f>
        <v>0</v>
      </c>
      <c r="AF172" s="893">
        <f t="shared" si="68"/>
        <v>0</v>
      </c>
      <c r="AG172" s="893">
        <f t="shared" si="68"/>
        <v>0</v>
      </c>
      <c r="AH172" s="893">
        <f t="shared" si="68"/>
        <v>0</v>
      </c>
      <c r="AI172" s="893">
        <f t="shared" si="68"/>
        <v>0</v>
      </c>
      <c r="AJ172" s="893">
        <f t="shared" si="68"/>
        <v>0</v>
      </c>
      <c r="AK172" s="893">
        <f t="shared" si="68"/>
        <v>0</v>
      </c>
      <c r="AL172" s="893">
        <f t="shared" si="68"/>
        <v>0</v>
      </c>
      <c r="AM172" s="893">
        <f t="shared" si="68"/>
        <v>0</v>
      </c>
      <c r="AN172" s="893">
        <f t="shared" si="68"/>
        <v>0</v>
      </c>
      <c r="AO172" s="893">
        <f t="shared" si="68"/>
        <v>0</v>
      </c>
      <c r="AP172" s="894">
        <f t="shared" si="68"/>
        <v>0</v>
      </c>
    </row>
    <row r="173" spans="1:42" x14ac:dyDescent="0.3">
      <c r="A173" s="828">
        <v>23</v>
      </c>
      <c r="B173" s="815">
        <f>'Gebäude (02,03)'!P133</f>
        <v>0.7</v>
      </c>
      <c r="C173" s="815">
        <f>'Gebäude (02,03)'!O133</f>
        <v>0.9</v>
      </c>
      <c r="D173" s="815">
        <f>'Gebäude (02,03)'!N133</f>
        <v>0</v>
      </c>
      <c r="E173" s="892">
        <f t="shared" ref="E173:P173" si="69">IF($T134="",0,$C134*$B173*$C173*1*0.9*$D173*$P134*VLOOKUP($T134,$B$68:$N$100,E$150+1,FALSE))</f>
        <v>0</v>
      </c>
      <c r="F173" s="893">
        <f t="shared" si="69"/>
        <v>0</v>
      </c>
      <c r="G173" s="893">
        <f t="shared" si="69"/>
        <v>0</v>
      </c>
      <c r="H173" s="893">
        <f t="shared" si="69"/>
        <v>0</v>
      </c>
      <c r="I173" s="893">
        <f t="shared" si="69"/>
        <v>0</v>
      </c>
      <c r="J173" s="893">
        <f t="shared" si="69"/>
        <v>0</v>
      </c>
      <c r="K173" s="893">
        <f t="shared" si="69"/>
        <v>0</v>
      </c>
      <c r="L173" s="893">
        <f t="shared" si="69"/>
        <v>0</v>
      </c>
      <c r="M173" s="893">
        <f t="shared" si="69"/>
        <v>0</v>
      </c>
      <c r="N173" s="893">
        <f t="shared" si="69"/>
        <v>0</v>
      </c>
      <c r="O173" s="893">
        <f t="shared" si="69"/>
        <v>0</v>
      </c>
      <c r="P173" s="894">
        <f t="shared" si="69"/>
        <v>0</v>
      </c>
      <c r="AA173" s="828">
        <v>23</v>
      </c>
      <c r="AB173" s="832">
        <f t="shared" si="25"/>
        <v>0.7</v>
      </c>
      <c r="AC173" s="832">
        <f t="shared" si="26"/>
        <v>0.9</v>
      </c>
      <c r="AD173" s="811">
        <f t="shared" si="27"/>
        <v>0</v>
      </c>
      <c r="AE173" s="892">
        <f t="shared" ref="AE173:AP173" si="70">IF($T134="",0,$C134*$AB173*$AC173*1*0.9*$AD173*$P134*VLOOKUP($T134,$B$68:$N$100,AE$150+1,FALSE))</f>
        <v>0</v>
      </c>
      <c r="AF173" s="893">
        <f t="shared" si="70"/>
        <v>0</v>
      </c>
      <c r="AG173" s="893">
        <f t="shared" si="70"/>
        <v>0</v>
      </c>
      <c r="AH173" s="893">
        <f t="shared" si="70"/>
        <v>0</v>
      </c>
      <c r="AI173" s="893">
        <f t="shared" si="70"/>
        <v>0</v>
      </c>
      <c r="AJ173" s="893">
        <f t="shared" si="70"/>
        <v>0</v>
      </c>
      <c r="AK173" s="893">
        <f t="shared" si="70"/>
        <v>0</v>
      </c>
      <c r="AL173" s="893">
        <f t="shared" si="70"/>
        <v>0</v>
      </c>
      <c r="AM173" s="893">
        <f t="shared" si="70"/>
        <v>0</v>
      </c>
      <c r="AN173" s="893">
        <f t="shared" si="70"/>
        <v>0</v>
      </c>
      <c r="AO173" s="893">
        <f t="shared" si="70"/>
        <v>0</v>
      </c>
      <c r="AP173" s="894">
        <f t="shared" si="70"/>
        <v>0</v>
      </c>
    </row>
    <row r="174" spans="1:42" x14ac:dyDescent="0.3">
      <c r="A174" s="828">
        <v>24</v>
      </c>
      <c r="B174" s="815">
        <f>'Gebäude (02,03)'!P134</f>
        <v>0.7</v>
      </c>
      <c r="C174" s="815">
        <f>'Gebäude (02,03)'!O134</f>
        <v>0.9</v>
      </c>
      <c r="D174" s="815">
        <f>'Gebäude (02,03)'!N134</f>
        <v>0</v>
      </c>
      <c r="E174" s="892">
        <f t="shared" ref="E174:P174" si="71">IF($T135="",0,$C135*$B174*$C174*1*0.9*$D174*$P135*VLOOKUP($T135,$B$68:$N$100,E$150+1,FALSE))</f>
        <v>0</v>
      </c>
      <c r="F174" s="893">
        <f t="shared" si="71"/>
        <v>0</v>
      </c>
      <c r="G174" s="893">
        <f t="shared" si="71"/>
        <v>0</v>
      </c>
      <c r="H174" s="893">
        <f t="shared" si="71"/>
        <v>0</v>
      </c>
      <c r="I174" s="893">
        <f t="shared" si="71"/>
        <v>0</v>
      </c>
      <c r="J174" s="893">
        <f t="shared" si="71"/>
        <v>0</v>
      </c>
      <c r="K174" s="893">
        <f t="shared" si="71"/>
        <v>0</v>
      </c>
      <c r="L174" s="893">
        <f t="shared" si="71"/>
        <v>0</v>
      </c>
      <c r="M174" s="893">
        <f t="shared" si="71"/>
        <v>0</v>
      </c>
      <c r="N174" s="893">
        <f t="shared" si="71"/>
        <v>0</v>
      </c>
      <c r="O174" s="893">
        <f t="shared" si="71"/>
        <v>0</v>
      </c>
      <c r="P174" s="894">
        <f t="shared" si="71"/>
        <v>0</v>
      </c>
      <c r="AA174" s="828">
        <v>24</v>
      </c>
      <c r="AB174" s="832">
        <f t="shared" si="25"/>
        <v>0.7</v>
      </c>
      <c r="AC174" s="832">
        <f t="shared" si="26"/>
        <v>0.9</v>
      </c>
      <c r="AD174" s="811">
        <f t="shared" si="27"/>
        <v>0</v>
      </c>
      <c r="AE174" s="892">
        <f t="shared" ref="AE174:AP174" si="72">IF($T135="",0,$C135*$AB174*$AC174*1*0.9*$AD174*$P135*VLOOKUP($T135,$B$68:$N$100,AE$150+1,FALSE))</f>
        <v>0</v>
      </c>
      <c r="AF174" s="893">
        <f t="shared" si="72"/>
        <v>0</v>
      </c>
      <c r="AG174" s="893">
        <f t="shared" si="72"/>
        <v>0</v>
      </c>
      <c r="AH174" s="893">
        <f t="shared" si="72"/>
        <v>0</v>
      </c>
      <c r="AI174" s="893">
        <f t="shared" si="72"/>
        <v>0</v>
      </c>
      <c r="AJ174" s="893">
        <f t="shared" si="72"/>
        <v>0</v>
      </c>
      <c r="AK174" s="893">
        <f t="shared" si="72"/>
        <v>0</v>
      </c>
      <c r="AL174" s="893">
        <f t="shared" si="72"/>
        <v>0</v>
      </c>
      <c r="AM174" s="893">
        <f t="shared" si="72"/>
        <v>0</v>
      </c>
      <c r="AN174" s="893">
        <f t="shared" si="72"/>
        <v>0</v>
      </c>
      <c r="AO174" s="893">
        <f t="shared" si="72"/>
        <v>0</v>
      </c>
      <c r="AP174" s="894">
        <f t="shared" si="72"/>
        <v>0</v>
      </c>
    </row>
    <row r="175" spans="1:42" x14ac:dyDescent="0.3">
      <c r="A175" s="828">
        <v>25</v>
      </c>
      <c r="B175" s="815">
        <f>'Gebäude (02,03)'!P135</f>
        <v>0.7</v>
      </c>
      <c r="C175" s="815">
        <f>'Gebäude (02,03)'!O135</f>
        <v>0.9</v>
      </c>
      <c r="D175" s="815">
        <f>'Gebäude (02,03)'!N135</f>
        <v>0</v>
      </c>
      <c r="E175" s="892">
        <f t="shared" ref="E175:P175" si="73">IF($T136="",0,$C136*$B175*$C175*1*0.9*$D175*$P136*VLOOKUP($T136,$B$68:$N$100,E$150+1,FALSE))</f>
        <v>0</v>
      </c>
      <c r="F175" s="893">
        <f t="shared" si="73"/>
        <v>0</v>
      </c>
      <c r="G175" s="893">
        <f t="shared" si="73"/>
        <v>0</v>
      </c>
      <c r="H175" s="893">
        <f t="shared" si="73"/>
        <v>0</v>
      </c>
      <c r="I175" s="893">
        <f t="shared" si="73"/>
        <v>0</v>
      </c>
      <c r="J175" s="893">
        <f t="shared" si="73"/>
        <v>0</v>
      </c>
      <c r="K175" s="893">
        <f t="shared" si="73"/>
        <v>0</v>
      </c>
      <c r="L175" s="893">
        <f t="shared" si="73"/>
        <v>0</v>
      </c>
      <c r="M175" s="893">
        <f t="shared" si="73"/>
        <v>0</v>
      </c>
      <c r="N175" s="893">
        <f t="shared" si="73"/>
        <v>0</v>
      </c>
      <c r="O175" s="893">
        <f t="shared" si="73"/>
        <v>0</v>
      </c>
      <c r="P175" s="894">
        <f t="shared" si="73"/>
        <v>0</v>
      </c>
      <c r="AA175" s="828">
        <v>25</v>
      </c>
      <c r="AB175" s="832">
        <f t="shared" si="25"/>
        <v>0.7</v>
      </c>
      <c r="AC175" s="832">
        <f t="shared" si="26"/>
        <v>0.9</v>
      </c>
      <c r="AD175" s="811">
        <f t="shared" si="27"/>
        <v>0</v>
      </c>
      <c r="AE175" s="892">
        <f t="shared" ref="AE175:AP175" si="74">IF($T136="",0,$C136*$AB175*$AC175*1*0.9*$AD175*$P136*VLOOKUP($T136,$B$68:$N$100,AE$150+1,FALSE))</f>
        <v>0</v>
      </c>
      <c r="AF175" s="893">
        <f t="shared" si="74"/>
        <v>0</v>
      </c>
      <c r="AG175" s="893">
        <f t="shared" si="74"/>
        <v>0</v>
      </c>
      <c r="AH175" s="893">
        <f t="shared" si="74"/>
        <v>0</v>
      </c>
      <c r="AI175" s="893">
        <f t="shared" si="74"/>
        <v>0</v>
      </c>
      <c r="AJ175" s="893">
        <f t="shared" si="74"/>
        <v>0</v>
      </c>
      <c r="AK175" s="893">
        <f t="shared" si="74"/>
        <v>0</v>
      </c>
      <c r="AL175" s="893">
        <f t="shared" si="74"/>
        <v>0</v>
      </c>
      <c r="AM175" s="893">
        <f t="shared" si="74"/>
        <v>0</v>
      </c>
      <c r="AN175" s="893">
        <f t="shared" si="74"/>
        <v>0</v>
      </c>
      <c r="AO175" s="893">
        <f t="shared" si="74"/>
        <v>0</v>
      </c>
      <c r="AP175" s="894">
        <f t="shared" si="74"/>
        <v>0</v>
      </c>
    </row>
    <row r="176" spans="1:42" x14ac:dyDescent="0.3">
      <c r="A176" s="828">
        <v>26</v>
      </c>
      <c r="B176" s="815">
        <f>'Gebäude (02,03)'!P136</f>
        <v>0.7</v>
      </c>
      <c r="C176" s="815">
        <f>'Gebäude (02,03)'!O136</f>
        <v>0.9</v>
      </c>
      <c r="D176" s="815">
        <f>'Gebäude (02,03)'!N136</f>
        <v>0</v>
      </c>
      <c r="E176" s="892">
        <f t="shared" ref="E176:P176" si="75">IF($T137="",0,$C137*$B176*$C176*1*0.9*$D176*$P137*VLOOKUP($T137,$B$68:$N$100,E$150+1,FALSE))</f>
        <v>0</v>
      </c>
      <c r="F176" s="893">
        <f t="shared" si="75"/>
        <v>0</v>
      </c>
      <c r="G176" s="893">
        <f t="shared" si="75"/>
        <v>0</v>
      </c>
      <c r="H176" s="893">
        <f t="shared" si="75"/>
        <v>0</v>
      </c>
      <c r="I176" s="893">
        <f t="shared" si="75"/>
        <v>0</v>
      </c>
      <c r="J176" s="893">
        <f t="shared" si="75"/>
        <v>0</v>
      </c>
      <c r="K176" s="893">
        <f t="shared" si="75"/>
        <v>0</v>
      </c>
      <c r="L176" s="893">
        <f t="shared" si="75"/>
        <v>0</v>
      </c>
      <c r="M176" s="893">
        <f t="shared" si="75"/>
        <v>0</v>
      </c>
      <c r="N176" s="893">
        <f t="shared" si="75"/>
        <v>0</v>
      </c>
      <c r="O176" s="893">
        <f t="shared" si="75"/>
        <v>0</v>
      </c>
      <c r="P176" s="894">
        <f t="shared" si="75"/>
        <v>0</v>
      </c>
      <c r="AA176" s="828">
        <v>26</v>
      </c>
      <c r="AB176" s="832">
        <f t="shared" si="25"/>
        <v>0.7</v>
      </c>
      <c r="AC176" s="832">
        <f t="shared" si="26"/>
        <v>0.9</v>
      </c>
      <c r="AD176" s="811">
        <f t="shared" si="27"/>
        <v>0</v>
      </c>
      <c r="AE176" s="892">
        <f t="shared" ref="AE176:AP176" si="76">IF($T137="",0,$C137*$AB176*$AC176*1*0.9*$AD176*$P137*VLOOKUP($T137,$B$68:$N$100,AE$150+1,FALSE))</f>
        <v>0</v>
      </c>
      <c r="AF176" s="893">
        <f t="shared" si="76"/>
        <v>0</v>
      </c>
      <c r="AG176" s="893">
        <f t="shared" si="76"/>
        <v>0</v>
      </c>
      <c r="AH176" s="893">
        <f t="shared" si="76"/>
        <v>0</v>
      </c>
      <c r="AI176" s="893">
        <f t="shared" si="76"/>
        <v>0</v>
      </c>
      <c r="AJ176" s="893">
        <f t="shared" si="76"/>
        <v>0</v>
      </c>
      <c r="AK176" s="893">
        <f t="shared" si="76"/>
        <v>0</v>
      </c>
      <c r="AL176" s="893">
        <f t="shared" si="76"/>
        <v>0</v>
      </c>
      <c r="AM176" s="893">
        <f t="shared" si="76"/>
        <v>0</v>
      </c>
      <c r="AN176" s="893">
        <f t="shared" si="76"/>
        <v>0</v>
      </c>
      <c r="AO176" s="893">
        <f t="shared" si="76"/>
        <v>0</v>
      </c>
      <c r="AP176" s="894">
        <f t="shared" si="76"/>
        <v>0</v>
      </c>
    </row>
    <row r="177" spans="1:42" x14ac:dyDescent="0.3">
      <c r="A177" s="828">
        <v>27</v>
      </c>
      <c r="B177" s="815">
        <f>'Gebäude (02,03)'!P137</f>
        <v>0.7</v>
      </c>
      <c r="C177" s="815">
        <f>'Gebäude (02,03)'!O137</f>
        <v>0.9</v>
      </c>
      <c r="D177" s="815">
        <f>'Gebäude (02,03)'!N137</f>
        <v>0</v>
      </c>
      <c r="E177" s="892">
        <f t="shared" ref="E177:P177" si="77">IF($T138="",0,$C138*$B177*$C177*1*0.9*$D177*$P138*VLOOKUP($T138,$B$68:$N$100,E$150+1,FALSE))</f>
        <v>0</v>
      </c>
      <c r="F177" s="893">
        <f t="shared" si="77"/>
        <v>0</v>
      </c>
      <c r="G177" s="893">
        <f t="shared" si="77"/>
        <v>0</v>
      </c>
      <c r="H177" s="893">
        <f t="shared" si="77"/>
        <v>0</v>
      </c>
      <c r="I177" s="893">
        <f t="shared" si="77"/>
        <v>0</v>
      </c>
      <c r="J177" s="893">
        <f t="shared" si="77"/>
        <v>0</v>
      </c>
      <c r="K177" s="893">
        <f t="shared" si="77"/>
        <v>0</v>
      </c>
      <c r="L177" s="893">
        <f t="shared" si="77"/>
        <v>0</v>
      </c>
      <c r="M177" s="893">
        <f t="shared" si="77"/>
        <v>0</v>
      </c>
      <c r="N177" s="893">
        <f t="shared" si="77"/>
        <v>0</v>
      </c>
      <c r="O177" s="893">
        <f t="shared" si="77"/>
        <v>0</v>
      </c>
      <c r="P177" s="894">
        <f t="shared" si="77"/>
        <v>0</v>
      </c>
      <c r="AA177" s="828">
        <v>27</v>
      </c>
      <c r="AB177" s="832">
        <f t="shared" si="25"/>
        <v>0.7</v>
      </c>
      <c r="AC177" s="832">
        <f t="shared" si="26"/>
        <v>0.9</v>
      </c>
      <c r="AD177" s="811">
        <f t="shared" si="27"/>
        <v>0</v>
      </c>
      <c r="AE177" s="892">
        <f t="shared" ref="AE177:AP177" si="78">IF($T138="",0,$C138*$AB177*$AC177*1*0.9*$AD177*$P138*VLOOKUP($T138,$B$68:$N$100,AE$150+1,FALSE))</f>
        <v>0</v>
      </c>
      <c r="AF177" s="893">
        <f t="shared" si="78"/>
        <v>0</v>
      </c>
      <c r="AG177" s="893">
        <f t="shared" si="78"/>
        <v>0</v>
      </c>
      <c r="AH177" s="893">
        <f t="shared" si="78"/>
        <v>0</v>
      </c>
      <c r="AI177" s="893">
        <f t="shared" si="78"/>
        <v>0</v>
      </c>
      <c r="AJ177" s="893">
        <f t="shared" si="78"/>
        <v>0</v>
      </c>
      <c r="AK177" s="893">
        <f t="shared" si="78"/>
        <v>0</v>
      </c>
      <c r="AL177" s="893">
        <f t="shared" si="78"/>
        <v>0</v>
      </c>
      <c r="AM177" s="893">
        <f t="shared" si="78"/>
        <v>0</v>
      </c>
      <c r="AN177" s="893">
        <f t="shared" si="78"/>
        <v>0</v>
      </c>
      <c r="AO177" s="893">
        <f t="shared" si="78"/>
        <v>0</v>
      </c>
      <c r="AP177" s="894">
        <f t="shared" si="78"/>
        <v>0</v>
      </c>
    </row>
    <row r="178" spans="1:42" x14ac:dyDescent="0.3">
      <c r="A178" s="828">
        <v>28</v>
      </c>
      <c r="B178" s="815">
        <f>'Gebäude (02,03)'!P138</f>
        <v>0.7</v>
      </c>
      <c r="C178" s="815">
        <f>'Gebäude (02,03)'!O138</f>
        <v>0.9</v>
      </c>
      <c r="D178" s="815">
        <f>'Gebäude (02,03)'!N138</f>
        <v>0</v>
      </c>
      <c r="E178" s="892">
        <f t="shared" ref="E178:P178" si="79">IF($T139="",0,$C139*$B178*$C178*1*0.9*$D178*$P139*VLOOKUP($T139,$B$68:$N$100,E$150+1,FALSE))</f>
        <v>0</v>
      </c>
      <c r="F178" s="893">
        <f t="shared" si="79"/>
        <v>0</v>
      </c>
      <c r="G178" s="893">
        <f t="shared" si="79"/>
        <v>0</v>
      </c>
      <c r="H178" s="893">
        <f t="shared" si="79"/>
        <v>0</v>
      </c>
      <c r="I178" s="893">
        <f t="shared" si="79"/>
        <v>0</v>
      </c>
      <c r="J178" s="893">
        <f t="shared" si="79"/>
        <v>0</v>
      </c>
      <c r="K178" s="893">
        <f t="shared" si="79"/>
        <v>0</v>
      </c>
      <c r="L178" s="893">
        <f t="shared" si="79"/>
        <v>0</v>
      </c>
      <c r="M178" s="893">
        <f t="shared" si="79"/>
        <v>0</v>
      </c>
      <c r="N178" s="893">
        <f t="shared" si="79"/>
        <v>0</v>
      </c>
      <c r="O178" s="893">
        <f t="shared" si="79"/>
        <v>0</v>
      </c>
      <c r="P178" s="894">
        <f t="shared" si="79"/>
        <v>0</v>
      </c>
      <c r="AA178" s="828">
        <v>28</v>
      </c>
      <c r="AB178" s="832">
        <f t="shared" si="25"/>
        <v>0.7</v>
      </c>
      <c r="AC178" s="832">
        <f t="shared" si="26"/>
        <v>0.9</v>
      </c>
      <c r="AD178" s="811">
        <f t="shared" si="27"/>
        <v>0</v>
      </c>
      <c r="AE178" s="892">
        <f t="shared" ref="AE178:AP178" si="80">IF($T139="",0,$C139*$AB178*$AC178*1*0.9*$AD178*$P139*VLOOKUP($T139,$B$68:$N$100,AE$150+1,FALSE))</f>
        <v>0</v>
      </c>
      <c r="AF178" s="893">
        <f t="shared" si="80"/>
        <v>0</v>
      </c>
      <c r="AG178" s="893">
        <f t="shared" si="80"/>
        <v>0</v>
      </c>
      <c r="AH178" s="893">
        <f t="shared" si="80"/>
        <v>0</v>
      </c>
      <c r="AI178" s="893">
        <f t="shared" si="80"/>
        <v>0</v>
      </c>
      <c r="AJ178" s="893">
        <f t="shared" si="80"/>
        <v>0</v>
      </c>
      <c r="AK178" s="893">
        <f t="shared" si="80"/>
        <v>0</v>
      </c>
      <c r="AL178" s="893">
        <f t="shared" si="80"/>
        <v>0</v>
      </c>
      <c r="AM178" s="893">
        <f t="shared" si="80"/>
        <v>0</v>
      </c>
      <c r="AN178" s="893">
        <f t="shared" si="80"/>
        <v>0</v>
      </c>
      <c r="AO178" s="893">
        <f t="shared" si="80"/>
        <v>0</v>
      </c>
      <c r="AP178" s="894">
        <f t="shared" si="80"/>
        <v>0</v>
      </c>
    </row>
    <row r="179" spans="1:42" x14ac:dyDescent="0.3">
      <c r="A179" s="828">
        <v>29</v>
      </c>
      <c r="B179" s="815">
        <f>'Gebäude (02,03)'!P139</f>
        <v>0.7</v>
      </c>
      <c r="C179" s="815">
        <f>'Gebäude (02,03)'!O139</f>
        <v>0.9</v>
      </c>
      <c r="D179" s="815">
        <f>'Gebäude (02,03)'!N139</f>
        <v>0</v>
      </c>
      <c r="E179" s="892">
        <f t="shared" ref="E179:P179" si="81">IF($T140="",0,$C140*$B179*$C179*1*0.9*$D179*$P140*VLOOKUP($T140,$B$68:$N$100,E$150+1,FALSE))</f>
        <v>0</v>
      </c>
      <c r="F179" s="893">
        <f t="shared" si="81"/>
        <v>0</v>
      </c>
      <c r="G179" s="893">
        <f t="shared" si="81"/>
        <v>0</v>
      </c>
      <c r="H179" s="893">
        <f t="shared" si="81"/>
        <v>0</v>
      </c>
      <c r="I179" s="893">
        <f t="shared" si="81"/>
        <v>0</v>
      </c>
      <c r="J179" s="893">
        <f t="shared" si="81"/>
        <v>0</v>
      </c>
      <c r="K179" s="893">
        <f t="shared" si="81"/>
        <v>0</v>
      </c>
      <c r="L179" s="893">
        <f t="shared" si="81"/>
        <v>0</v>
      </c>
      <c r="M179" s="893">
        <f t="shared" si="81"/>
        <v>0</v>
      </c>
      <c r="N179" s="893">
        <f t="shared" si="81"/>
        <v>0</v>
      </c>
      <c r="O179" s="893">
        <f t="shared" si="81"/>
        <v>0</v>
      </c>
      <c r="P179" s="894">
        <f t="shared" si="81"/>
        <v>0</v>
      </c>
      <c r="AA179" s="828">
        <v>29</v>
      </c>
      <c r="AB179" s="832">
        <f t="shared" si="25"/>
        <v>0.7</v>
      </c>
      <c r="AC179" s="832">
        <f t="shared" si="26"/>
        <v>0.9</v>
      </c>
      <c r="AD179" s="811">
        <f t="shared" si="27"/>
        <v>0</v>
      </c>
      <c r="AE179" s="892">
        <f t="shared" ref="AE179:AP179" si="82">IF($T140="",0,$C140*$AB179*$AC179*1*0.9*$AD179*$P140*VLOOKUP($T140,$B$68:$N$100,AE$150+1,FALSE))</f>
        <v>0</v>
      </c>
      <c r="AF179" s="893">
        <f t="shared" si="82"/>
        <v>0</v>
      </c>
      <c r="AG179" s="893">
        <f t="shared" si="82"/>
        <v>0</v>
      </c>
      <c r="AH179" s="893">
        <f t="shared" si="82"/>
        <v>0</v>
      </c>
      <c r="AI179" s="893">
        <f t="shared" si="82"/>
        <v>0</v>
      </c>
      <c r="AJ179" s="893">
        <f t="shared" si="82"/>
        <v>0</v>
      </c>
      <c r="AK179" s="893">
        <f t="shared" si="82"/>
        <v>0</v>
      </c>
      <c r="AL179" s="893">
        <f t="shared" si="82"/>
        <v>0</v>
      </c>
      <c r="AM179" s="893">
        <f t="shared" si="82"/>
        <v>0</v>
      </c>
      <c r="AN179" s="893">
        <f t="shared" si="82"/>
        <v>0</v>
      </c>
      <c r="AO179" s="893">
        <f t="shared" si="82"/>
        <v>0</v>
      </c>
      <c r="AP179" s="894">
        <f t="shared" si="82"/>
        <v>0</v>
      </c>
    </row>
    <row r="180" spans="1:42" x14ac:dyDescent="0.3">
      <c r="A180" s="828">
        <v>30</v>
      </c>
      <c r="B180" s="815">
        <f>'Gebäude (02,03)'!P140</f>
        <v>0.7</v>
      </c>
      <c r="C180" s="815">
        <f>'Gebäude (02,03)'!O140</f>
        <v>0.9</v>
      </c>
      <c r="D180" s="815">
        <f>'Gebäude (02,03)'!N140</f>
        <v>0</v>
      </c>
      <c r="E180" s="895">
        <f t="shared" ref="E180:P180" si="83">IF($T141="",0,$C141*$B180*$C180*1*0.9*$D180*$P141*VLOOKUP($T141,$B$68:$N$100,E$150+1,FALSE))</f>
        <v>0</v>
      </c>
      <c r="F180" s="896">
        <f t="shared" si="83"/>
        <v>0</v>
      </c>
      <c r="G180" s="896">
        <f t="shared" si="83"/>
        <v>0</v>
      </c>
      <c r="H180" s="896">
        <f t="shared" si="83"/>
        <v>0</v>
      </c>
      <c r="I180" s="896">
        <f t="shared" si="83"/>
        <v>0</v>
      </c>
      <c r="J180" s="896">
        <f t="shared" si="83"/>
        <v>0</v>
      </c>
      <c r="K180" s="896">
        <f t="shared" si="83"/>
        <v>0</v>
      </c>
      <c r="L180" s="896">
        <f t="shared" si="83"/>
        <v>0</v>
      </c>
      <c r="M180" s="896">
        <f t="shared" si="83"/>
        <v>0</v>
      </c>
      <c r="N180" s="896">
        <f t="shared" si="83"/>
        <v>0</v>
      </c>
      <c r="O180" s="896">
        <f t="shared" si="83"/>
        <v>0</v>
      </c>
      <c r="P180" s="897">
        <f t="shared" si="83"/>
        <v>0</v>
      </c>
      <c r="AA180" s="828">
        <v>30</v>
      </c>
      <c r="AB180" s="832">
        <f t="shared" si="25"/>
        <v>0.7</v>
      </c>
      <c r="AC180" s="832">
        <f t="shared" si="26"/>
        <v>0.9</v>
      </c>
      <c r="AD180" s="811">
        <f t="shared" si="27"/>
        <v>0</v>
      </c>
      <c r="AE180" s="895">
        <f t="shared" ref="AE180:AP180" si="84">IF($T141="",0,$C141*$AB180*$AC180*1*0.9*$AD180*$P141*VLOOKUP($T141,$B$68:$N$100,AE$150+1,FALSE))</f>
        <v>0</v>
      </c>
      <c r="AF180" s="896">
        <f t="shared" si="84"/>
        <v>0</v>
      </c>
      <c r="AG180" s="896">
        <f t="shared" si="84"/>
        <v>0</v>
      </c>
      <c r="AH180" s="896">
        <f t="shared" si="84"/>
        <v>0</v>
      </c>
      <c r="AI180" s="896">
        <f t="shared" si="84"/>
        <v>0</v>
      </c>
      <c r="AJ180" s="896">
        <f t="shared" si="84"/>
        <v>0</v>
      </c>
      <c r="AK180" s="896">
        <f t="shared" si="84"/>
        <v>0</v>
      </c>
      <c r="AL180" s="896">
        <f t="shared" si="84"/>
        <v>0</v>
      </c>
      <c r="AM180" s="896">
        <f t="shared" si="84"/>
        <v>0</v>
      </c>
      <c r="AN180" s="896">
        <f t="shared" si="84"/>
        <v>0</v>
      </c>
      <c r="AO180" s="896">
        <f t="shared" si="84"/>
        <v>0</v>
      </c>
      <c r="AP180" s="897">
        <f t="shared" si="84"/>
        <v>0</v>
      </c>
    </row>
    <row r="181" spans="1:42" x14ac:dyDescent="0.3">
      <c r="A181" s="819"/>
      <c r="B181" s="832"/>
      <c r="C181" s="832"/>
      <c r="D181" s="832" t="s">
        <v>1057</v>
      </c>
      <c r="E181" s="898">
        <f>SUM(E151:E180)</f>
        <v>0</v>
      </c>
      <c r="F181" s="898">
        <f t="shared" ref="F181:P181" si="85">SUM(F151:F180)</f>
        <v>0</v>
      </c>
      <c r="G181" s="898">
        <f t="shared" si="85"/>
        <v>0</v>
      </c>
      <c r="H181" s="898">
        <f t="shared" si="85"/>
        <v>0</v>
      </c>
      <c r="I181" s="898">
        <f t="shared" si="85"/>
        <v>0</v>
      </c>
      <c r="J181" s="898">
        <f t="shared" si="85"/>
        <v>0</v>
      </c>
      <c r="K181" s="898">
        <f t="shared" si="85"/>
        <v>0</v>
      </c>
      <c r="L181" s="898">
        <f t="shared" si="85"/>
        <v>0</v>
      </c>
      <c r="M181" s="898">
        <f t="shared" si="85"/>
        <v>0</v>
      </c>
      <c r="N181" s="898">
        <f t="shared" si="85"/>
        <v>0</v>
      </c>
      <c r="O181" s="898">
        <f t="shared" si="85"/>
        <v>0</v>
      </c>
      <c r="P181" s="899">
        <f t="shared" si="85"/>
        <v>0</v>
      </c>
      <c r="AA181" s="819"/>
      <c r="AB181" s="832"/>
      <c r="AC181" s="832"/>
      <c r="AD181" s="832" t="s">
        <v>1057</v>
      </c>
      <c r="AE181" s="942">
        <f t="shared" ref="AE181:AP181" si="86">SUM(AE151:AE180)</f>
        <v>0</v>
      </c>
      <c r="AF181" s="942">
        <f t="shared" si="86"/>
        <v>0</v>
      </c>
      <c r="AG181" s="942">
        <f t="shared" si="86"/>
        <v>0</v>
      </c>
      <c r="AH181" s="942">
        <f t="shared" si="86"/>
        <v>0</v>
      </c>
      <c r="AI181" s="942">
        <f t="shared" si="86"/>
        <v>0</v>
      </c>
      <c r="AJ181" s="942">
        <f t="shared" si="86"/>
        <v>0</v>
      </c>
      <c r="AK181" s="942">
        <f t="shared" si="86"/>
        <v>0</v>
      </c>
      <c r="AL181" s="942">
        <f t="shared" si="86"/>
        <v>0</v>
      </c>
      <c r="AM181" s="942">
        <f t="shared" si="86"/>
        <v>0</v>
      </c>
      <c r="AN181" s="942">
        <f t="shared" si="86"/>
        <v>0</v>
      </c>
      <c r="AO181" s="942">
        <f t="shared" si="86"/>
        <v>0</v>
      </c>
      <c r="AP181" s="943">
        <f t="shared" si="86"/>
        <v>0</v>
      </c>
    </row>
    <row r="182" spans="1:42" ht="14.5" thickBot="1" x14ac:dyDescent="0.35">
      <c r="A182" s="821"/>
      <c r="B182" s="834"/>
      <c r="C182" s="834"/>
      <c r="D182" s="834" t="s">
        <v>1058</v>
      </c>
      <c r="E182" s="900">
        <f>0.024*E181*C102</f>
        <v>0</v>
      </c>
      <c r="F182" s="900">
        <f t="shared" ref="F182:P182" si="87">0.024*F181*D102</f>
        <v>0</v>
      </c>
      <c r="G182" s="900">
        <f t="shared" si="87"/>
        <v>0</v>
      </c>
      <c r="H182" s="900">
        <f t="shared" si="87"/>
        <v>0</v>
      </c>
      <c r="I182" s="900">
        <f t="shared" si="87"/>
        <v>0</v>
      </c>
      <c r="J182" s="900">
        <f t="shared" si="87"/>
        <v>0</v>
      </c>
      <c r="K182" s="900">
        <f t="shared" si="87"/>
        <v>0</v>
      </c>
      <c r="L182" s="900">
        <f t="shared" si="87"/>
        <v>0</v>
      </c>
      <c r="M182" s="900">
        <f t="shared" si="87"/>
        <v>0</v>
      </c>
      <c r="N182" s="900">
        <f t="shared" si="87"/>
        <v>0</v>
      </c>
      <c r="O182" s="900">
        <f t="shared" si="87"/>
        <v>0</v>
      </c>
      <c r="P182" s="901">
        <f t="shared" si="87"/>
        <v>0</v>
      </c>
      <c r="AA182" s="821"/>
      <c r="AB182" s="834"/>
      <c r="AC182" s="834"/>
      <c r="AD182" s="834" t="s">
        <v>1058</v>
      </c>
      <c r="AE182" s="944">
        <f>0.024*AE181*C102</f>
        <v>0</v>
      </c>
      <c r="AF182" s="944">
        <f t="shared" ref="AF182:AP182" si="88">0.024*AF181*D102</f>
        <v>0</v>
      </c>
      <c r="AG182" s="944">
        <f t="shared" si="88"/>
        <v>0</v>
      </c>
      <c r="AH182" s="944">
        <f t="shared" si="88"/>
        <v>0</v>
      </c>
      <c r="AI182" s="944">
        <f t="shared" si="88"/>
        <v>0</v>
      </c>
      <c r="AJ182" s="944">
        <f t="shared" si="88"/>
        <v>0</v>
      </c>
      <c r="AK182" s="944">
        <f t="shared" si="88"/>
        <v>0</v>
      </c>
      <c r="AL182" s="944">
        <f t="shared" si="88"/>
        <v>0</v>
      </c>
      <c r="AM182" s="944">
        <f t="shared" si="88"/>
        <v>0</v>
      </c>
      <c r="AN182" s="944">
        <f t="shared" si="88"/>
        <v>0</v>
      </c>
      <c r="AO182" s="944">
        <f t="shared" si="88"/>
        <v>0</v>
      </c>
      <c r="AP182" s="944">
        <f t="shared" si="88"/>
        <v>0</v>
      </c>
    </row>
    <row r="183" spans="1:42" ht="14.5" thickBot="1" x14ac:dyDescent="0.35">
      <c r="C183" s="218"/>
      <c r="D183" s="218"/>
      <c r="E183" s="218"/>
      <c r="AD183" s="155"/>
      <c r="AE183" s="218"/>
    </row>
    <row r="184" spans="1:42" x14ac:dyDescent="0.3">
      <c r="A184" s="160" t="s">
        <v>1000</v>
      </c>
      <c r="B184" s="823"/>
      <c r="C184" s="823"/>
      <c r="D184" s="823"/>
      <c r="E184" s="823"/>
      <c r="F184" s="823"/>
      <c r="G184" s="823"/>
      <c r="H184" s="823"/>
      <c r="I184" s="823"/>
      <c r="J184" s="823"/>
      <c r="K184" s="823"/>
      <c r="L184" s="823"/>
      <c r="M184" s="823"/>
      <c r="N184" s="823"/>
      <c r="O184" s="823"/>
      <c r="P184" s="824"/>
      <c r="AA184" s="160" t="s">
        <v>1000</v>
      </c>
      <c r="AB184" s="823"/>
      <c r="AC184" s="823"/>
      <c r="AD184" s="823"/>
      <c r="AE184" s="823"/>
      <c r="AF184" s="823"/>
      <c r="AG184" s="823"/>
      <c r="AH184" s="823"/>
      <c r="AI184" s="823"/>
      <c r="AJ184" s="823"/>
      <c r="AK184" s="823"/>
      <c r="AL184" s="823"/>
      <c r="AM184" s="823"/>
      <c r="AN184" s="824"/>
    </row>
    <row r="185" spans="1:42" x14ac:dyDescent="0.3">
      <c r="A185" s="828"/>
      <c r="B185" s="832"/>
      <c r="C185" s="832"/>
      <c r="D185" s="832"/>
      <c r="E185" s="832" t="s">
        <v>972</v>
      </c>
      <c r="F185" s="832" t="s">
        <v>973</v>
      </c>
      <c r="G185" s="832" t="s">
        <v>974</v>
      </c>
      <c r="H185" s="832" t="s">
        <v>975</v>
      </c>
      <c r="I185" s="832" t="s">
        <v>960</v>
      </c>
      <c r="J185" s="832" t="s">
        <v>976</v>
      </c>
      <c r="K185" s="832" t="s">
        <v>977</v>
      </c>
      <c r="L185" s="832" t="s">
        <v>978</v>
      </c>
      <c r="M185" s="832" t="s">
        <v>979</v>
      </c>
      <c r="N185" s="832" t="s">
        <v>980</v>
      </c>
      <c r="O185" s="832" t="s">
        <v>981</v>
      </c>
      <c r="P185" s="857" t="s">
        <v>982</v>
      </c>
      <c r="AA185" s="828"/>
      <c r="AB185" s="832"/>
      <c r="AC185" s="832" t="s">
        <v>972</v>
      </c>
      <c r="AD185" s="832" t="s">
        <v>973</v>
      </c>
      <c r="AE185" s="832" t="s">
        <v>974</v>
      </c>
      <c r="AF185" s="832" t="s">
        <v>975</v>
      </c>
      <c r="AG185" s="832" t="s">
        <v>960</v>
      </c>
      <c r="AH185" s="832" t="s">
        <v>976</v>
      </c>
      <c r="AI185" s="832" t="s">
        <v>977</v>
      </c>
      <c r="AJ185" s="832" t="s">
        <v>978</v>
      </c>
      <c r="AK185" s="832" t="s">
        <v>979</v>
      </c>
      <c r="AL185" s="832" t="s">
        <v>980</v>
      </c>
      <c r="AM185" s="832" t="s">
        <v>981</v>
      </c>
      <c r="AN185" s="857" t="s">
        <v>982</v>
      </c>
    </row>
    <row r="186" spans="1:42" x14ac:dyDescent="0.3">
      <c r="A186" s="828" t="s">
        <v>1090</v>
      </c>
      <c r="B186" s="832" t="s">
        <v>1091</v>
      </c>
      <c r="C186" s="832" t="s">
        <v>1001</v>
      </c>
      <c r="D186" s="832" t="s">
        <v>1002</v>
      </c>
      <c r="E186" s="832">
        <v>1</v>
      </c>
      <c r="F186" s="832">
        <v>2</v>
      </c>
      <c r="G186" s="832">
        <v>3</v>
      </c>
      <c r="H186" s="832">
        <v>4</v>
      </c>
      <c r="I186" s="832">
        <v>5</v>
      </c>
      <c r="J186" s="832">
        <v>6</v>
      </c>
      <c r="K186" s="832">
        <v>7</v>
      </c>
      <c r="L186" s="832">
        <v>8</v>
      </c>
      <c r="M186" s="832">
        <v>9</v>
      </c>
      <c r="N186" s="832">
        <v>10</v>
      </c>
      <c r="O186" s="832">
        <v>11</v>
      </c>
      <c r="P186" s="857">
        <v>12</v>
      </c>
      <c r="AA186" s="828" t="s">
        <v>1090</v>
      </c>
      <c r="AB186" s="832" t="s">
        <v>1001</v>
      </c>
      <c r="AC186" s="832">
        <v>1</v>
      </c>
      <c r="AD186" s="832">
        <v>2</v>
      </c>
      <c r="AE186" s="832">
        <v>3</v>
      </c>
      <c r="AF186" s="832">
        <v>4</v>
      </c>
      <c r="AG186" s="832">
        <v>5</v>
      </c>
      <c r="AH186" s="832">
        <v>6</v>
      </c>
      <c r="AI186" s="832">
        <v>7</v>
      </c>
      <c r="AJ186" s="832">
        <v>8</v>
      </c>
      <c r="AK186" s="832">
        <v>9</v>
      </c>
      <c r="AL186" s="832">
        <v>10</v>
      </c>
      <c r="AM186" s="832">
        <v>11</v>
      </c>
      <c r="AN186" s="857">
        <v>12</v>
      </c>
    </row>
    <row r="187" spans="1:42" x14ac:dyDescent="0.3">
      <c r="A187" s="828">
        <v>1</v>
      </c>
      <c r="B187" s="815">
        <f>'Gebäude (02,03)'!J111</f>
        <v>0</v>
      </c>
      <c r="C187" s="868">
        <f t="shared" ref="C187:C216" si="89">B112*C112*S112*U112*O112</f>
        <v>8</v>
      </c>
      <c r="D187" s="832">
        <f t="shared" ref="D187:D216" si="90">IF(T112="",0,IF(OR(RIGHT(T112,3)="60°",RIGHT(T112,3)="90°"),0.5,1)*4*10*U112*O112)</f>
        <v>20</v>
      </c>
      <c r="E187" s="889">
        <f t="shared" ref="E187:P187" si="91">IF(OR($T112="",$B187=0),0,$C187*($B187*VLOOKUP($T112,$B$68:$N$100,E$186+1,FALSE)-$D187))</f>
        <v>0</v>
      </c>
      <c r="F187" s="890">
        <f t="shared" si="91"/>
        <v>0</v>
      </c>
      <c r="G187" s="890">
        <f t="shared" si="91"/>
        <v>0</v>
      </c>
      <c r="H187" s="890">
        <f t="shared" si="91"/>
        <v>0</v>
      </c>
      <c r="I187" s="890">
        <f t="shared" si="91"/>
        <v>0</v>
      </c>
      <c r="J187" s="890">
        <f t="shared" si="91"/>
        <v>0</v>
      </c>
      <c r="K187" s="890">
        <f t="shared" si="91"/>
        <v>0</v>
      </c>
      <c r="L187" s="890">
        <f t="shared" si="91"/>
        <v>0</v>
      </c>
      <c r="M187" s="890">
        <f t="shared" si="91"/>
        <v>0</v>
      </c>
      <c r="N187" s="890">
        <f t="shared" si="91"/>
        <v>0</v>
      </c>
      <c r="O187" s="890">
        <f t="shared" si="91"/>
        <v>0</v>
      </c>
      <c r="P187" s="891">
        <f t="shared" si="91"/>
        <v>0</v>
      </c>
      <c r="AA187" s="828">
        <v>1</v>
      </c>
      <c r="AB187" s="868">
        <f t="shared" ref="AB187:AB216" si="92">AB112*C112*S112</f>
        <v>11.200000000000001</v>
      </c>
      <c r="AC187" s="889">
        <f t="shared" ref="AC187:AN187" si="93">IF(OR($T112="",$B187=0),0,$AB187*($B187*VLOOKUP($T112,$B$68:$N$100,AC$186+1,FALSE)-$D187))</f>
        <v>0</v>
      </c>
      <c r="AD187" s="890">
        <f t="shared" si="93"/>
        <v>0</v>
      </c>
      <c r="AE187" s="890">
        <f t="shared" si="93"/>
        <v>0</v>
      </c>
      <c r="AF187" s="890">
        <f t="shared" si="93"/>
        <v>0</v>
      </c>
      <c r="AG187" s="890">
        <f t="shared" si="93"/>
        <v>0</v>
      </c>
      <c r="AH187" s="890">
        <f t="shared" si="93"/>
        <v>0</v>
      </c>
      <c r="AI187" s="890">
        <f t="shared" si="93"/>
        <v>0</v>
      </c>
      <c r="AJ187" s="890">
        <f t="shared" si="93"/>
        <v>0</v>
      </c>
      <c r="AK187" s="890">
        <f t="shared" si="93"/>
        <v>0</v>
      </c>
      <c r="AL187" s="890">
        <f t="shared" si="93"/>
        <v>0</v>
      </c>
      <c r="AM187" s="890">
        <f t="shared" si="93"/>
        <v>0</v>
      </c>
      <c r="AN187" s="891">
        <f t="shared" si="93"/>
        <v>0</v>
      </c>
    </row>
    <row r="188" spans="1:42" x14ac:dyDescent="0.3">
      <c r="A188" s="828">
        <v>2</v>
      </c>
      <c r="B188" s="815">
        <f>'Gebäude (02,03)'!J112</f>
        <v>0</v>
      </c>
      <c r="C188" s="868">
        <f t="shared" si="89"/>
        <v>0</v>
      </c>
      <c r="D188" s="832">
        <f t="shared" si="90"/>
        <v>0</v>
      </c>
      <c r="E188" s="892">
        <f t="shared" ref="E188:P188" si="94">IF(OR($T113="",$B188=0),0,$C188*($B188*VLOOKUP($T113,$B$68:$N$100,E$186+1,FALSE)-$D188))</f>
        <v>0</v>
      </c>
      <c r="F188" s="893">
        <f t="shared" si="94"/>
        <v>0</v>
      </c>
      <c r="G188" s="893">
        <f t="shared" si="94"/>
        <v>0</v>
      </c>
      <c r="H188" s="893">
        <f t="shared" si="94"/>
        <v>0</v>
      </c>
      <c r="I188" s="893">
        <f t="shared" si="94"/>
        <v>0</v>
      </c>
      <c r="J188" s="893">
        <f t="shared" si="94"/>
        <v>0</v>
      </c>
      <c r="K188" s="893">
        <f t="shared" si="94"/>
        <v>0</v>
      </c>
      <c r="L188" s="893">
        <f t="shared" si="94"/>
        <v>0</v>
      </c>
      <c r="M188" s="893">
        <f t="shared" si="94"/>
        <v>0</v>
      </c>
      <c r="N188" s="893">
        <f t="shared" si="94"/>
        <v>0</v>
      </c>
      <c r="O188" s="893">
        <f t="shared" si="94"/>
        <v>0</v>
      </c>
      <c r="P188" s="894">
        <f t="shared" si="94"/>
        <v>0</v>
      </c>
      <c r="AA188" s="828">
        <v>2</v>
      </c>
      <c r="AB188" s="868">
        <f t="shared" si="92"/>
        <v>0</v>
      </c>
      <c r="AC188" s="892">
        <f t="shared" ref="AC188:AN188" si="95">IF(OR($T113="",$B188=0),0,$AB188*($B188*VLOOKUP($T113,$B$68:$N$100,AC$186+1,FALSE)-$D188))</f>
        <v>0</v>
      </c>
      <c r="AD188" s="893">
        <f t="shared" si="95"/>
        <v>0</v>
      </c>
      <c r="AE188" s="893">
        <f t="shared" si="95"/>
        <v>0</v>
      </c>
      <c r="AF188" s="893">
        <f t="shared" si="95"/>
        <v>0</v>
      </c>
      <c r="AG188" s="893">
        <f t="shared" si="95"/>
        <v>0</v>
      </c>
      <c r="AH188" s="893">
        <f t="shared" si="95"/>
        <v>0</v>
      </c>
      <c r="AI188" s="893">
        <f t="shared" si="95"/>
        <v>0</v>
      </c>
      <c r="AJ188" s="893">
        <f t="shared" si="95"/>
        <v>0</v>
      </c>
      <c r="AK188" s="893">
        <f t="shared" si="95"/>
        <v>0</v>
      </c>
      <c r="AL188" s="893">
        <f t="shared" si="95"/>
        <v>0</v>
      </c>
      <c r="AM188" s="893">
        <f t="shared" si="95"/>
        <v>0</v>
      </c>
      <c r="AN188" s="894">
        <f t="shared" si="95"/>
        <v>0</v>
      </c>
    </row>
    <row r="189" spans="1:42" x14ac:dyDescent="0.3">
      <c r="A189" s="828">
        <v>3</v>
      </c>
      <c r="B189" s="815">
        <f>'Gebäude (02,03)'!J113</f>
        <v>0</v>
      </c>
      <c r="C189" s="868">
        <f t="shared" si="89"/>
        <v>0</v>
      </c>
      <c r="D189" s="832">
        <f t="shared" si="90"/>
        <v>0</v>
      </c>
      <c r="E189" s="892">
        <f t="shared" ref="E189:P189" si="96">IF(OR($T114="",$B189=0),0,$C189*($B189*VLOOKUP($T114,$B$68:$N$100,E$186+1,FALSE)-$D189))</f>
        <v>0</v>
      </c>
      <c r="F189" s="893">
        <f t="shared" si="96"/>
        <v>0</v>
      </c>
      <c r="G189" s="893">
        <f t="shared" si="96"/>
        <v>0</v>
      </c>
      <c r="H189" s="893">
        <f t="shared" si="96"/>
        <v>0</v>
      </c>
      <c r="I189" s="893">
        <f t="shared" si="96"/>
        <v>0</v>
      </c>
      <c r="J189" s="893">
        <f t="shared" si="96"/>
        <v>0</v>
      </c>
      <c r="K189" s="893">
        <f t="shared" si="96"/>
        <v>0</v>
      </c>
      <c r="L189" s="893">
        <f t="shared" si="96"/>
        <v>0</v>
      </c>
      <c r="M189" s="893">
        <f t="shared" si="96"/>
        <v>0</v>
      </c>
      <c r="N189" s="893">
        <f t="shared" si="96"/>
        <v>0</v>
      </c>
      <c r="O189" s="893">
        <f t="shared" si="96"/>
        <v>0</v>
      </c>
      <c r="P189" s="894">
        <f t="shared" si="96"/>
        <v>0</v>
      </c>
      <c r="AA189" s="828">
        <v>3</v>
      </c>
      <c r="AB189" s="868">
        <f t="shared" si="92"/>
        <v>0</v>
      </c>
      <c r="AC189" s="892">
        <f t="shared" ref="AC189:AN189" si="97">IF(OR($T114="",$B189=0),0,$AB189*($B189*VLOOKUP($T114,$B$68:$N$100,AC$186+1,FALSE)-$D189))</f>
        <v>0</v>
      </c>
      <c r="AD189" s="893">
        <f t="shared" si="97"/>
        <v>0</v>
      </c>
      <c r="AE189" s="893">
        <f t="shared" si="97"/>
        <v>0</v>
      </c>
      <c r="AF189" s="893">
        <f t="shared" si="97"/>
        <v>0</v>
      </c>
      <c r="AG189" s="893">
        <f t="shared" si="97"/>
        <v>0</v>
      </c>
      <c r="AH189" s="893">
        <f t="shared" si="97"/>
        <v>0</v>
      </c>
      <c r="AI189" s="893">
        <f t="shared" si="97"/>
        <v>0</v>
      </c>
      <c r="AJ189" s="893">
        <f t="shared" si="97"/>
        <v>0</v>
      </c>
      <c r="AK189" s="893">
        <f t="shared" si="97"/>
        <v>0</v>
      </c>
      <c r="AL189" s="893">
        <f t="shared" si="97"/>
        <v>0</v>
      </c>
      <c r="AM189" s="893">
        <f t="shared" si="97"/>
        <v>0</v>
      </c>
      <c r="AN189" s="894">
        <f t="shared" si="97"/>
        <v>0</v>
      </c>
    </row>
    <row r="190" spans="1:42" x14ac:dyDescent="0.3">
      <c r="A190" s="828">
        <v>4</v>
      </c>
      <c r="B190" s="815">
        <f>'Gebäude (02,03)'!J114</f>
        <v>0</v>
      </c>
      <c r="C190" s="868">
        <f t="shared" si="89"/>
        <v>0</v>
      </c>
      <c r="D190" s="832">
        <f t="shared" si="90"/>
        <v>0</v>
      </c>
      <c r="E190" s="892">
        <f t="shared" ref="E190:P190" si="98">IF(OR($T115="",$B190=0),0,$C190*($B190*VLOOKUP($T115,$B$68:$N$100,E$186+1,FALSE)-$D190))</f>
        <v>0</v>
      </c>
      <c r="F190" s="893">
        <f t="shared" si="98"/>
        <v>0</v>
      </c>
      <c r="G190" s="893">
        <f t="shared" si="98"/>
        <v>0</v>
      </c>
      <c r="H190" s="893">
        <f t="shared" si="98"/>
        <v>0</v>
      </c>
      <c r="I190" s="893">
        <f t="shared" si="98"/>
        <v>0</v>
      </c>
      <c r="J190" s="893">
        <f t="shared" si="98"/>
        <v>0</v>
      </c>
      <c r="K190" s="893">
        <f t="shared" si="98"/>
        <v>0</v>
      </c>
      <c r="L190" s="893">
        <f t="shared" si="98"/>
        <v>0</v>
      </c>
      <c r="M190" s="893">
        <f t="shared" si="98"/>
        <v>0</v>
      </c>
      <c r="N190" s="893">
        <f t="shared" si="98"/>
        <v>0</v>
      </c>
      <c r="O190" s="893">
        <f t="shared" si="98"/>
        <v>0</v>
      </c>
      <c r="P190" s="894">
        <f t="shared" si="98"/>
        <v>0</v>
      </c>
      <c r="AA190" s="828">
        <v>4</v>
      </c>
      <c r="AB190" s="868">
        <f t="shared" si="92"/>
        <v>0</v>
      </c>
      <c r="AC190" s="892">
        <f t="shared" ref="AC190:AN190" si="99">IF(OR($T115="",$B190=0),0,$AB190*($B190*VLOOKUP($T115,$B$68:$N$100,AC$186+1,FALSE)-$D190))</f>
        <v>0</v>
      </c>
      <c r="AD190" s="893">
        <f t="shared" si="99"/>
        <v>0</v>
      </c>
      <c r="AE190" s="893">
        <f t="shared" si="99"/>
        <v>0</v>
      </c>
      <c r="AF190" s="893">
        <f t="shared" si="99"/>
        <v>0</v>
      </c>
      <c r="AG190" s="893">
        <f t="shared" si="99"/>
        <v>0</v>
      </c>
      <c r="AH190" s="893">
        <f t="shared" si="99"/>
        <v>0</v>
      </c>
      <c r="AI190" s="893">
        <f t="shared" si="99"/>
        <v>0</v>
      </c>
      <c r="AJ190" s="893">
        <f t="shared" si="99"/>
        <v>0</v>
      </c>
      <c r="AK190" s="893">
        <f t="shared" si="99"/>
        <v>0</v>
      </c>
      <c r="AL190" s="893">
        <f t="shared" si="99"/>
        <v>0</v>
      </c>
      <c r="AM190" s="893">
        <f t="shared" si="99"/>
        <v>0</v>
      </c>
      <c r="AN190" s="894">
        <f t="shared" si="99"/>
        <v>0</v>
      </c>
    </row>
    <row r="191" spans="1:42" x14ac:dyDescent="0.3">
      <c r="A191" s="828">
        <v>5</v>
      </c>
      <c r="B191" s="815">
        <f>'Gebäude (02,03)'!J115</f>
        <v>0</v>
      </c>
      <c r="C191" s="868">
        <f t="shared" si="89"/>
        <v>0</v>
      </c>
      <c r="D191" s="832">
        <f t="shared" si="90"/>
        <v>0</v>
      </c>
      <c r="E191" s="892">
        <f t="shared" ref="E191:P191" si="100">IF(OR($T116="",$B191=0),0,$C191*($B191*VLOOKUP($T116,$B$68:$N$100,E$186+1,FALSE)-$D191))</f>
        <v>0</v>
      </c>
      <c r="F191" s="893">
        <f t="shared" si="100"/>
        <v>0</v>
      </c>
      <c r="G191" s="893">
        <f t="shared" si="100"/>
        <v>0</v>
      </c>
      <c r="H191" s="893">
        <f t="shared" si="100"/>
        <v>0</v>
      </c>
      <c r="I191" s="893">
        <f t="shared" si="100"/>
        <v>0</v>
      </c>
      <c r="J191" s="893">
        <f t="shared" si="100"/>
        <v>0</v>
      </c>
      <c r="K191" s="893">
        <f t="shared" si="100"/>
        <v>0</v>
      </c>
      <c r="L191" s="893">
        <f t="shared" si="100"/>
        <v>0</v>
      </c>
      <c r="M191" s="893">
        <f t="shared" si="100"/>
        <v>0</v>
      </c>
      <c r="N191" s="893">
        <f t="shared" si="100"/>
        <v>0</v>
      </c>
      <c r="O191" s="893">
        <f t="shared" si="100"/>
        <v>0</v>
      </c>
      <c r="P191" s="894">
        <f t="shared" si="100"/>
        <v>0</v>
      </c>
      <c r="AA191" s="828">
        <v>5</v>
      </c>
      <c r="AB191" s="868">
        <f t="shared" si="92"/>
        <v>0</v>
      </c>
      <c r="AC191" s="892">
        <f t="shared" ref="AC191:AN191" si="101">IF(OR($T116="",$B191=0),0,$AB191*($B191*VLOOKUP($T116,$B$68:$N$100,AC$186+1,FALSE)-$D191))</f>
        <v>0</v>
      </c>
      <c r="AD191" s="893">
        <f t="shared" si="101"/>
        <v>0</v>
      </c>
      <c r="AE191" s="893">
        <f t="shared" si="101"/>
        <v>0</v>
      </c>
      <c r="AF191" s="893">
        <f t="shared" si="101"/>
        <v>0</v>
      </c>
      <c r="AG191" s="893">
        <f t="shared" si="101"/>
        <v>0</v>
      </c>
      <c r="AH191" s="893">
        <f t="shared" si="101"/>
        <v>0</v>
      </c>
      <c r="AI191" s="893">
        <f t="shared" si="101"/>
        <v>0</v>
      </c>
      <c r="AJ191" s="893">
        <f t="shared" si="101"/>
        <v>0</v>
      </c>
      <c r="AK191" s="893">
        <f t="shared" si="101"/>
        <v>0</v>
      </c>
      <c r="AL191" s="893">
        <f t="shared" si="101"/>
        <v>0</v>
      </c>
      <c r="AM191" s="893">
        <f t="shared" si="101"/>
        <v>0</v>
      </c>
      <c r="AN191" s="894">
        <f t="shared" si="101"/>
        <v>0</v>
      </c>
    </row>
    <row r="192" spans="1:42" x14ac:dyDescent="0.3">
      <c r="A192" s="828">
        <v>6</v>
      </c>
      <c r="B192" s="815">
        <f>'Gebäude (02,03)'!J116</f>
        <v>0</v>
      </c>
      <c r="C192" s="868">
        <f t="shared" si="89"/>
        <v>0</v>
      </c>
      <c r="D192" s="832">
        <f t="shared" si="90"/>
        <v>0</v>
      </c>
      <c r="E192" s="892">
        <f t="shared" ref="E192:P192" si="102">IF(OR($T117="",$B192=0),0,$C192*($B192*VLOOKUP($T117,$B$68:$N$100,E$186+1,FALSE)-$D192))</f>
        <v>0</v>
      </c>
      <c r="F192" s="893">
        <f t="shared" si="102"/>
        <v>0</v>
      </c>
      <c r="G192" s="893">
        <f t="shared" si="102"/>
        <v>0</v>
      </c>
      <c r="H192" s="893">
        <f t="shared" si="102"/>
        <v>0</v>
      </c>
      <c r="I192" s="893">
        <f t="shared" si="102"/>
        <v>0</v>
      </c>
      <c r="J192" s="893">
        <f t="shared" si="102"/>
        <v>0</v>
      </c>
      <c r="K192" s="893">
        <f t="shared" si="102"/>
        <v>0</v>
      </c>
      <c r="L192" s="893">
        <f t="shared" si="102"/>
        <v>0</v>
      </c>
      <c r="M192" s="893">
        <f t="shared" si="102"/>
        <v>0</v>
      </c>
      <c r="N192" s="893">
        <f t="shared" si="102"/>
        <v>0</v>
      </c>
      <c r="O192" s="893">
        <f t="shared" si="102"/>
        <v>0</v>
      </c>
      <c r="P192" s="894">
        <f t="shared" si="102"/>
        <v>0</v>
      </c>
      <c r="AA192" s="828">
        <v>6</v>
      </c>
      <c r="AB192" s="868">
        <f t="shared" si="92"/>
        <v>0</v>
      </c>
      <c r="AC192" s="892">
        <f t="shared" ref="AC192:AN192" si="103">IF(OR($T117="",$B192=0),0,$AB192*($B192*VLOOKUP($T117,$B$68:$N$100,AC$186+1,FALSE)-$D192))</f>
        <v>0</v>
      </c>
      <c r="AD192" s="893">
        <f t="shared" si="103"/>
        <v>0</v>
      </c>
      <c r="AE192" s="893">
        <f t="shared" si="103"/>
        <v>0</v>
      </c>
      <c r="AF192" s="893">
        <f t="shared" si="103"/>
        <v>0</v>
      </c>
      <c r="AG192" s="893">
        <f t="shared" si="103"/>
        <v>0</v>
      </c>
      <c r="AH192" s="893">
        <f t="shared" si="103"/>
        <v>0</v>
      </c>
      <c r="AI192" s="893">
        <f t="shared" si="103"/>
        <v>0</v>
      </c>
      <c r="AJ192" s="893">
        <f t="shared" si="103"/>
        <v>0</v>
      </c>
      <c r="AK192" s="893">
        <f t="shared" si="103"/>
        <v>0</v>
      </c>
      <c r="AL192" s="893">
        <f t="shared" si="103"/>
        <v>0</v>
      </c>
      <c r="AM192" s="893">
        <f t="shared" si="103"/>
        <v>0</v>
      </c>
      <c r="AN192" s="894">
        <f t="shared" si="103"/>
        <v>0</v>
      </c>
    </row>
    <row r="193" spans="1:40" x14ac:dyDescent="0.3">
      <c r="A193" s="828">
        <v>7</v>
      </c>
      <c r="B193" s="815">
        <f>'Gebäude (02,03)'!J117</f>
        <v>0</v>
      </c>
      <c r="C193" s="868">
        <f t="shared" si="89"/>
        <v>0</v>
      </c>
      <c r="D193" s="832">
        <f t="shared" si="90"/>
        <v>0</v>
      </c>
      <c r="E193" s="892">
        <f t="shared" ref="E193:P193" si="104">IF(OR($T118="",$B193=0),0,$C193*($B193*VLOOKUP($T118,$B$68:$N$100,E$186+1,FALSE)-$D193))</f>
        <v>0</v>
      </c>
      <c r="F193" s="893">
        <f t="shared" si="104"/>
        <v>0</v>
      </c>
      <c r="G193" s="893">
        <f t="shared" si="104"/>
        <v>0</v>
      </c>
      <c r="H193" s="893">
        <f t="shared" si="104"/>
        <v>0</v>
      </c>
      <c r="I193" s="893">
        <f t="shared" si="104"/>
        <v>0</v>
      </c>
      <c r="J193" s="893">
        <f t="shared" si="104"/>
        <v>0</v>
      </c>
      <c r="K193" s="893">
        <f t="shared" si="104"/>
        <v>0</v>
      </c>
      <c r="L193" s="893">
        <f t="shared" si="104"/>
        <v>0</v>
      </c>
      <c r="M193" s="893">
        <f t="shared" si="104"/>
        <v>0</v>
      </c>
      <c r="N193" s="893">
        <f t="shared" si="104"/>
        <v>0</v>
      </c>
      <c r="O193" s="893">
        <f t="shared" si="104"/>
        <v>0</v>
      </c>
      <c r="P193" s="894">
        <f t="shared" si="104"/>
        <v>0</v>
      </c>
      <c r="AA193" s="828">
        <v>7</v>
      </c>
      <c r="AB193" s="868">
        <f t="shared" si="92"/>
        <v>0</v>
      </c>
      <c r="AC193" s="892">
        <f t="shared" ref="AC193:AN193" si="105">IF(OR($T118="",$B193=0),0,$AB193*($B193*VLOOKUP($T118,$B$68:$N$100,AC$186+1,FALSE)-$D193))</f>
        <v>0</v>
      </c>
      <c r="AD193" s="893">
        <f t="shared" si="105"/>
        <v>0</v>
      </c>
      <c r="AE193" s="893">
        <f t="shared" si="105"/>
        <v>0</v>
      </c>
      <c r="AF193" s="893">
        <f t="shared" si="105"/>
        <v>0</v>
      </c>
      <c r="AG193" s="893">
        <f t="shared" si="105"/>
        <v>0</v>
      </c>
      <c r="AH193" s="893">
        <f t="shared" si="105"/>
        <v>0</v>
      </c>
      <c r="AI193" s="893">
        <f t="shared" si="105"/>
        <v>0</v>
      </c>
      <c r="AJ193" s="893">
        <f t="shared" si="105"/>
        <v>0</v>
      </c>
      <c r="AK193" s="893">
        <f t="shared" si="105"/>
        <v>0</v>
      </c>
      <c r="AL193" s="893">
        <f t="shared" si="105"/>
        <v>0</v>
      </c>
      <c r="AM193" s="893">
        <f t="shared" si="105"/>
        <v>0</v>
      </c>
      <c r="AN193" s="894">
        <f t="shared" si="105"/>
        <v>0</v>
      </c>
    </row>
    <row r="194" spans="1:40" x14ac:dyDescent="0.3">
      <c r="A194" s="828">
        <v>8</v>
      </c>
      <c r="B194" s="815">
        <f>'Gebäude (02,03)'!J118</f>
        <v>0</v>
      </c>
      <c r="C194" s="868">
        <f t="shared" si="89"/>
        <v>0</v>
      </c>
      <c r="D194" s="832">
        <f t="shared" si="90"/>
        <v>0</v>
      </c>
      <c r="E194" s="892">
        <f t="shared" ref="E194:P194" si="106">IF(OR($T119="",$B194=0),0,$C194*($B194*VLOOKUP($T119,$B$68:$N$100,E$186+1,FALSE)-$D194))</f>
        <v>0</v>
      </c>
      <c r="F194" s="893">
        <f t="shared" si="106"/>
        <v>0</v>
      </c>
      <c r="G194" s="893">
        <f t="shared" si="106"/>
        <v>0</v>
      </c>
      <c r="H194" s="893">
        <f t="shared" si="106"/>
        <v>0</v>
      </c>
      <c r="I194" s="893">
        <f t="shared" si="106"/>
        <v>0</v>
      </c>
      <c r="J194" s="893">
        <f t="shared" si="106"/>
        <v>0</v>
      </c>
      <c r="K194" s="893">
        <f t="shared" si="106"/>
        <v>0</v>
      </c>
      <c r="L194" s="893">
        <f t="shared" si="106"/>
        <v>0</v>
      </c>
      <c r="M194" s="893">
        <f t="shared" si="106"/>
        <v>0</v>
      </c>
      <c r="N194" s="893">
        <f t="shared" si="106"/>
        <v>0</v>
      </c>
      <c r="O194" s="893">
        <f t="shared" si="106"/>
        <v>0</v>
      </c>
      <c r="P194" s="894">
        <f t="shared" si="106"/>
        <v>0</v>
      </c>
      <c r="AA194" s="828">
        <v>8</v>
      </c>
      <c r="AB194" s="868">
        <f t="shared" si="92"/>
        <v>0</v>
      </c>
      <c r="AC194" s="892">
        <f t="shared" ref="AC194:AN194" si="107">IF(OR($T119="",$B194=0),0,$AB194*($B194*VLOOKUP($T119,$B$68:$N$100,AC$186+1,FALSE)-$D194))</f>
        <v>0</v>
      </c>
      <c r="AD194" s="893">
        <f t="shared" si="107"/>
        <v>0</v>
      </c>
      <c r="AE194" s="893">
        <f t="shared" si="107"/>
        <v>0</v>
      </c>
      <c r="AF194" s="893">
        <f t="shared" si="107"/>
        <v>0</v>
      </c>
      <c r="AG194" s="893">
        <f t="shared" si="107"/>
        <v>0</v>
      </c>
      <c r="AH194" s="893">
        <f t="shared" si="107"/>
        <v>0</v>
      </c>
      <c r="AI194" s="893">
        <f t="shared" si="107"/>
        <v>0</v>
      </c>
      <c r="AJ194" s="893">
        <f t="shared" si="107"/>
        <v>0</v>
      </c>
      <c r="AK194" s="893">
        <f t="shared" si="107"/>
        <v>0</v>
      </c>
      <c r="AL194" s="893">
        <f t="shared" si="107"/>
        <v>0</v>
      </c>
      <c r="AM194" s="893">
        <f t="shared" si="107"/>
        <v>0</v>
      </c>
      <c r="AN194" s="894">
        <f t="shared" si="107"/>
        <v>0</v>
      </c>
    </row>
    <row r="195" spans="1:40" x14ac:dyDescent="0.3">
      <c r="A195" s="828">
        <v>9</v>
      </c>
      <c r="B195" s="815">
        <f>'Gebäude (02,03)'!J119</f>
        <v>0</v>
      </c>
      <c r="C195" s="868">
        <f t="shared" si="89"/>
        <v>0</v>
      </c>
      <c r="D195" s="832">
        <f t="shared" si="90"/>
        <v>0</v>
      </c>
      <c r="E195" s="892">
        <f t="shared" ref="E195:P195" si="108">IF(OR($T120="",$B195=0),0,$C195*($B195*VLOOKUP($T120,$B$68:$N$100,E$186+1,FALSE)-$D195))</f>
        <v>0</v>
      </c>
      <c r="F195" s="893">
        <f t="shared" si="108"/>
        <v>0</v>
      </c>
      <c r="G195" s="893">
        <f t="shared" si="108"/>
        <v>0</v>
      </c>
      <c r="H195" s="893">
        <f t="shared" si="108"/>
        <v>0</v>
      </c>
      <c r="I195" s="893">
        <f t="shared" si="108"/>
        <v>0</v>
      </c>
      <c r="J195" s="893">
        <f t="shared" si="108"/>
        <v>0</v>
      </c>
      <c r="K195" s="893">
        <f t="shared" si="108"/>
        <v>0</v>
      </c>
      <c r="L195" s="893">
        <f t="shared" si="108"/>
        <v>0</v>
      </c>
      <c r="M195" s="893">
        <f t="shared" si="108"/>
        <v>0</v>
      </c>
      <c r="N195" s="893">
        <f t="shared" si="108"/>
        <v>0</v>
      </c>
      <c r="O195" s="893">
        <f t="shared" si="108"/>
        <v>0</v>
      </c>
      <c r="P195" s="894">
        <f t="shared" si="108"/>
        <v>0</v>
      </c>
      <c r="AA195" s="828">
        <v>9</v>
      </c>
      <c r="AB195" s="868">
        <f t="shared" si="92"/>
        <v>0</v>
      </c>
      <c r="AC195" s="892">
        <f t="shared" ref="AC195:AN195" si="109">IF(OR($T120="",$B195=0),0,$AB195*($B195*VLOOKUP($T120,$B$68:$N$100,AC$186+1,FALSE)-$D195))</f>
        <v>0</v>
      </c>
      <c r="AD195" s="893">
        <f t="shared" si="109"/>
        <v>0</v>
      </c>
      <c r="AE195" s="893">
        <f t="shared" si="109"/>
        <v>0</v>
      </c>
      <c r="AF195" s="893">
        <f t="shared" si="109"/>
        <v>0</v>
      </c>
      <c r="AG195" s="893">
        <f t="shared" si="109"/>
        <v>0</v>
      </c>
      <c r="AH195" s="893">
        <f t="shared" si="109"/>
        <v>0</v>
      </c>
      <c r="AI195" s="893">
        <f t="shared" si="109"/>
        <v>0</v>
      </c>
      <c r="AJ195" s="893">
        <f t="shared" si="109"/>
        <v>0</v>
      </c>
      <c r="AK195" s="893">
        <f t="shared" si="109"/>
        <v>0</v>
      </c>
      <c r="AL195" s="893">
        <f t="shared" si="109"/>
        <v>0</v>
      </c>
      <c r="AM195" s="893">
        <f t="shared" si="109"/>
        <v>0</v>
      </c>
      <c r="AN195" s="894">
        <f t="shared" si="109"/>
        <v>0</v>
      </c>
    </row>
    <row r="196" spans="1:40" x14ac:dyDescent="0.3">
      <c r="A196" s="828">
        <v>10</v>
      </c>
      <c r="B196" s="815">
        <f>'Gebäude (02,03)'!J120</f>
        <v>0</v>
      </c>
      <c r="C196" s="868">
        <f t="shared" si="89"/>
        <v>0</v>
      </c>
      <c r="D196" s="832">
        <f t="shared" si="90"/>
        <v>0</v>
      </c>
      <c r="E196" s="892">
        <f t="shared" ref="E196:P196" si="110">IF(OR($T121="",$B196=0),0,$C196*($B196*VLOOKUP($T121,$B$68:$N$100,E$186+1,FALSE)-$D196))</f>
        <v>0</v>
      </c>
      <c r="F196" s="893">
        <f t="shared" si="110"/>
        <v>0</v>
      </c>
      <c r="G196" s="893">
        <f t="shared" si="110"/>
        <v>0</v>
      </c>
      <c r="H196" s="893">
        <f t="shared" si="110"/>
        <v>0</v>
      </c>
      <c r="I196" s="893">
        <f t="shared" si="110"/>
        <v>0</v>
      </c>
      <c r="J196" s="893">
        <f t="shared" si="110"/>
        <v>0</v>
      </c>
      <c r="K196" s="893">
        <f t="shared" si="110"/>
        <v>0</v>
      </c>
      <c r="L196" s="893">
        <f t="shared" si="110"/>
        <v>0</v>
      </c>
      <c r="M196" s="893">
        <f t="shared" si="110"/>
        <v>0</v>
      </c>
      <c r="N196" s="893">
        <f t="shared" si="110"/>
        <v>0</v>
      </c>
      <c r="O196" s="893">
        <f t="shared" si="110"/>
        <v>0</v>
      </c>
      <c r="P196" s="894">
        <f t="shared" si="110"/>
        <v>0</v>
      </c>
      <c r="AA196" s="828">
        <v>10</v>
      </c>
      <c r="AB196" s="868">
        <f t="shared" si="92"/>
        <v>0</v>
      </c>
      <c r="AC196" s="892">
        <f t="shared" ref="AC196:AN196" si="111">IF(OR($T121="",$B196=0),0,$AB196*($B196*VLOOKUP($T121,$B$68:$N$100,AC$186+1,FALSE)-$D196))</f>
        <v>0</v>
      </c>
      <c r="AD196" s="893">
        <f t="shared" si="111"/>
        <v>0</v>
      </c>
      <c r="AE196" s="893">
        <f t="shared" si="111"/>
        <v>0</v>
      </c>
      <c r="AF196" s="893">
        <f t="shared" si="111"/>
        <v>0</v>
      </c>
      <c r="AG196" s="893">
        <f t="shared" si="111"/>
        <v>0</v>
      </c>
      <c r="AH196" s="893">
        <f t="shared" si="111"/>
        <v>0</v>
      </c>
      <c r="AI196" s="893">
        <f t="shared" si="111"/>
        <v>0</v>
      </c>
      <c r="AJ196" s="893">
        <f t="shared" si="111"/>
        <v>0</v>
      </c>
      <c r="AK196" s="893">
        <f t="shared" si="111"/>
        <v>0</v>
      </c>
      <c r="AL196" s="893">
        <f t="shared" si="111"/>
        <v>0</v>
      </c>
      <c r="AM196" s="893">
        <f t="shared" si="111"/>
        <v>0</v>
      </c>
      <c r="AN196" s="894">
        <f t="shared" si="111"/>
        <v>0</v>
      </c>
    </row>
    <row r="197" spans="1:40" x14ac:dyDescent="0.3">
      <c r="A197" s="828">
        <v>11</v>
      </c>
      <c r="B197" s="815">
        <f>'Gebäude (02,03)'!J121</f>
        <v>0</v>
      </c>
      <c r="C197" s="868">
        <f t="shared" si="89"/>
        <v>0</v>
      </c>
      <c r="D197" s="832">
        <f t="shared" si="90"/>
        <v>0</v>
      </c>
      <c r="E197" s="892">
        <f t="shared" ref="E197:P197" si="112">IF(OR($T122="",$B197=0),0,$C197*($B197*VLOOKUP($T122,$B$68:$N$100,E$186+1,FALSE)-$D197))</f>
        <v>0</v>
      </c>
      <c r="F197" s="893">
        <f t="shared" si="112"/>
        <v>0</v>
      </c>
      <c r="G197" s="893">
        <f t="shared" si="112"/>
        <v>0</v>
      </c>
      <c r="H197" s="893">
        <f t="shared" si="112"/>
        <v>0</v>
      </c>
      <c r="I197" s="893">
        <f t="shared" si="112"/>
        <v>0</v>
      </c>
      <c r="J197" s="893">
        <f t="shared" si="112"/>
        <v>0</v>
      </c>
      <c r="K197" s="893">
        <f t="shared" si="112"/>
        <v>0</v>
      </c>
      <c r="L197" s="893">
        <f t="shared" si="112"/>
        <v>0</v>
      </c>
      <c r="M197" s="893">
        <f t="shared" si="112"/>
        <v>0</v>
      </c>
      <c r="N197" s="893">
        <f t="shared" si="112"/>
        <v>0</v>
      </c>
      <c r="O197" s="893">
        <f t="shared" si="112"/>
        <v>0</v>
      </c>
      <c r="P197" s="894">
        <f t="shared" si="112"/>
        <v>0</v>
      </c>
      <c r="AA197" s="828">
        <v>11</v>
      </c>
      <c r="AB197" s="868">
        <f t="shared" si="92"/>
        <v>0</v>
      </c>
      <c r="AC197" s="892">
        <f t="shared" ref="AC197:AN197" si="113">IF(OR($T122="",$B197=0),0,$AB197*($B197*VLOOKUP($T122,$B$68:$N$100,AC$186+1,FALSE)-$D197))</f>
        <v>0</v>
      </c>
      <c r="AD197" s="893">
        <f t="shared" si="113"/>
        <v>0</v>
      </c>
      <c r="AE197" s="893">
        <f t="shared" si="113"/>
        <v>0</v>
      </c>
      <c r="AF197" s="893">
        <f t="shared" si="113"/>
        <v>0</v>
      </c>
      <c r="AG197" s="893">
        <f t="shared" si="113"/>
        <v>0</v>
      </c>
      <c r="AH197" s="893">
        <f t="shared" si="113"/>
        <v>0</v>
      </c>
      <c r="AI197" s="893">
        <f t="shared" si="113"/>
        <v>0</v>
      </c>
      <c r="AJ197" s="893">
        <f t="shared" si="113"/>
        <v>0</v>
      </c>
      <c r="AK197" s="893">
        <f t="shared" si="113"/>
        <v>0</v>
      </c>
      <c r="AL197" s="893">
        <f t="shared" si="113"/>
        <v>0</v>
      </c>
      <c r="AM197" s="893">
        <f t="shared" si="113"/>
        <v>0</v>
      </c>
      <c r="AN197" s="894">
        <f t="shared" si="113"/>
        <v>0</v>
      </c>
    </row>
    <row r="198" spans="1:40" x14ac:dyDescent="0.3">
      <c r="A198" s="828">
        <v>12</v>
      </c>
      <c r="B198" s="815">
        <f>'Gebäude (02,03)'!J122</f>
        <v>0</v>
      </c>
      <c r="C198" s="868">
        <f t="shared" si="89"/>
        <v>0</v>
      </c>
      <c r="D198" s="832">
        <f t="shared" si="90"/>
        <v>0</v>
      </c>
      <c r="E198" s="892">
        <f t="shared" ref="E198:P198" si="114">IF(OR($T123="",$B198=0),0,$C198*($B198*VLOOKUP($T123,$B$68:$N$100,E$186+1,FALSE)-$D198))</f>
        <v>0</v>
      </c>
      <c r="F198" s="893">
        <f t="shared" si="114"/>
        <v>0</v>
      </c>
      <c r="G198" s="893">
        <f t="shared" si="114"/>
        <v>0</v>
      </c>
      <c r="H198" s="893">
        <f t="shared" si="114"/>
        <v>0</v>
      </c>
      <c r="I198" s="893">
        <f t="shared" si="114"/>
        <v>0</v>
      </c>
      <c r="J198" s="893">
        <f t="shared" si="114"/>
        <v>0</v>
      </c>
      <c r="K198" s="893">
        <f t="shared" si="114"/>
        <v>0</v>
      </c>
      <c r="L198" s="893">
        <f t="shared" si="114"/>
        <v>0</v>
      </c>
      <c r="M198" s="893">
        <f t="shared" si="114"/>
        <v>0</v>
      </c>
      <c r="N198" s="893">
        <f t="shared" si="114"/>
        <v>0</v>
      </c>
      <c r="O198" s="893">
        <f t="shared" si="114"/>
        <v>0</v>
      </c>
      <c r="P198" s="894">
        <f t="shared" si="114"/>
        <v>0</v>
      </c>
      <c r="AA198" s="828">
        <v>12</v>
      </c>
      <c r="AB198" s="868">
        <f t="shared" si="92"/>
        <v>0</v>
      </c>
      <c r="AC198" s="892">
        <f t="shared" ref="AC198:AN198" si="115">IF(OR($T123="",$B198=0),0,$AB198*($B198*VLOOKUP($T123,$B$68:$N$100,AC$186+1,FALSE)-$D198))</f>
        <v>0</v>
      </c>
      <c r="AD198" s="893">
        <f t="shared" si="115"/>
        <v>0</v>
      </c>
      <c r="AE198" s="893">
        <f t="shared" si="115"/>
        <v>0</v>
      </c>
      <c r="AF198" s="893">
        <f t="shared" si="115"/>
        <v>0</v>
      </c>
      <c r="AG198" s="893">
        <f t="shared" si="115"/>
        <v>0</v>
      </c>
      <c r="AH198" s="893">
        <f t="shared" si="115"/>
        <v>0</v>
      </c>
      <c r="AI198" s="893">
        <f t="shared" si="115"/>
        <v>0</v>
      </c>
      <c r="AJ198" s="893">
        <f t="shared" si="115"/>
        <v>0</v>
      </c>
      <c r="AK198" s="893">
        <f t="shared" si="115"/>
        <v>0</v>
      </c>
      <c r="AL198" s="893">
        <f t="shared" si="115"/>
        <v>0</v>
      </c>
      <c r="AM198" s="893">
        <f t="shared" si="115"/>
        <v>0</v>
      </c>
      <c r="AN198" s="894">
        <f t="shared" si="115"/>
        <v>0</v>
      </c>
    </row>
    <row r="199" spans="1:40" x14ac:dyDescent="0.3">
      <c r="A199" s="828">
        <v>13</v>
      </c>
      <c r="B199" s="815">
        <f>'Gebäude (02,03)'!J123</f>
        <v>0</v>
      </c>
      <c r="C199" s="868">
        <f t="shared" si="89"/>
        <v>0</v>
      </c>
      <c r="D199" s="832">
        <f t="shared" si="90"/>
        <v>0</v>
      </c>
      <c r="E199" s="892">
        <f t="shared" ref="E199:P199" si="116">IF(OR($T124="",$B199=0),0,$C199*($B199*VLOOKUP($T124,$B$68:$N$100,E$186+1,FALSE)-$D199))</f>
        <v>0</v>
      </c>
      <c r="F199" s="893">
        <f t="shared" si="116"/>
        <v>0</v>
      </c>
      <c r="G199" s="893">
        <f t="shared" si="116"/>
        <v>0</v>
      </c>
      <c r="H199" s="893">
        <f t="shared" si="116"/>
        <v>0</v>
      </c>
      <c r="I199" s="893">
        <f t="shared" si="116"/>
        <v>0</v>
      </c>
      <c r="J199" s="893">
        <f t="shared" si="116"/>
        <v>0</v>
      </c>
      <c r="K199" s="893">
        <f t="shared" si="116"/>
        <v>0</v>
      </c>
      <c r="L199" s="893">
        <f t="shared" si="116"/>
        <v>0</v>
      </c>
      <c r="M199" s="893">
        <f t="shared" si="116"/>
        <v>0</v>
      </c>
      <c r="N199" s="893">
        <f t="shared" si="116"/>
        <v>0</v>
      </c>
      <c r="O199" s="893">
        <f t="shared" si="116"/>
        <v>0</v>
      </c>
      <c r="P199" s="894">
        <f t="shared" si="116"/>
        <v>0</v>
      </c>
      <c r="AA199" s="828">
        <v>13</v>
      </c>
      <c r="AB199" s="868">
        <f t="shared" si="92"/>
        <v>0</v>
      </c>
      <c r="AC199" s="892">
        <f t="shared" ref="AC199:AN199" si="117">IF(OR($T124="",$B199=0),0,$AB199*($B199*VLOOKUP($T124,$B$68:$N$100,AC$186+1,FALSE)-$D199))</f>
        <v>0</v>
      </c>
      <c r="AD199" s="893">
        <f t="shared" si="117"/>
        <v>0</v>
      </c>
      <c r="AE199" s="893">
        <f t="shared" si="117"/>
        <v>0</v>
      </c>
      <c r="AF199" s="893">
        <f t="shared" si="117"/>
        <v>0</v>
      </c>
      <c r="AG199" s="893">
        <f t="shared" si="117"/>
        <v>0</v>
      </c>
      <c r="AH199" s="893">
        <f t="shared" si="117"/>
        <v>0</v>
      </c>
      <c r="AI199" s="893">
        <f t="shared" si="117"/>
        <v>0</v>
      </c>
      <c r="AJ199" s="893">
        <f t="shared" si="117"/>
        <v>0</v>
      </c>
      <c r="AK199" s="893">
        <f t="shared" si="117"/>
        <v>0</v>
      </c>
      <c r="AL199" s="893">
        <f t="shared" si="117"/>
        <v>0</v>
      </c>
      <c r="AM199" s="893">
        <f t="shared" si="117"/>
        <v>0</v>
      </c>
      <c r="AN199" s="894">
        <f t="shared" si="117"/>
        <v>0</v>
      </c>
    </row>
    <row r="200" spans="1:40" x14ac:dyDescent="0.3">
      <c r="A200" s="828">
        <v>14</v>
      </c>
      <c r="B200" s="815">
        <f>'Gebäude (02,03)'!J124</f>
        <v>0</v>
      </c>
      <c r="C200" s="868">
        <f t="shared" si="89"/>
        <v>0</v>
      </c>
      <c r="D200" s="832">
        <f t="shared" si="90"/>
        <v>0</v>
      </c>
      <c r="E200" s="892">
        <f t="shared" ref="E200:P200" si="118">IF(OR($T125="",$B200=0),0,$C200*($B200*VLOOKUP($T125,$B$68:$N$100,E$186+1,FALSE)-$D200))</f>
        <v>0</v>
      </c>
      <c r="F200" s="893">
        <f t="shared" si="118"/>
        <v>0</v>
      </c>
      <c r="G200" s="893">
        <f t="shared" si="118"/>
        <v>0</v>
      </c>
      <c r="H200" s="893">
        <f t="shared" si="118"/>
        <v>0</v>
      </c>
      <c r="I200" s="893">
        <f t="shared" si="118"/>
        <v>0</v>
      </c>
      <c r="J200" s="893">
        <f t="shared" si="118"/>
        <v>0</v>
      </c>
      <c r="K200" s="893">
        <f t="shared" si="118"/>
        <v>0</v>
      </c>
      <c r="L200" s="893">
        <f t="shared" si="118"/>
        <v>0</v>
      </c>
      <c r="M200" s="893">
        <f t="shared" si="118"/>
        <v>0</v>
      </c>
      <c r="N200" s="893">
        <f t="shared" si="118"/>
        <v>0</v>
      </c>
      <c r="O200" s="893">
        <f t="shared" si="118"/>
        <v>0</v>
      </c>
      <c r="P200" s="894">
        <f t="shared" si="118"/>
        <v>0</v>
      </c>
      <c r="AA200" s="828">
        <v>14</v>
      </c>
      <c r="AB200" s="868">
        <f t="shared" si="92"/>
        <v>0</v>
      </c>
      <c r="AC200" s="892">
        <f t="shared" ref="AC200:AN200" si="119">IF(OR($T125="",$B200=0),0,$AB200*($B200*VLOOKUP($T125,$B$68:$N$100,AC$186+1,FALSE)-$D200))</f>
        <v>0</v>
      </c>
      <c r="AD200" s="893">
        <f t="shared" si="119"/>
        <v>0</v>
      </c>
      <c r="AE200" s="893">
        <f t="shared" si="119"/>
        <v>0</v>
      </c>
      <c r="AF200" s="893">
        <f t="shared" si="119"/>
        <v>0</v>
      </c>
      <c r="AG200" s="893">
        <f t="shared" si="119"/>
        <v>0</v>
      </c>
      <c r="AH200" s="893">
        <f t="shared" si="119"/>
        <v>0</v>
      </c>
      <c r="AI200" s="893">
        <f t="shared" si="119"/>
        <v>0</v>
      </c>
      <c r="AJ200" s="893">
        <f t="shared" si="119"/>
        <v>0</v>
      </c>
      <c r="AK200" s="893">
        <f t="shared" si="119"/>
        <v>0</v>
      </c>
      <c r="AL200" s="893">
        <f t="shared" si="119"/>
        <v>0</v>
      </c>
      <c r="AM200" s="893">
        <f t="shared" si="119"/>
        <v>0</v>
      </c>
      <c r="AN200" s="894">
        <f t="shared" si="119"/>
        <v>0</v>
      </c>
    </row>
    <row r="201" spans="1:40" x14ac:dyDescent="0.3">
      <c r="A201" s="828">
        <v>15</v>
      </c>
      <c r="B201" s="815">
        <f>'Gebäude (02,03)'!J125</f>
        <v>0</v>
      </c>
      <c r="C201" s="868">
        <f t="shared" si="89"/>
        <v>0</v>
      </c>
      <c r="D201" s="832">
        <f t="shared" si="90"/>
        <v>0</v>
      </c>
      <c r="E201" s="892">
        <f t="shared" ref="E201:P201" si="120">IF(OR($T126="",$B201=0),0,$C201*($B201*VLOOKUP($T126,$B$68:$N$100,E$186+1,FALSE)-$D201))</f>
        <v>0</v>
      </c>
      <c r="F201" s="893">
        <f t="shared" si="120"/>
        <v>0</v>
      </c>
      <c r="G201" s="893">
        <f t="shared" si="120"/>
        <v>0</v>
      </c>
      <c r="H201" s="893">
        <f t="shared" si="120"/>
        <v>0</v>
      </c>
      <c r="I201" s="893">
        <f t="shared" si="120"/>
        <v>0</v>
      </c>
      <c r="J201" s="893">
        <f t="shared" si="120"/>
        <v>0</v>
      </c>
      <c r="K201" s="893">
        <f t="shared" si="120"/>
        <v>0</v>
      </c>
      <c r="L201" s="893">
        <f t="shared" si="120"/>
        <v>0</v>
      </c>
      <c r="M201" s="893">
        <f t="shared" si="120"/>
        <v>0</v>
      </c>
      <c r="N201" s="893">
        <f t="shared" si="120"/>
        <v>0</v>
      </c>
      <c r="O201" s="893">
        <f t="shared" si="120"/>
        <v>0</v>
      </c>
      <c r="P201" s="894">
        <f t="shared" si="120"/>
        <v>0</v>
      </c>
      <c r="AA201" s="828">
        <v>15</v>
      </c>
      <c r="AB201" s="868">
        <f t="shared" si="92"/>
        <v>0</v>
      </c>
      <c r="AC201" s="892">
        <f t="shared" ref="AC201:AN201" si="121">IF(OR($T126="",$B201=0),0,$AB201*($B201*VLOOKUP($T126,$B$68:$N$100,AC$186+1,FALSE)-$D201))</f>
        <v>0</v>
      </c>
      <c r="AD201" s="893">
        <f t="shared" si="121"/>
        <v>0</v>
      </c>
      <c r="AE201" s="893">
        <f t="shared" si="121"/>
        <v>0</v>
      </c>
      <c r="AF201" s="893">
        <f t="shared" si="121"/>
        <v>0</v>
      </c>
      <c r="AG201" s="893">
        <f t="shared" si="121"/>
        <v>0</v>
      </c>
      <c r="AH201" s="893">
        <f t="shared" si="121"/>
        <v>0</v>
      </c>
      <c r="AI201" s="893">
        <f t="shared" si="121"/>
        <v>0</v>
      </c>
      <c r="AJ201" s="893">
        <f t="shared" si="121"/>
        <v>0</v>
      </c>
      <c r="AK201" s="893">
        <f t="shared" si="121"/>
        <v>0</v>
      </c>
      <c r="AL201" s="893">
        <f t="shared" si="121"/>
        <v>0</v>
      </c>
      <c r="AM201" s="893">
        <f t="shared" si="121"/>
        <v>0</v>
      </c>
      <c r="AN201" s="894">
        <f t="shared" si="121"/>
        <v>0</v>
      </c>
    </row>
    <row r="202" spans="1:40" x14ac:dyDescent="0.3">
      <c r="A202" s="828">
        <v>16</v>
      </c>
      <c r="B202" s="815">
        <f>'Gebäude (02,03)'!J126</f>
        <v>0</v>
      </c>
      <c r="C202" s="868">
        <f t="shared" si="89"/>
        <v>0</v>
      </c>
      <c r="D202" s="832">
        <f t="shared" si="90"/>
        <v>0</v>
      </c>
      <c r="E202" s="892">
        <f t="shared" ref="E202:P202" si="122">IF(OR($T127="",$B202=0),0,$C202*($B202*VLOOKUP($T127,$B$68:$N$100,E$186+1,FALSE)-$D202))</f>
        <v>0</v>
      </c>
      <c r="F202" s="893">
        <f t="shared" si="122"/>
        <v>0</v>
      </c>
      <c r="G202" s="893">
        <f t="shared" si="122"/>
        <v>0</v>
      </c>
      <c r="H202" s="893">
        <f t="shared" si="122"/>
        <v>0</v>
      </c>
      <c r="I202" s="893">
        <f t="shared" si="122"/>
        <v>0</v>
      </c>
      <c r="J202" s="893">
        <f t="shared" si="122"/>
        <v>0</v>
      </c>
      <c r="K202" s="893">
        <f t="shared" si="122"/>
        <v>0</v>
      </c>
      <c r="L202" s="893">
        <f t="shared" si="122"/>
        <v>0</v>
      </c>
      <c r="M202" s="893">
        <f t="shared" si="122"/>
        <v>0</v>
      </c>
      <c r="N202" s="893">
        <f t="shared" si="122"/>
        <v>0</v>
      </c>
      <c r="O202" s="893">
        <f t="shared" si="122"/>
        <v>0</v>
      </c>
      <c r="P202" s="894">
        <f t="shared" si="122"/>
        <v>0</v>
      </c>
      <c r="AA202" s="828">
        <v>16</v>
      </c>
      <c r="AB202" s="868">
        <f t="shared" si="92"/>
        <v>0</v>
      </c>
      <c r="AC202" s="892">
        <f t="shared" ref="AC202:AN202" si="123">IF(OR($T127="",$B202=0),0,$AB202*($B202*VLOOKUP($T127,$B$68:$N$100,AC$186+1,FALSE)-$D202))</f>
        <v>0</v>
      </c>
      <c r="AD202" s="893">
        <f t="shared" si="123"/>
        <v>0</v>
      </c>
      <c r="AE202" s="893">
        <f t="shared" si="123"/>
        <v>0</v>
      </c>
      <c r="AF202" s="893">
        <f t="shared" si="123"/>
        <v>0</v>
      </c>
      <c r="AG202" s="893">
        <f t="shared" si="123"/>
        <v>0</v>
      </c>
      <c r="AH202" s="893">
        <f t="shared" si="123"/>
        <v>0</v>
      </c>
      <c r="AI202" s="893">
        <f t="shared" si="123"/>
        <v>0</v>
      </c>
      <c r="AJ202" s="893">
        <f t="shared" si="123"/>
        <v>0</v>
      </c>
      <c r="AK202" s="893">
        <f t="shared" si="123"/>
        <v>0</v>
      </c>
      <c r="AL202" s="893">
        <f t="shared" si="123"/>
        <v>0</v>
      </c>
      <c r="AM202" s="893">
        <f t="shared" si="123"/>
        <v>0</v>
      </c>
      <c r="AN202" s="894">
        <f t="shared" si="123"/>
        <v>0</v>
      </c>
    </row>
    <row r="203" spans="1:40" x14ac:dyDescent="0.3">
      <c r="A203" s="828">
        <v>17</v>
      </c>
      <c r="B203" s="815">
        <f>'Gebäude (02,03)'!J127</f>
        <v>0</v>
      </c>
      <c r="C203" s="868">
        <f t="shared" si="89"/>
        <v>0</v>
      </c>
      <c r="D203" s="832">
        <f t="shared" si="90"/>
        <v>0</v>
      </c>
      <c r="E203" s="892">
        <f t="shared" ref="E203:P203" si="124">IF(OR($T128="",$B203=0),0,$C203*($B203*VLOOKUP($T128,$B$68:$N$100,E$186+1,FALSE)-$D203))</f>
        <v>0</v>
      </c>
      <c r="F203" s="893">
        <f t="shared" si="124"/>
        <v>0</v>
      </c>
      <c r="G203" s="893">
        <f t="shared" si="124"/>
        <v>0</v>
      </c>
      <c r="H203" s="893">
        <f t="shared" si="124"/>
        <v>0</v>
      </c>
      <c r="I203" s="893">
        <f t="shared" si="124"/>
        <v>0</v>
      </c>
      <c r="J203" s="893">
        <f t="shared" si="124"/>
        <v>0</v>
      </c>
      <c r="K203" s="893">
        <f t="shared" si="124"/>
        <v>0</v>
      </c>
      <c r="L203" s="893">
        <f t="shared" si="124"/>
        <v>0</v>
      </c>
      <c r="M203" s="893">
        <f t="shared" si="124"/>
        <v>0</v>
      </c>
      <c r="N203" s="893">
        <f t="shared" si="124"/>
        <v>0</v>
      </c>
      <c r="O203" s="893">
        <f t="shared" si="124"/>
        <v>0</v>
      </c>
      <c r="P203" s="894">
        <f t="shared" si="124"/>
        <v>0</v>
      </c>
      <c r="AA203" s="828">
        <v>17</v>
      </c>
      <c r="AB203" s="868">
        <f t="shared" si="92"/>
        <v>0</v>
      </c>
      <c r="AC203" s="892">
        <f t="shared" ref="AC203:AN203" si="125">IF(OR($T128="",$B203=0),0,$AB203*($B203*VLOOKUP($T128,$B$68:$N$100,AC$186+1,FALSE)-$D203))</f>
        <v>0</v>
      </c>
      <c r="AD203" s="893">
        <f t="shared" si="125"/>
        <v>0</v>
      </c>
      <c r="AE203" s="893">
        <f t="shared" si="125"/>
        <v>0</v>
      </c>
      <c r="AF203" s="893">
        <f t="shared" si="125"/>
        <v>0</v>
      </c>
      <c r="AG203" s="893">
        <f t="shared" si="125"/>
        <v>0</v>
      </c>
      <c r="AH203" s="893">
        <f t="shared" si="125"/>
        <v>0</v>
      </c>
      <c r="AI203" s="893">
        <f t="shared" si="125"/>
        <v>0</v>
      </c>
      <c r="AJ203" s="893">
        <f t="shared" si="125"/>
        <v>0</v>
      </c>
      <c r="AK203" s="893">
        <f t="shared" si="125"/>
        <v>0</v>
      </c>
      <c r="AL203" s="893">
        <f t="shared" si="125"/>
        <v>0</v>
      </c>
      <c r="AM203" s="893">
        <f t="shared" si="125"/>
        <v>0</v>
      </c>
      <c r="AN203" s="894">
        <f t="shared" si="125"/>
        <v>0</v>
      </c>
    </row>
    <row r="204" spans="1:40" x14ac:dyDescent="0.3">
      <c r="A204" s="828">
        <v>18</v>
      </c>
      <c r="B204" s="815">
        <f>'Gebäude (02,03)'!J128</f>
        <v>0</v>
      </c>
      <c r="C204" s="868">
        <f t="shared" si="89"/>
        <v>0</v>
      </c>
      <c r="D204" s="832">
        <f t="shared" si="90"/>
        <v>0</v>
      </c>
      <c r="E204" s="892">
        <f t="shared" ref="E204:P204" si="126">IF(OR($T129="",$B204=0),0,$C204*($B204*VLOOKUP($T129,$B$68:$N$100,E$186+1,FALSE)-$D204))</f>
        <v>0</v>
      </c>
      <c r="F204" s="893">
        <f t="shared" si="126"/>
        <v>0</v>
      </c>
      <c r="G204" s="893">
        <f t="shared" si="126"/>
        <v>0</v>
      </c>
      <c r="H204" s="893">
        <f t="shared" si="126"/>
        <v>0</v>
      </c>
      <c r="I204" s="893">
        <f t="shared" si="126"/>
        <v>0</v>
      </c>
      <c r="J204" s="893">
        <f t="shared" si="126"/>
        <v>0</v>
      </c>
      <c r="K204" s="893">
        <f t="shared" si="126"/>
        <v>0</v>
      </c>
      <c r="L204" s="893">
        <f t="shared" si="126"/>
        <v>0</v>
      </c>
      <c r="M204" s="893">
        <f t="shared" si="126"/>
        <v>0</v>
      </c>
      <c r="N204" s="893">
        <f t="shared" si="126"/>
        <v>0</v>
      </c>
      <c r="O204" s="893">
        <f t="shared" si="126"/>
        <v>0</v>
      </c>
      <c r="P204" s="894">
        <f t="shared" si="126"/>
        <v>0</v>
      </c>
      <c r="AA204" s="828">
        <v>18</v>
      </c>
      <c r="AB204" s="868">
        <f t="shared" si="92"/>
        <v>0</v>
      </c>
      <c r="AC204" s="892">
        <f t="shared" ref="AC204:AN204" si="127">IF(OR($T129="",$B204=0),0,$AB204*($B204*VLOOKUP($T129,$B$68:$N$100,AC$186+1,FALSE)-$D204))</f>
        <v>0</v>
      </c>
      <c r="AD204" s="893">
        <f t="shared" si="127"/>
        <v>0</v>
      </c>
      <c r="AE204" s="893">
        <f t="shared" si="127"/>
        <v>0</v>
      </c>
      <c r="AF204" s="893">
        <f t="shared" si="127"/>
        <v>0</v>
      </c>
      <c r="AG204" s="893">
        <f t="shared" si="127"/>
        <v>0</v>
      </c>
      <c r="AH204" s="893">
        <f t="shared" si="127"/>
        <v>0</v>
      </c>
      <c r="AI204" s="893">
        <f t="shared" si="127"/>
        <v>0</v>
      </c>
      <c r="AJ204" s="893">
        <f t="shared" si="127"/>
        <v>0</v>
      </c>
      <c r="AK204" s="893">
        <f t="shared" si="127"/>
        <v>0</v>
      </c>
      <c r="AL204" s="893">
        <f t="shared" si="127"/>
        <v>0</v>
      </c>
      <c r="AM204" s="893">
        <f t="shared" si="127"/>
        <v>0</v>
      </c>
      <c r="AN204" s="894">
        <f t="shared" si="127"/>
        <v>0</v>
      </c>
    </row>
    <row r="205" spans="1:40" x14ac:dyDescent="0.3">
      <c r="A205" s="828">
        <v>19</v>
      </c>
      <c r="B205" s="815">
        <f>'Gebäude (02,03)'!J129</f>
        <v>0</v>
      </c>
      <c r="C205" s="868">
        <f t="shared" si="89"/>
        <v>0</v>
      </c>
      <c r="D205" s="832">
        <f t="shared" si="90"/>
        <v>0</v>
      </c>
      <c r="E205" s="892">
        <f t="shared" ref="E205:P205" si="128">IF(OR($T130="",$B205=0),0,$C205*($B205*VLOOKUP($T130,$B$68:$N$100,E$186+1,FALSE)-$D205))</f>
        <v>0</v>
      </c>
      <c r="F205" s="893">
        <f t="shared" si="128"/>
        <v>0</v>
      </c>
      <c r="G205" s="893">
        <f t="shared" si="128"/>
        <v>0</v>
      </c>
      <c r="H205" s="893">
        <f t="shared" si="128"/>
        <v>0</v>
      </c>
      <c r="I205" s="893">
        <f t="shared" si="128"/>
        <v>0</v>
      </c>
      <c r="J205" s="893">
        <f t="shared" si="128"/>
        <v>0</v>
      </c>
      <c r="K205" s="893">
        <f t="shared" si="128"/>
        <v>0</v>
      </c>
      <c r="L205" s="893">
        <f t="shared" si="128"/>
        <v>0</v>
      </c>
      <c r="M205" s="893">
        <f t="shared" si="128"/>
        <v>0</v>
      </c>
      <c r="N205" s="893">
        <f t="shared" si="128"/>
        <v>0</v>
      </c>
      <c r="O205" s="893">
        <f t="shared" si="128"/>
        <v>0</v>
      </c>
      <c r="P205" s="894">
        <f t="shared" si="128"/>
        <v>0</v>
      </c>
      <c r="AA205" s="828">
        <v>19</v>
      </c>
      <c r="AB205" s="868">
        <f t="shared" si="92"/>
        <v>0</v>
      </c>
      <c r="AC205" s="892">
        <f t="shared" ref="AC205:AN205" si="129">IF(OR($T130="",$B205=0),0,$AB205*($B205*VLOOKUP($T130,$B$68:$N$100,AC$186+1,FALSE)-$D205))</f>
        <v>0</v>
      </c>
      <c r="AD205" s="893">
        <f t="shared" si="129"/>
        <v>0</v>
      </c>
      <c r="AE205" s="893">
        <f t="shared" si="129"/>
        <v>0</v>
      </c>
      <c r="AF205" s="893">
        <f t="shared" si="129"/>
        <v>0</v>
      </c>
      <c r="AG205" s="893">
        <f t="shared" si="129"/>
        <v>0</v>
      </c>
      <c r="AH205" s="893">
        <f t="shared" si="129"/>
        <v>0</v>
      </c>
      <c r="AI205" s="893">
        <f t="shared" si="129"/>
        <v>0</v>
      </c>
      <c r="AJ205" s="893">
        <f t="shared" si="129"/>
        <v>0</v>
      </c>
      <c r="AK205" s="893">
        <f t="shared" si="129"/>
        <v>0</v>
      </c>
      <c r="AL205" s="893">
        <f t="shared" si="129"/>
        <v>0</v>
      </c>
      <c r="AM205" s="893">
        <f t="shared" si="129"/>
        <v>0</v>
      </c>
      <c r="AN205" s="894">
        <f t="shared" si="129"/>
        <v>0</v>
      </c>
    </row>
    <row r="206" spans="1:40" x14ac:dyDescent="0.3">
      <c r="A206" s="828">
        <v>20</v>
      </c>
      <c r="B206" s="815">
        <f>'Gebäude (02,03)'!J130</f>
        <v>0</v>
      </c>
      <c r="C206" s="868">
        <f t="shared" si="89"/>
        <v>0</v>
      </c>
      <c r="D206" s="832">
        <f t="shared" si="90"/>
        <v>0</v>
      </c>
      <c r="E206" s="892">
        <f t="shared" ref="E206:P206" si="130">IF(OR($T131="",$B206=0),0,$C206*($B206*VLOOKUP($T131,$B$68:$N$100,E$186+1,FALSE)-$D206))</f>
        <v>0</v>
      </c>
      <c r="F206" s="893">
        <f t="shared" si="130"/>
        <v>0</v>
      </c>
      <c r="G206" s="893">
        <f t="shared" si="130"/>
        <v>0</v>
      </c>
      <c r="H206" s="893">
        <f t="shared" si="130"/>
        <v>0</v>
      </c>
      <c r="I206" s="893">
        <f t="shared" si="130"/>
        <v>0</v>
      </c>
      <c r="J206" s="893">
        <f t="shared" si="130"/>
        <v>0</v>
      </c>
      <c r="K206" s="893">
        <f t="shared" si="130"/>
        <v>0</v>
      </c>
      <c r="L206" s="893">
        <f t="shared" si="130"/>
        <v>0</v>
      </c>
      <c r="M206" s="893">
        <f t="shared" si="130"/>
        <v>0</v>
      </c>
      <c r="N206" s="893">
        <f t="shared" si="130"/>
        <v>0</v>
      </c>
      <c r="O206" s="893">
        <f t="shared" si="130"/>
        <v>0</v>
      </c>
      <c r="P206" s="894">
        <f t="shared" si="130"/>
        <v>0</v>
      </c>
      <c r="AA206" s="828">
        <v>20</v>
      </c>
      <c r="AB206" s="868">
        <f t="shared" si="92"/>
        <v>0</v>
      </c>
      <c r="AC206" s="892">
        <f t="shared" ref="AC206:AN206" si="131">IF(OR($T131="",$B206=0),0,$AB206*($B206*VLOOKUP($T131,$B$68:$N$100,AC$186+1,FALSE)-$D206))</f>
        <v>0</v>
      </c>
      <c r="AD206" s="893">
        <f t="shared" si="131"/>
        <v>0</v>
      </c>
      <c r="AE206" s="893">
        <f t="shared" si="131"/>
        <v>0</v>
      </c>
      <c r="AF206" s="893">
        <f t="shared" si="131"/>
        <v>0</v>
      </c>
      <c r="AG206" s="893">
        <f t="shared" si="131"/>
        <v>0</v>
      </c>
      <c r="AH206" s="893">
        <f t="shared" si="131"/>
        <v>0</v>
      </c>
      <c r="AI206" s="893">
        <f t="shared" si="131"/>
        <v>0</v>
      </c>
      <c r="AJ206" s="893">
        <f t="shared" si="131"/>
        <v>0</v>
      </c>
      <c r="AK206" s="893">
        <f t="shared" si="131"/>
        <v>0</v>
      </c>
      <c r="AL206" s="893">
        <f t="shared" si="131"/>
        <v>0</v>
      </c>
      <c r="AM206" s="893">
        <f t="shared" si="131"/>
        <v>0</v>
      </c>
      <c r="AN206" s="894">
        <f t="shared" si="131"/>
        <v>0</v>
      </c>
    </row>
    <row r="207" spans="1:40" x14ac:dyDescent="0.3">
      <c r="A207" s="828">
        <v>21</v>
      </c>
      <c r="B207" s="815">
        <f>'Gebäude (02,03)'!J131</f>
        <v>0</v>
      </c>
      <c r="C207" s="868">
        <f t="shared" si="89"/>
        <v>0</v>
      </c>
      <c r="D207" s="832">
        <f t="shared" si="90"/>
        <v>0</v>
      </c>
      <c r="E207" s="892">
        <f t="shared" ref="E207:P207" si="132">IF(OR($T132="",$B207=0),0,$C207*($B207*VLOOKUP($T132,$B$68:$N$100,E$186+1,FALSE)-$D207))</f>
        <v>0</v>
      </c>
      <c r="F207" s="893">
        <f t="shared" si="132"/>
        <v>0</v>
      </c>
      <c r="G207" s="893">
        <f t="shared" si="132"/>
        <v>0</v>
      </c>
      <c r="H207" s="893">
        <f t="shared" si="132"/>
        <v>0</v>
      </c>
      <c r="I207" s="893">
        <f t="shared" si="132"/>
        <v>0</v>
      </c>
      <c r="J207" s="893">
        <f t="shared" si="132"/>
        <v>0</v>
      </c>
      <c r="K207" s="893">
        <f t="shared" si="132"/>
        <v>0</v>
      </c>
      <c r="L207" s="893">
        <f t="shared" si="132"/>
        <v>0</v>
      </c>
      <c r="M207" s="893">
        <f t="shared" si="132"/>
        <v>0</v>
      </c>
      <c r="N207" s="893">
        <f t="shared" si="132"/>
        <v>0</v>
      </c>
      <c r="O207" s="893">
        <f t="shared" si="132"/>
        <v>0</v>
      </c>
      <c r="P207" s="894">
        <f t="shared" si="132"/>
        <v>0</v>
      </c>
      <c r="AA207" s="828">
        <v>21</v>
      </c>
      <c r="AB207" s="868">
        <f t="shared" si="92"/>
        <v>0</v>
      </c>
      <c r="AC207" s="892">
        <f t="shared" ref="AC207:AN207" si="133">IF(OR($T132="",$B207=0),0,$AB207*($B207*VLOOKUP($T132,$B$68:$N$100,AC$186+1,FALSE)-$D207))</f>
        <v>0</v>
      </c>
      <c r="AD207" s="893">
        <f t="shared" si="133"/>
        <v>0</v>
      </c>
      <c r="AE207" s="893">
        <f t="shared" si="133"/>
        <v>0</v>
      </c>
      <c r="AF207" s="893">
        <f t="shared" si="133"/>
        <v>0</v>
      </c>
      <c r="AG207" s="893">
        <f t="shared" si="133"/>
        <v>0</v>
      </c>
      <c r="AH207" s="893">
        <f t="shared" si="133"/>
        <v>0</v>
      </c>
      <c r="AI207" s="893">
        <f t="shared" si="133"/>
        <v>0</v>
      </c>
      <c r="AJ207" s="893">
        <f t="shared" si="133"/>
        <v>0</v>
      </c>
      <c r="AK207" s="893">
        <f t="shared" si="133"/>
        <v>0</v>
      </c>
      <c r="AL207" s="893">
        <f t="shared" si="133"/>
        <v>0</v>
      </c>
      <c r="AM207" s="893">
        <f t="shared" si="133"/>
        <v>0</v>
      </c>
      <c r="AN207" s="894">
        <f t="shared" si="133"/>
        <v>0</v>
      </c>
    </row>
    <row r="208" spans="1:40" x14ac:dyDescent="0.3">
      <c r="A208" s="828">
        <v>22</v>
      </c>
      <c r="B208" s="815">
        <f>'Gebäude (02,03)'!J132</f>
        <v>0</v>
      </c>
      <c r="C208" s="868">
        <f t="shared" si="89"/>
        <v>0</v>
      </c>
      <c r="D208" s="832">
        <f t="shared" si="90"/>
        <v>0</v>
      </c>
      <c r="E208" s="892">
        <f t="shared" ref="E208:P208" si="134">IF(OR($T133="",$B208=0),0,$C208*($B208*VLOOKUP($T133,$B$68:$N$100,E$186+1,FALSE)-$D208))</f>
        <v>0</v>
      </c>
      <c r="F208" s="893">
        <f t="shared" si="134"/>
        <v>0</v>
      </c>
      <c r="G208" s="893">
        <f t="shared" si="134"/>
        <v>0</v>
      </c>
      <c r="H208" s="893">
        <f t="shared" si="134"/>
        <v>0</v>
      </c>
      <c r="I208" s="893">
        <f t="shared" si="134"/>
        <v>0</v>
      </c>
      <c r="J208" s="893">
        <f t="shared" si="134"/>
        <v>0</v>
      </c>
      <c r="K208" s="893">
        <f t="shared" si="134"/>
        <v>0</v>
      </c>
      <c r="L208" s="893">
        <f t="shared" si="134"/>
        <v>0</v>
      </c>
      <c r="M208" s="893">
        <f t="shared" si="134"/>
        <v>0</v>
      </c>
      <c r="N208" s="893">
        <f t="shared" si="134"/>
        <v>0</v>
      </c>
      <c r="O208" s="893">
        <f t="shared" si="134"/>
        <v>0</v>
      </c>
      <c r="P208" s="894">
        <f t="shared" si="134"/>
        <v>0</v>
      </c>
      <c r="AA208" s="828">
        <v>22</v>
      </c>
      <c r="AB208" s="868">
        <f t="shared" si="92"/>
        <v>0</v>
      </c>
      <c r="AC208" s="892">
        <f t="shared" ref="AC208:AN208" si="135">IF(OR($T133="",$B208=0),0,$AB208*($B208*VLOOKUP($T133,$B$68:$N$100,AC$186+1,FALSE)-$D208))</f>
        <v>0</v>
      </c>
      <c r="AD208" s="893">
        <f t="shared" si="135"/>
        <v>0</v>
      </c>
      <c r="AE208" s="893">
        <f t="shared" si="135"/>
        <v>0</v>
      </c>
      <c r="AF208" s="893">
        <f t="shared" si="135"/>
        <v>0</v>
      </c>
      <c r="AG208" s="893">
        <f t="shared" si="135"/>
        <v>0</v>
      </c>
      <c r="AH208" s="893">
        <f t="shared" si="135"/>
        <v>0</v>
      </c>
      <c r="AI208" s="893">
        <f t="shared" si="135"/>
        <v>0</v>
      </c>
      <c r="AJ208" s="893">
        <f t="shared" si="135"/>
        <v>0</v>
      </c>
      <c r="AK208" s="893">
        <f t="shared" si="135"/>
        <v>0</v>
      </c>
      <c r="AL208" s="893">
        <f t="shared" si="135"/>
        <v>0</v>
      </c>
      <c r="AM208" s="893">
        <f t="shared" si="135"/>
        <v>0</v>
      </c>
      <c r="AN208" s="894">
        <f t="shared" si="135"/>
        <v>0</v>
      </c>
    </row>
    <row r="209" spans="1:40" x14ac:dyDescent="0.3">
      <c r="A209" s="828">
        <v>23</v>
      </c>
      <c r="B209" s="815">
        <f>'Gebäude (02,03)'!J133</f>
        <v>0</v>
      </c>
      <c r="C209" s="868">
        <f t="shared" si="89"/>
        <v>0</v>
      </c>
      <c r="D209" s="832">
        <f t="shared" si="90"/>
        <v>0</v>
      </c>
      <c r="E209" s="892">
        <f t="shared" ref="E209:P209" si="136">IF(OR($T134="",$B209=0),0,$C209*($B209*VLOOKUP($T134,$B$68:$N$100,E$186+1,FALSE)-$D209))</f>
        <v>0</v>
      </c>
      <c r="F209" s="893">
        <f t="shared" si="136"/>
        <v>0</v>
      </c>
      <c r="G209" s="893">
        <f t="shared" si="136"/>
        <v>0</v>
      </c>
      <c r="H209" s="893">
        <f t="shared" si="136"/>
        <v>0</v>
      </c>
      <c r="I209" s="893">
        <f t="shared" si="136"/>
        <v>0</v>
      </c>
      <c r="J209" s="893">
        <f t="shared" si="136"/>
        <v>0</v>
      </c>
      <c r="K209" s="893">
        <f t="shared" si="136"/>
        <v>0</v>
      </c>
      <c r="L209" s="893">
        <f t="shared" si="136"/>
        <v>0</v>
      </c>
      <c r="M209" s="893">
        <f t="shared" si="136"/>
        <v>0</v>
      </c>
      <c r="N209" s="893">
        <f t="shared" si="136"/>
        <v>0</v>
      </c>
      <c r="O209" s="893">
        <f t="shared" si="136"/>
        <v>0</v>
      </c>
      <c r="P209" s="894">
        <f t="shared" si="136"/>
        <v>0</v>
      </c>
      <c r="AA209" s="828">
        <v>23</v>
      </c>
      <c r="AB209" s="868">
        <f t="shared" si="92"/>
        <v>0</v>
      </c>
      <c r="AC209" s="892">
        <f t="shared" ref="AC209:AN209" si="137">IF(OR($T134="",$B209=0),0,$AB209*($B209*VLOOKUP($T134,$B$68:$N$100,AC$186+1,FALSE)-$D209))</f>
        <v>0</v>
      </c>
      <c r="AD209" s="893">
        <f t="shared" si="137"/>
        <v>0</v>
      </c>
      <c r="AE209" s="893">
        <f t="shared" si="137"/>
        <v>0</v>
      </c>
      <c r="AF209" s="893">
        <f t="shared" si="137"/>
        <v>0</v>
      </c>
      <c r="AG209" s="893">
        <f t="shared" si="137"/>
        <v>0</v>
      </c>
      <c r="AH209" s="893">
        <f t="shared" si="137"/>
        <v>0</v>
      </c>
      <c r="AI209" s="893">
        <f t="shared" si="137"/>
        <v>0</v>
      </c>
      <c r="AJ209" s="893">
        <f t="shared" si="137"/>
        <v>0</v>
      </c>
      <c r="AK209" s="893">
        <f t="shared" si="137"/>
        <v>0</v>
      </c>
      <c r="AL209" s="893">
        <f t="shared" si="137"/>
        <v>0</v>
      </c>
      <c r="AM209" s="893">
        <f t="shared" si="137"/>
        <v>0</v>
      </c>
      <c r="AN209" s="894">
        <f t="shared" si="137"/>
        <v>0</v>
      </c>
    </row>
    <row r="210" spans="1:40" x14ac:dyDescent="0.3">
      <c r="A210" s="828">
        <v>24</v>
      </c>
      <c r="B210" s="815">
        <f>'Gebäude (02,03)'!J134</f>
        <v>0</v>
      </c>
      <c r="C210" s="868">
        <f t="shared" si="89"/>
        <v>0</v>
      </c>
      <c r="D210" s="832">
        <f t="shared" si="90"/>
        <v>0</v>
      </c>
      <c r="E210" s="892">
        <f t="shared" ref="E210:P210" si="138">IF(OR($T135="",$B210=0),0,$C210*($B210*VLOOKUP($T135,$B$68:$N$100,E$186+1,FALSE)-$D210))</f>
        <v>0</v>
      </c>
      <c r="F210" s="893">
        <f t="shared" si="138"/>
        <v>0</v>
      </c>
      <c r="G210" s="893">
        <f t="shared" si="138"/>
        <v>0</v>
      </c>
      <c r="H210" s="893">
        <f t="shared" si="138"/>
        <v>0</v>
      </c>
      <c r="I210" s="893">
        <f t="shared" si="138"/>
        <v>0</v>
      </c>
      <c r="J210" s="893">
        <f t="shared" si="138"/>
        <v>0</v>
      </c>
      <c r="K210" s="893">
        <f t="shared" si="138"/>
        <v>0</v>
      </c>
      <c r="L210" s="893">
        <f t="shared" si="138"/>
        <v>0</v>
      </c>
      <c r="M210" s="893">
        <f t="shared" si="138"/>
        <v>0</v>
      </c>
      <c r="N210" s="893">
        <f t="shared" si="138"/>
        <v>0</v>
      </c>
      <c r="O210" s="893">
        <f t="shared" si="138"/>
        <v>0</v>
      </c>
      <c r="P210" s="894">
        <f t="shared" si="138"/>
        <v>0</v>
      </c>
      <c r="AA210" s="828">
        <v>24</v>
      </c>
      <c r="AB210" s="868">
        <f t="shared" si="92"/>
        <v>0</v>
      </c>
      <c r="AC210" s="892">
        <f t="shared" ref="AC210:AN210" si="139">IF(OR($T135="",$B210=0),0,$AB210*($B210*VLOOKUP($T135,$B$68:$N$100,AC$186+1,FALSE)-$D210))</f>
        <v>0</v>
      </c>
      <c r="AD210" s="893">
        <f t="shared" si="139"/>
        <v>0</v>
      </c>
      <c r="AE210" s="893">
        <f t="shared" si="139"/>
        <v>0</v>
      </c>
      <c r="AF210" s="893">
        <f t="shared" si="139"/>
        <v>0</v>
      </c>
      <c r="AG210" s="893">
        <f t="shared" si="139"/>
        <v>0</v>
      </c>
      <c r="AH210" s="893">
        <f t="shared" si="139"/>
        <v>0</v>
      </c>
      <c r="AI210" s="893">
        <f t="shared" si="139"/>
        <v>0</v>
      </c>
      <c r="AJ210" s="893">
        <f t="shared" si="139"/>
        <v>0</v>
      </c>
      <c r="AK210" s="893">
        <f t="shared" si="139"/>
        <v>0</v>
      </c>
      <c r="AL210" s="893">
        <f t="shared" si="139"/>
        <v>0</v>
      </c>
      <c r="AM210" s="893">
        <f t="shared" si="139"/>
        <v>0</v>
      </c>
      <c r="AN210" s="894">
        <f t="shared" si="139"/>
        <v>0</v>
      </c>
    </row>
    <row r="211" spans="1:40" x14ac:dyDescent="0.3">
      <c r="A211" s="828">
        <v>25</v>
      </c>
      <c r="B211" s="815">
        <f>'Gebäude (02,03)'!J135</f>
        <v>0</v>
      </c>
      <c r="C211" s="868">
        <f t="shared" si="89"/>
        <v>0</v>
      </c>
      <c r="D211" s="832">
        <f t="shared" si="90"/>
        <v>0</v>
      </c>
      <c r="E211" s="892">
        <f t="shared" ref="E211:P211" si="140">IF(OR($T136="",$B211=0),0,$C211*($B211*VLOOKUP($T136,$B$68:$N$100,E$186+1,FALSE)-$D211))</f>
        <v>0</v>
      </c>
      <c r="F211" s="893">
        <f t="shared" si="140"/>
        <v>0</v>
      </c>
      <c r="G211" s="893">
        <f t="shared" si="140"/>
        <v>0</v>
      </c>
      <c r="H211" s="893">
        <f t="shared" si="140"/>
        <v>0</v>
      </c>
      <c r="I211" s="893">
        <f t="shared" si="140"/>
        <v>0</v>
      </c>
      <c r="J211" s="893">
        <f t="shared" si="140"/>
        <v>0</v>
      </c>
      <c r="K211" s="893">
        <f t="shared" si="140"/>
        <v>0</v>
      </c>
      <c r="L211" s="893">
        <f t="shared" si="140"/>
        <v>0</v>
      </c>
      <c r="M211" s="893">
        <f t="shared" si="140"/>
        <v>0</v>
      </c>
      <c r="N211" s="893">
        <f t="shared" si="140"/>
        <v>0</v>
      </c>
      <c r="O211" s="893">
        <f t="shared" si="140"/>
        <v>0</v>
      </c>
      <c r="P211" s="894">
        <f t="shared" si="140"/>
        <v>0</v>
      </c>
      <c r="AA211" s="828">
        <v>25</v>
      </c>
      <c r="AB211" s="868">
        <f t="shared" si="92"/>
        <v>0</v>
      </c>
      <c r="AC211" s="892">
        <f t="shared" ref="AC211:AN211" si="141">IF(OR($T136="",$B211=0),0,$AB211*($B211*VLOOKUP($T136,$B$68:$N$100,AC$186+1,FALSE)-$D211))</f>
        <v>0</v>
      </c>
      <c r="AD211" s="893">
        <f t="shared" si="141"/>
        <v>0</v>
      </c>
      <c r="AE211" s="893">
        <f t="shared" si="141"/>
        <v>0</v>
      </c>
      <c r="AF211" s="893">
        <f t="shared" si="141"/>
        <v>0</v>
      </c>
      <c r="AG211" s="893">
        <f t="shared" si="141"/>
        <v>0</v>
      </c>
      <c r="AH211" s="893">
        <f t="shared" si="141"/>
        <v>0</v>
      </c>
      <c r="AI211" s="893">
        <f t="shared" si="141"/>
        <v>0</v>
      </c>
      <c r="AJ211" s="893">
        <f t="shared" si="141"/>
        <v>0</v>
      </c>
      <c r="AK211" s="893">
        <f t="shared" si="141"/>
        <v>0</v>
      </c>
      <c r="AL211" s="893">
        <f t="shared" si="141"/>
        <v>0</v>
      </c>
      <c r="AM211" s="893">
        <f t="shared" si="141"/>
        <v>0</v>
      </c>
      <c r="AN211" s="894">
        <f t="shared" si="141"/>
        <v>0</v>
      </c>
    </row>
    <row r="212" spans="1:40" x14ac:dyDescent="0.3">
      <c r="A212" s="828">
        <v>26</v>
      </c>
      <c r="B212" s="815">
        <f>'Gebäude (02,03)'!J136</f>
        <v>0</v>
      </c>
      <c r="C212" s="868">
        <f t="shared" si="89"/>
        <v>0</v>
      </c>
      <c r="D212" s="832">
        <f t="shared" si="90"/>
        <v>0</v>
      </c>
      <c r="E212" s="892">
        <f t="shared" ref="E212:P212" si="142">IF(OR($T137="",$B212=0),0,$C212*($B212*VLOOKUP($T137,$B$68:$N$100,E$186+1,FALSE)-$D212))</f>
        <v>0</v>
      </c>
      <c r="F212" s="893">
        <f t="shared" si="142"/>
        <v>0</v>
      </c>
      <c r="G212" s="893">
        <f t="shared" si="142"/>
        <v>0</v>
      </c>
      <c r="H212" s="893">
        <f t="shared" si="142"/>
        <v>0</v>
      </c>
      <c r="I212" s="893">
        <f t="shared" si="142"/>
        <v>0</v>
      </c>
      <c r="J212" s="893">
        <f t="shared" si="142"/>
        <v>0</v>
      </c>
      <c r="K212" s="893">
        <f t="shared" si="142"/>
        <v>0</v>
      </c>
      <c r="L212" s="893">
        <f t="shared" si="142"/>
        <v>0</v>
      </c>
      <c r="M212" s="893">
        <f t="shared" si="142"/>
        <v>0</v>
      </c>
      <c r="N212" s="893">
        <f t="shared" si="142"/>
        <v>0</v>
      </c>
      <c r="O212" s="893">
        <f t="shared" si="142"/>
        <v>0</v>
      </c>
      <c r="P212" s="894">
        <f t="shared" si="142"/>
        <v>0</v>
      </c>
      <c r="AA212" s="828">
        <v>26</v>
      </c>
      <c r="AB212" s="868">
        <f t="shared" si="92"/>
        <v>0</v>
      </c>
      <c r="AC212" s="892">
        <f t="shared" ref="AC212:AN212" si="143">IF(OR($T137="",$B212=0),0,$AB212*($B212*VLOOKUP($T137,$B$68:$N$100,AC$186+1,FALSE)-$D212))</f>
        <v>0</v>
      </c>
      <c r="AD212" s="893">
        <f t="shared" si="143"/>
        <v>0</v>
      </c>
      <c r="AE212" s="893">
        <f t="shared" si="143"/>
        <v>0</v>
      </c>
      <c r="AF212" s="893">
        <f t="shared" si="143"/>
        <v>0</v>
      </c>
      <c r="AG212" s="893">
        <f t="shared" si="143"/>
        <v>0</v>
      </c>
      <c r="AH212" s="893">
        <f t="shared" si="143"/>
        <v>0</v>
      </c>
      <c r="AI212" s="893">
        <f t="shared" si="143"/>
        <v>0</v>
      </c>
      <c r="AJ212" s="893">
        <f t="shared" si="143"/>
        <v>0</v>
      </c>
      <c r="AK212" s="893">
        <f t="shared" si="143"/>
        <v>0</v>
      </c>
      <c r="AL212" s="893">
        <f t="shared" si="143"/>
        <v>0</v>
      </c>
      <c r="AM212" s="893">
        <f t="shared" si="143"/>
        <v>0</v>
      </c>
      <c r="AN212" s="894">
        <f t="shared" si="143"/>
        <v>0</v>
      </c>
    </row>
    <row r="213" spans="1:40" x14ac:dyDescent="0.3">
      <c r="A213" s="828">
        <v>27</v>
      </c>
      <c r="B213" s="815">
        <f>'Gebäude (02,03)'!J137</f>
        <v>0</v>
      </c>
      <c r="C213" s="868">
        <f t="shared" si="89"/>
        <v>0</v>
      </c>
      <c r="D213" s="832">
        <f t="shared" si="90"/>
        <v>0</v>
      </c>
      <c r="E213" s="892">
        <f t="shared" ref="E213:P213" si="144">IF(OR($T138="",$B213=0),0,$C213*($B213*VLOOKUP($T138,$B$68:$N$100,E$186+1,FALSE)-$D213))</f>
        <v>0</v>
      </c>
      <c r="F213" s="893">
        <f t="shared" si="144"/>
        <v>0</v>
      </c>
      <c r="G213" s="893">
        <f t="shared" si="144"/>
        <v>0</v>
      </c>
      <c r="H213" s="893">
        <f t="shared" si="144"/>
        <v>0</v>
      </c>
      <c r="I213" s="893">
        <f t="shared" si="144"/>
        <v>0</v>
      </c>
      <c r="J213" s="893">
        <f t="shared" si="144"/>
        <v>0</v>
      </c>
      <c r="K213" s="893">
        <f t="shared" si="144"/>
        <v>0</v>
      </c>
      <c r="L213" s="893">
        <f t="shared" si="144"/>
        <v>0</v>
      </c>
      <c r="M213" s="893">
        <f t="shared" si="144"/>
        <v>0</v>
      </c>
      <c r="N213" s="893">
        <f t="shared" si="144"/>
        <v>0</v>
      </c>
      <c r="O213" s="893">
        <f t="shared" si="144"/>
        <v>0</v>
      </c>
      <c r="P213" s="894">
        <f t="shared" si="144"/>
        <v>0</v>
      </c>
      <c r="AA213" s="828">
        <v>27</v>
      </c>
      <c r="AB213" s="868">
        <f t="shared" si="92"/>
        <v>0</v>
      </c>
      <c r="AC213" s="892">
        <f t="shared" ref="AC213:AN213" si="145">IF(OR($T138="",$B213=0),0,$AB213*($B213*VLOOKUP($T138,$B$68:$N$100,AC$186+1,FALSE)-$D213))</f>
        <v>0</v>
      </c>
      <c r="AD213" s="893">
        <f t="shared" si="145"/>
        <v>0</v>
      </c>
      <c r="AE213" s="893">
        <f t="shared" si="145"/>
        <v>0</v>
      </c>
      <c r="AF213" s="893">
        <f t="shared" si="145"/>
        <v>0</v>
      </c>
      <c r="AG213" s="893">
        <f t="shared" si="145"/>
        <v>0</v>
      </c>
      <c r="AH213" s="893">
        <f t="shared" si="145"/>
        <v>0</v>
      </c>
      <c r="AI213" s="893">
        <f t="shared" si="145"/>
        <v>0</v>
      </c>
      <c r="AJ213" s="893">
        <f t="shared" si="145"/>
        <v>0</v>
      </c>
      <c r="AK213" s="893">
        <f t="shared" si="145"/>
        <v>0</v>
      </c>
      <c r="AL213" s="893">
        <f t="shared" si="145"/>
        <v>0</v>
      </c>
      <c r="AM213" s="893">
        <f t="shared" si="145"/>
        <v>0</v>
      </c>
      <c r="AN213" s="894">
        <f t="shared" si="145"/>
        <v>0</v>
      </c>
    </row>
    <row r="214" spans="1:40" x14ac:dyDescent="0.3">
      <c r="A214" s="828">
        <v>28</v>
      </c>
      <c r="B214" s="815">
        <f>'Gebäude (02,03)'!J138</f>
        <v>0</v>
      </c>
      <c r="C214" s="868">
        <f t="shared" si="89"/>
        <v>0</v>
      </c>
      <c r="D214" s="832">
        <f t="shared" si="90"/>
        <v>0</v>
      </c>
      <c r="E214" s="892">
        <f t="shared" ref="E214:P214" si="146">IF(OR($T139="",$B214=0),0,$C214*($B214*VLOOKUP($T139,$B$68:$N$100,E$186+1,FALSE)-$D214))</f>
        <v>0</v>
      </c>
      <c r="F214" s="893">
        <f t="shared" si="146"/>
        <v>0</v>
      </c>
      <c r="G214" s="893">
        <f t="shared" si="146"/>
        <v>0</v>
      </c>
      <c r="H214" s="893">
        <f t="shared" si="146"/>
        <v>0</v>
      </c>
      <c r="I214" s="893">
        <f t="shared" si="146"/>
        <v>0</v>
      </c>
      <c r="J214" s="893">
        <f t="shared" si="146"/>
        <v>0</v>
      </c>
      <c r="K214" s="893">
        <f t="shared" si="146"/>
        <v>0</v>
      </c>
      <c r="L214" s="893">
        <f t="shared" si="146"/>
        <v>0</v>
      </c>
      <c r="M214" s="893">
        <f t="shared" si="146"/>
        <v>0</v>
      </c>
      <c r="N214" s="893">
        <f t="shared" si="146"/>
        <v>0</v>
      </c>
      <c r="O214" s="893">
        <f t="shared" si="146"/>
        <v>0</v>
      </c>
      <c r="P214" s="894">
        <f t="shared" si="146"/>
        <v>0</v>
      </c>
      <c r="AA214" s="828">
        <v>28</v>
      </c>
      <c r="AB214" s="868">
        <f t="shared" si="92"/>
        <v>0</v>
      </c>
      <c r="AC214" s="892">
        <f t="shared" ref="AC214:AN214" si="147">IF(OR($T139="",$B214=0),0,$AB214*($B214*VLOOKUP($T139,$B$68:$N$100,AC$186+1,FALSE)-$D214))</f>
        <v>0</v>
      </c>
      <c r="AD214" s="893">
        <f t="shared" si="147"/>
        <v>0</v>
      </c>
      <c r="AE214" s="893">
        <f t="shared" si="147"/>
        <v>0</v>
      </c>
      <c r="AF214" s="893">
        <f t="shared" si="147"/>
        <v>0</v>
      </c>
      <c r="AG214" s="893">
        <f t="shared" si="147"/>
        <v>0</v>
      </c>
      <c r="AH214" s="893">
        <f t="shared" si="147"/>
        <v>0</v>
      </c>
      <c r="AI214" s="893">
        <f t="shared" si="147"/>
        <v>0</v>
      </c>
      <c r="AJ214" s="893">
        <f t="shared" si="147"/>
        <v>0</v>
      </c>
      <c r="AK214" s="893">
        <f t="shared" si="147"/>
        <v>0</v>
      </c>
      <c r="AL214" s="893">
        <f t="shared" si="147"/>
        <v>0</v>
      </c>
      <c r="AM214" s="893">
        <f t="shared" si="147"/>
        <v>0</v>
      </c>
      <c r="AN214" s="894">
        <f t="shared" si="147"/>
        <v>0</v>
      </c>
    </row>
    <row r="215" spans="1:40" x14ac:dyDescent="0.3">
      <c r="A215" s="828">
        <v>29</v>
      </c>
      <c r="B215" s="815">
        <f>'Gebäude (02,03)'!J139</f>
        <v>0</v>
      </c>
      <c r="C215" s="868">
        <f t="shared" si="89"/>
        <v>0</v>
      </c>
      <c r="D215" s="832">
        <f t="shared" si="90"/>
        <v>0</v>
      </c>
      <c r="E215" s="892">
        <f t="shared" ref="E215:P215" si="148">IF(OR($T140="",$B215=0),0,$C215*($B215*VLOOKUP($T140,$B$68:$N$100,E$186+1,FALSE)-$D215))</f>
        <v>0</v>
      </c>
      <c r="F215" s="893">
        <f t="shared" si="148"/>
        <v>0</v>
      </c>
      <c r="G215" s="893">
        <f t="shared" si="148"/>
        <v>0</v>
      </c>
      <c r="H215" s="893">
        <f t="shared" si="148"/>
        <v>0</v>
      </c>
      <c r="I215" s="893">
        <f t="shared" si="148"/>
        <v>0</v>
      </c>
      <c r="J215" s="893">
        <f t="shared" si="148"/>
        <v>0</v>
      </c>
      <c r="K215" s="893">
        <f t="shared" si="148"/>
        <v>0</v>
      </c>
      <c r="L215" s="893">
        <f t="shared" si="148"/>
        <v>0</v>
      </c>
      <c r="M215" s="893">
        <f t="shared" si="148"/>
        <v>0</v>
      </c>
      <c r="N215" s="893">
        <f t="shared" si="148"/>
        <v>0</v>
      </c>
      <c r="O215" s="893">
        <f t="shared" si="148"/>
        <v>0</v>
      </c>
      <c r="P215" s="894">
        <f t="shared" si="148"/>
        <v>0</v>
      </c>
      <c r="AA215" s="828">
        <v>29</v>
      </c>
      <c r="AB215" s="868">
        <f t="shared" si="92"/>
        <v>0</v>
      </c>
      <c r="AC215" s="892">
        <f t="shared" ref="AC215:AN215" si="149">IF(OR($T140="",$B215=0),0,$AB215*($B215*VLOOKUP($T140,$B$68:$N$100,AC$186+1,FALSE)-$D215))</f>
        <v>0</v>
      </c>
      <c r="AD215" s="893">
        <f t="shared" si="149"/>
        <v>0</v>
      </c>
      <c r="AE215" s="893">
        <f t="shared" si="149"/>
        <v>0</v>
      </c>
      <c r="AF215" s="893">
        <f t="shared" si="149"/>
        <v>0</v>
      </c>
      <c r="AG215" s="893">
        <f t="shared" si="149"/>
        <v>0</v>
      </c>
      <c r="AH215" s="893">
        <f t="shared" si="149"/>
        <v>0</v>
      </c>
      <c r="AI215" s="893">
        <f t="shared" si="149"/>
        <v>0</v>
      </c>
      <c r="AJ215" s="893">
        <f t="shared" si="149"/>
        <v>0</v>
      </c>
      <c r="AK215" s="893">
        <f t="shared" si="149"/>
        <v>0</v>
      </c>
      <c r="AL215" s="893">
        <f t="shared" si="149"/>
        <v>0</v>
      </c>
      <c r="AM215" s="893">
        <f t="shared" si="149"/>
        <v>0</v>
      </c>
      <c r="AN215" s="894">
        <f t="shared" si="149"/>
        <v>0</v>
      </c>
    </row>
    <row r="216" spans="1:40" x14ac:dyDescent="0.3">
      <c r="A216" s="828">
        <v>30</v>
      </c>
      <c r="B216" s="815">
        <f>'Gebäude (02,03)'!J140</f>
        <v>0</v>
      </c>
      <c r="C216" s="868">
        <f t="shared" si="89"/>
        <v>0</v>
      </c>
      <c r="D216" s="832">
        <f t="shared" si="90"/>
        <v>0</v>
      </c>
      <c r="E216" s="895">
        <f t="shared" ref="E216:P216" si="150">IF(OR($T141="",$B216=0),0,$C216*($B216*VLOOKUP($T141,$B$68:$N$100,E$186+1,FALSE)-$D216))</f>
        <v>0</v>
      </c>
      <c r="F216" s="896">
        <f t="shared" si="150"/>
        <v>0</v>
      </c>
      <c r="G216" s="896">
        <f t="shared" si="150"/>
        <v>0</v>
      </c>
      <c r="H216" s="896">
        <f t="shared" si="150"/>
        <v>0</v>
      </c>
      <c r="I216" s="896">
        <f t="shared" si="150"/>
        <v>0</v>
      </c>
      <c r="J216" s="896">
        <f t="shared" si="150"/>
        <v>0</v>
      </c>
      <c r="K216" s="896">
        <f t="shared" si="150"/>
        <v>0</v>
      </c>
      <c r="L216" s="896">
        <f t="shared" si="150"/>
        <v>0</v>
      </c>
      <c r="M216" s="896">
        <f t="shared" si="150"/>
        <v>0</v>
      </c>
      <c r="N216" s="896">
        <f t="shared" si="150"/>
        <v>0</v>
      </c>
      <c r="O216" s="896">
        <f t="shared" si="150"/>
        <v>0</v>
      </c>
      <c r="P216" s="897">
        <f t="shared" si="150"/>
        <v>0</v>
      </c>
      <c r="AA216" s="828">
        <v>30</v>
      </c>
      <c r="AB216" s="868">
        <f t="shared" si="92"/>
        <v>0</v>
      </c>
      <c r="AC216" s="895">
        <f t="shared" ref="AC216:AN216" si="151">IF(OR($T141="",$B216=0),0,$AB216*($B216*VLOOKUP($T141,$B$68:$N$100,AC$186+1,FALSE)-$D216))</f>
        <v>0</v>
      </c>
      <c r="AD216" s="896">
        <f t="shared" si="151"/>
        <v>0</v>
      </c>
      <c r="AE216" s="896">
        <f t="shared" si="151"/>
        <v>0</v>
      </c>
      <c r="AF216" s="896">
        <f t="shared" si="151"/>
        <v>0</v>
      </c>
      <c r="AG216" s="896">
        <f t="shared" si="151"/>
        <v>0</v>
      </c>
      <c r="AH216" s="896">
        <f t="shared" si="151"/>
        <v>0</v>
      </c>
      <c r="AI216" s="896">
        <f t="shared" si="151"/>
        <v>0</v>
      </c>
      <c r="AJ216" s="896">
        <f t="shared" si="151"/>
        <v>0</v>
      </c>
      <c r="AK216" s="896">
        <f t="shared" si="151"/>
        <v>0</v>
      </c>
      <c r="AL216" s="896">
        <f t="shared" si="151"/>
        <v>0</v>
      </c>
      <c r="AM216" s="896">
        <f t="shared" si="151"/>
        <v>0</v>
      </c>
      <c r="AN216" s="897">
        <f t="shared" si="151"/>
        <v>0</v>
      </c>
    </row>
    <row r="217" spans="1:40" x14ac:dyDescent="0.3">
      <c r="A217" s="828"/>
      <c r="B217" s="832"/>
      <c r="C217" s="832"/>
      <c r="D217" s="832" t="s">
        <v>1057</v>
      </c>
      <c r="E217" s="898">
        <f>SUM(E187:E216)</f>
        <v>0</v>
      </c>
      <c r="F217" s="898">
        <f t="shared" ref="F217:P217" si="152">SUM(F187:F216)</f>
        <v>0</v>
      </c>
      <c r="G217" s="898">
        <f t="shared" si="152"/>
        <v>0</v>
      </c>
      <c r="H217" s="898">
        <f t="shared" si="152"/>
        <v>0</v>
      </c>
      <c r="I217" s="898">
        <f t="shared" si="152"/>
        <v>0</v>
      </c>
      <c r="J217" s="898">
        <f t="shared" si="152"/>
        <v>0</v>
      </c>
      <c r="K217" s="898">
        <f t="shared" si="152"/>
        <v>0</v>
      </c>
      <c r="L217" s="898">
        <f t="shared" si="152"/>
        <v>0</v>
      </c>
      <c r="M217" s="898">
        <f t="shared" si="152"/>
        <v>0</v>
      </c>
      <c r="N217" s="898">
        <f t="shared" si="152"/>
        <v>0</v>
      </c>
      <c r="O217" s="898">
        <f t="shared" si="152"/>
        <v>0</v>
      </c>
      <c r="P217" s="899">
        <f t="shared" si="152"/>
        <v>0</v>
      </c>
      <c r="AA217" s="828"/>
      <c r="AB217" s="832" t="s">
        <v>1057</v>
      </c>
      <c r="AC217" s="942">
        <f t="shared" ref="AC217:AN217" si="153">SUM(AC187:AC216)</f>
        <v>0</v>
      </c>
      <c r="AD217" s="942">
        <f t="shared" si="153"/>
        <v>0</v>
      </c>
      <c r="AE217" s="942">
        <f t="shared" si="153"/>
        <v>0</v>
      </c>
      <c r="AF217" s="942">
        <f t="shared" si="153"/>
        <v>0</v>
      </c>
      <c r="AG217" s="942">
        <f t="shared" si="153"/>
        <v>0</v>
      </c>
      <c r="AH217" s="942">
        <f t="shared" si="153"/>
        <v>0</v>
      </c>
      <c r="AI217" s="942">
        <f t="shared" si="153"/>
        <v>0</v>
      </c>
      <c r="AJ217" s="942">
        <f t="shared" si="153"/>
        <v>0</v>
      </c>
      <c r="AK217" s="942">
        <f t="shared" si="153"/>
        <v>0</v>
      </c>
      <c r="AL217" s="942">
        <f t="shared" si="153"/>
        <v>0</v>
      </c>
      <c r="AM217" s="942">
        <f t="shared" si="153"/>
        <v>0</v>
      </c>
      <c r="AN217" s="943">
        <f t="shared" si="153"/>
        <v>0</v>
      </c>
    </row>
    <row r="218" spans="1:40" ht="14.5" thickBot="1" x14ac:dyDescent="0.35">
      <c r="A218" s="830"/>
      <c r="B218" s="834"/>
      <c r="C218" s="834"/>
      <c r="D218" s="834" t="s">
        <v>1058</v>
      </c>
      <c r="E218" s="900">
        <f t="shared" ref="E218:P218" si="154">E217*C102*24/1000</f>
        <v>0</v>
      </c>
      <c r="F218" s="900">
        <f t="shared" si="154"/>
        <v>0</v>
      </c>
      <c r="G218" s="900">
        <f t="shared" si="154"/>
        <v>0</v>
      </c>
      <c r="H218" s="900">
        <f t="shared" si="154"/>
        <v>0</v>
      </c>
      <c r="I218" s="900">
        <f t="shared" si="154"/>
        <v>0</v>
      </c>
      <c r="J218" s="900">
        <f t="shared" si="154"/>
        <v>0</v>
      </c>
      <c r="K218" s="900">
        <f t="shared" si="154"/>
        <v>0</v>
      </c>
      <c r="L218" s="900">
        <f t="shared" si="154"/>
        <v>0</v>
      </c>
      <c r="M218" s="900">
        <f t="shared" si="154"/>
        <v>0</v>
      </c>
      <c r="N218" s="900">
        <f t="shared" si="154"/>
        <v>0</v>
      </c>
      <c r="O218" s="900">
        <f t="shared" si="154"/>
        <v>0</v>
      </c>
      <c r="P218" s="901">
        <f t="shared" si="154"/>
        <v>0</v>
      </c>
      <c r="AA218" s="830"/>
      <c r="AB218" s="834" t="s">
        <v>1058</v>
      </c>
      <c r="AC218" s="944">
        <f t="shared" ref="AC218:AN218" si="155">AC217*C102*24/1000</f>
        <v>0</v>
      </c>
      <c r="AD218" s="944">
        <f t="shared" si="155"/>
        <v>0</v>
      </c>
      <c r="AE218" s="944">
        <f t="shared" si="155"/>
        <v>0</v>
      </c>
      <c r="AF218" s="944">
        <f t="shared" si="155"/>
        <v>0</v>
      </c>
      <c r="AG218" s="944">
        <f t="shared" si="155"/>
        <v>0</v>
      </c>
      <c r="AH218" s="944">
        <f t="shared" si="155"/>
        <v>0</v>
      </c>
      <c r="AI218" s="944">
        <f t="shared" si="155"/>
        <v>0</v>
      </c>
      <c r="AJ218" s="944">
        <f t="shared" si="155"/>
        <v>0</v>
      </c>
      <c r="AK218" s="944">
        <f t="shared" si="155"/>
        <v>0</v>
      </c>
      <c r="AL218" s="944">
        <f t="shared" si="155"/>
        <v>0</v>
      </c>
      <c r="AM218" s="944">
        <f t="shared" si="155"/>
        <v>0</v>
      </c>
      <c r="AN218" s="945">
        <f t="shared" si="155"/>
        <v>0</v>
      </c>
    </row>
    <row r="219" spans="1:40" ht="14.5" thickBot="1" x14ac:dyDescent="0.35">
      <c r="AD219" s="155"/>
      <c r="AE219" s="218"/>
    </row>
    <row r="220" spans="1:40" x14ac:dyDescent="0.3">
      <c r="A220" s="160" t="s">
        <v>996</v>
      </c>
      <c r="B220" s="823"/>
      <c r="C220" s="823"/>
      <c r="D220" s="823"/>
      <c r="E220" s="823"/>
      <c r="F220" s="823"/>
      <c r="G220" s="823"/>
      <c r="H220" s="823"/>
      <c r="I220" s="823"/>
      <c r="J220" s="823"/>
      <c r="K220" s="823"/>
      <c r="L220" s="823"/>
      <c r="M220" s="823"/>
      <c r="N220" s="823"/>
      <c r="O220" s="823"/>
      <c r="P220" s="824"/>
      <c r="AA220" s="939" t="s">
        <v>996</v>
      </c>
      <c r="AD220" s="155"/>
      <c r="AE220" s="218"/>
    </row>
    <row r="221" spans="1:40" ht="14.5" thickBot="1" x14ac:dyDescent="0.35">
      <c r="A221" s="828" t="s">
        <v>998</v>
      </c>
      <c r="B221" s="832" t="s">
        <v>357</v>
      </c>
      <c r="C221" s="820"/>
      <c r="D221" s="832"/>
      <c r="E221" s="832" t="s">
        <v>972</v>
      </c>
      <c r="F221" s="832" t="s">
        <v>973</v>
      </c>
      <c r="G221" s="832" t="s">
        <v>974</v>
      </c>
      <c r="H221" s="832" t="s">
        <v>975</v>
      </c>
      <c r="I221" s="832" t="s">
        <v>960</v>
      </c>
      <c r="J221" s="832" t="s">
        <v>976</v>
      </c>
      <c r="K221" s="832" t="s">
        <v>977</v>
      </c>
      <c r="L221" s="832" t="s">
        <v>978</v>
      </c>
      <c r="M221" s="832" t="s">
        <v>979</v>
      </c>
      <c r="N221" s="832" t="s">
        <v>980</v>
      </c>
      <c r="O221" s="832" t="s">
        <v>981</v>
      </c>
      <c r="P221" s="857" t="s">
        <v>982</v>
      </c>
      <c r="AA221" s="941" t="s">
        <v>1093</v>
      </c>
      <c r="AD221" s="155"/>
      <c r="AE221" s="218"/>
    </row>
    <row r="222" spans="1:40" x14ac:dyDescent="0.3">
      <c r="A222" s="902">
        <f>'Gebäude (02,03)'!F144</f>
        <v>5</v>
      </c>
      <c r="B222" s="832">
        <f>D14</f>
        <v>320</v>
      </c>
      <c r="C222" s="820"/>
      <c r="D222" s="832" t="s">
        <v>1057</v>
      </c>
      <c r="E222" s="898">
        <f>$A$222*$B$222</f>
        <v>1600</v>
      </c>
      <c r="F222" s="898">
        <f t="shared" ref="F222:P222" si="156">$A$222*$B$222</f>
        <v>1600</v>
      </c>
      <c r="G222" s="898">
        <f t="shared" si="156"/>
        <v>1600</v>
      </c>
      <c r="H222" s="898">
        <f t="shared" si="156"/>
        <v>1600</v>
      </c>
      <c r="I222" s="898">
        <f t="shared" si="156"/>
        <v>1600</v>
      </c>
      <c r="J222" s="898">
        <f t="shared" si="156"/>
        <v>1600</v>
      </c>
      <c r="K222" s="898">
        <f t="shared" si="156"/>
        <v>1600</v>
      </c>
      <c r="L222" s="898">
        <f t="shared" si="156"/>
        <v>1600</v>
      </c>
      <c r="M222" s="898">
        <f t="shared" si="156"/>
        <v>1600</v>
      </c>
      <c r="N222" s="898">
        <f t="shared" si="156"/>
        <v>1600</v>
      </c>
      <c r="O222" s="898">
        <f t="shared" si="156"/>
        <v>1600</v>
      </c>
      <c r="P222" s="899">
        <f t="shared" si="156"/>
        <v>1600</v>
      </c>
      <c r="AD222" s="155"/>
      <c r="AE222" s="218"/>
    </row>
    <row r="223" spans="1:40" ht="14.5" thickBot="1" x14ac:dyDescent="0.35">
      <c r="A223" s="821"/>
      <c r="B223" s="822"/>
      <c r="C223" s="822"/>
      <c r="D223" s="834" t="s">
        <v>1059</v>
      </c>
      <c r="E223" s="900">
        <f>E222*24/1000*C102</f>
        <v>1190.3999999999999</v>
      </c>
      <c r="F223" s="900">
        <f t="shared" ref="F223:P223" si="157">F222*24/1000*D102</f>
        <v>1075.2</v>
      </c>
      <c r="G223" s="900">
        <f t="shared" si="157"/>
        <v>1190.3999999999999</v>
      </c>
      <c r="H223" s="900">
        <f t="shared" si="157"/>
        <v>1152</v>
      </c>
      <c r="I223" s="900">
        <f t="shared" si="157"/>
        <v>1190.3999999999999</v>
      </c>
      <c r="J223" s="900">
        <f t="shared" si="157"/>
        <v>1152</v>
      </c>
      <c r="K223" s="900">
        <f t="shared" si="157"/>
        <v>1190.3999999999999</v>
      </c>
      <c r="L223" s="900">
        <f t="shared" si="157"/>
        <v>1190.3999999999999</v>
      </c>
      <c r="M223" s="900">
        <f t="shared" si="157"/>
        <v>1152</v>
      </c>
      <c r="N223" s="900">
        <f t="shared" si="157"/>
        <v>1190.3999999999999</v>
      </c>
      <c r="O223" s="900">
        <f t="shared" si="157"/>
        <v>1152</v>
      </c>
      <c r="P223" s="901">
        <f t="shared" si="157"/>
        <v>1190.3999999999999</v>
      </c>
      <c r="AD223" s="155"/>
      <c r="AE223" s="218"/>
    </row>
    <row r="224" spans="1:40" ht="14.5" thickBot="1" x14ac:dyDescent="0.35">
      <c r="AD224" s="155"/>
      <c r="AE224" s="218"/>
    </row>
    <row r="225" spans="1:42" x14ac:dyDescent="0.3">
      <c r="A225" s="160" t="s">
        <v>1013</v>
      </c>
      <c r="B225" s="823"/>
      <c r="C225" s="883" t="s">
        <v>1062</v>
      </c>
      <c r="D225" s="287">
        <v>7</v>
      </c>
      <c r="E225" s="863" t="s">
        <v>1040</v>
      </c>
      <c r="F225" s="883" t="s">
        <v>1054</v>
      </c>
      <c r="G225" s="287">
        <v>19</v>
      </c>
      <c r="H225" s="863" t="s">
        <v>83</v>
      </c>
      <c r="I225" s="883" t="s">
        <v>1024</v>
      </c>
      <c r="J225" s="915">
        <f>V142+D53</f>
        <v>250</v>
      </c>
      <c r="K225" s="863" t="s">
        <v>71</v>
      </c>
      <c r="L225" s="883" t="s">
        <v>1043</v>
      </c>
      <c r="M225" s="915">
        <f>4*D227/0.13</f>
        <v>9846.1538461538457</v>
      </c>
      <c r="N225" s="863" t="s">
        <v>71</v>
      </c>
      <c r="O225" s="883" t="s">
        <v>1049</v>
      </c>
      <c r="P225" s="824">
        <f>M225/(M225+M228)</f>
        <v>0.974609375</v>
      </c>
      <c r="AA225" s="160" t="s">
        <v>1013</v>
      </c>
      <c r="AB225" s="823"/>
      <c r="AC225" s="883" t="s">
        <v>1062</v>
      </c>
      <c r="AD225" s="823">
        <f>D225</f>
        <v>7</v>
      </c>
      <c r="AE225" s="863" t="s">
        <v>1040</v>
      </c>
      <c r="AF225" s="883" t="s">
        <v>1054</v>
      </c>
      <c r="AG225" s="823">
        <f>G225</f>
        <v>19</v>
      </c>
      <c r="AH225" s="863" t="s">
        <v>83</v>
      </c>
      <c r="AI225" s="883" t="s">
        <v>1024</v>
      </c>
      <c r="AJ225" s="915">
        <f>AE142+AD53</f>
        <v>330</v>
      </c>
      <c r="AK225" s="863" t="s">
        <v>71</v>
      </c>
      <c r="AL225" s="883" t="s">
        <v>1043</v>
      </c>
      <c r="AM225" s="915">
        <f>4*AD227/0.13</f>
        <v>9846.1538461538457</v>
      </c>
      <c r="AN225" s="863" t="s">
        <v>71</v>
      </c>
      <c r="AO225" s="883" t="s">
        <v>1049</v>
      </c>
      <c r="AP225" s="824">
        <f>AM225/(AM225+AM228)</f>
        <v>0.96648437499999995</v>
      </c>
    </row>
    <row r="226" spans="1:42" x14ac:dyDescent="0.3">
      <c r="A226" s="819"/>
      <c r="B226" s="820"/>
      <c r="C226" s="880" t="s">
        <v>1052</v>
      </c>
      <c r="D226" s="820">
        <f>E248</f>
        <v>12000</v>
      </c>
      <c r="E226" s="905" t="s">
        <v>1009</v>
      </c>
      <c r="F226" s="869" t="s">
        <v>1069</v>
      </c>
      <c r="G226" s="870"/>
      <c r="H226" s="871"/>
      <c r="I226" s="880" t="s">
        <v>1046</v>
      </c>
      <c r="J226" s="879">
        <f>X142</f>
        <v>0</v>
      </c>
      <c r="K226" s="905" t="s">
        <v>71</v>
      </c>
      <c r="L226" s="880" t="s">
        <v>1044</v>
      </c>
      <c r="M226" s="879">
        <f>J226+J227</f>
        <v>142.12000000000003</v>
      </c>
      <c r="N226" s="905" t="s">
        <v>71</v>
      </c>
      <c r="O226" s="869" t="s">
        <v>1050</v>
      </c>
      <c r="P226" s="916">
        <f>M225/(M225+M226)</f>
        <v>0.98577131522533035</v>
      </c>
      <c r="AA226" s="819"/>
      <c r="AB226" s="820"/>
      <c r="AC226" s="880" t="s">
        <v>1052</v>
      </c>
      <c r="AD226" s="820">
        <f>D226</f>
        <v>12000</v>
      </c>
      <c r="AE226" s="905" t="s">
        <v>1009</v>
      </c>
      <c r="AF226" s="869" t="s">
        <v>1069</v>
      </c>
      <c r="AG226" s="870"/>
      <c r="AH226" s="871"/>
      <c r="AI226" s="880" t="s">
        <v>1046</v>
      </c>
      <c r="AJ226" s="879">
        <f>AF142</f>
        <v>0</v>
      </c>
      <c r="AK226" s="905" t="s">
        <v>71</v>
      </c>
      <c r="AL226" s="880" t="s">
        <v>1044</v>
      </c>
      <c r="AM226" s="879">
        <f>AJ226+AJ227</f>
        <v>142.12000000000003</v>
      </c>
      <c r="AN226" s="905" t="s">
        <v>71</v>
      </c>
      <c r="AO226" s="869" t="s">
        <v>1050</v>
      </c>
      <c r="AP226" s="916">
        <f>AM225/(AM225+AM226)</f>
        <v>0.98577131522533035</v>
      </c>
    </row>
    <row r="227" spans="1:42" x14ac:dyDescent="0.3">
      <c r="A227" s="819"/>
      <c r="B227" s="820"/>
      <c r="C227" s="880" t="s">
        <v>363</v>
      </c>
      <c r="D227" s="879">
        <f>D14</f>
        <v>320</v>
      </c>
      <c r="E227" s="905" t="s">
        <v>357</v>
      </c>
      <c r="F227" s="903"/>
      <c r="G227" s="904"/>
      <c r="H227" s="877"/>
      <c r="I227" s="880" t="s">
        <v>1022</v>
      </c>
      <c r="J227" s="879">
        <f>E107</f>
        <v>142.12000000000003</v>
      </c>
      <c r="K227" s="905" t="s">
        <v>71</v>
      </c>
      <c r="L227" s="880" t="s">
        <v>1047</v>
      </c>
      <c r="M227" s="879">
        <f>J225+J227</f>
        <v>392.12</v>
      </c>
      <c r="N227" s="905" t="s">
        <v>71</v>
      </c>
      <c r="O227" s="820"/>
      <c r="P227" s="825"/>
      <c r="AA227" s="819"/>
      <c r="AB227" s="820"/>
      <c r="AC227" s="880" t="s">
        <v>363</v>
      </c>
      <c r="AD227" s="879">
        <f>D227</f>
        <v>320</v>
      </c>
      <c r="AE227" s="905" t="s">
        <v>357</v>
      </c>
      <c r="AF227" s="903"/>
      <c r="AG227" s="904"/>
      <c r="AH227" s="877"/>
      <c r="AI227" s="880" t="s">
        <v>1022</v>
      </c>
      <c r="AJ227" s="879">
        <f>AE107</f>
        <v>142.12000000000003</v>
      </c>
      <c r="AK227" s="905" t="s">
        <v>71</v>
      </c>
      <c r="AL227" s="880" t="s">
        <v>1047</v>
      </c>
      <c r="AM227" s="879">
        <f>AJ225+AJ227</f>
        <v>472.12</v>
      </c>
      <c r="AN227" s="905" t="s">
        <v>71</v>
      </c>
      <c r="AO227" s="820"/>
      <c r="AP227" s="825"/>
    </row>
    <row r="228" spans="1:42" x14ac:dyDescent="0.3">
      <c r="A228" s="819"/>
      <c r="B228" s="820"/>
      <c r="C228" s="880" t="s">
        <v>579</v>
      </c>
      <c r="D228" s="820">
        <f>B60</f>
        <v>0.55000000000000004</v>
      </c>
      <c r="E228" s="905" t="s">
        <v>926</v>
      </c>
      <c r="F228" s="880" t="s">
        <v>1051</v>
      </c>
      <c r="G228" s="820">
        <f>P225*D226/(P226*M227)</f>
        <v>30.256358695251532</v>
      </c>
      <c r="H228" s="905" t="s">
        <v>1023</v>
      </c>
      <c r="I228" s="869" t="s">
        <v>1061</v>
      </c>
      <c r="J228" s="906">
        <f>J227/D228*0.5</f>
        <v>129.20000000000002</v>
      </c>
      <c r="K228" s="871" t="s">
        <v>71</v>
      </c>
      <c r="L228" s="869" t="s">
        <v>1048</v>
      </c>
      <c r="M228" s="906">
        <f>(M225*(M227-M226))/(M225-(M227-M226))</f>
        <v>256.51302605210418</v>
      </c>
      <c r="N228" s="871" t="s">
        <v>71</v>
      </c>
      <c r="O228" s="820"/>
      <c r="P228" s="825"/>
      <c r="AA228" s="819"/>
      <c r="AB228" s="820"/>
      <c r="AC228" s="880" t="s">
        <v>579</v>
      </c>
      <c r="AD228" s="820">
        <f>AC107</f>
        <v>0.55000000000000004</v>
      </c>
      <c r="AE228" s="905" t="s">
        <v>926</v>
      </c>
      <c r="AF228" s="880" t="s">
        <v>1051</v>
      </c>
      <c r="AG228" s="820">
        <f>AP225*AD226/(AP226*AM227)</f>
        <v>24.919969606219354</v>
      </c>
      <c r="AH228" s="905" t="s">
        <v>1023</v>
      </c>
      <c r="AI228" s="869" t="s">
        <v>1061</v>
      </c>
      <c r="AJ228" s="906">
        <f>AJ227/AD228*0.5</f>
        <v>129.20000000000002</v>
      </c>
      <c r="AK228" s="871" t="s">
        <v>71</v>
      </c>
      <c r="AL228" s="869" t="s">
        <v>1048</v>
      </c>
      <c r="AM228" s="906">
        <f>(AM225*(AM227-AM226))/(AM225-(AM227-AM226))</f>
        <v>341.44369897340556</v>
      </c>
      <c r="AN228" s="871" t="s">
        <v>71</v>
      </c>
      <c r="AO228" s="820"/>
      <c r="AP228" s="825"/>
    </row>
    <row r="229" spans="1:42" x14ac:dyDescent="0.3">
      <c r="A229" s="819"/>
      <c r="B229" s="820"/>
      <c r="C229" s="869" t="s">
        <v>1041</v>
      </c>
      <c r="D229" s="906">
        <f>1.5*(J225+J228)*31</f>
        <v>17632.800000000003</v>
      </c>
      <c r="E229" s="871" t="s">
        <v>558</v>
      </c>
      <c r="F229" s="869" t="s">
        <v>1053</v>
      </c>
      <c r="G229" s="870">
        <f>P225*D226/(M228+M225)</f>
        <v>1.1576460599899292</v>
      </c>
      <c r="H229" s="871" t="s">
        <v>1023</v>
      </c>
      <c r="I229" s="820"/>
      <c r="J229" s="820"/>
      <c r="K229" s="820"/>
      <c r="L229" s="820"/>
      <c r="M229" s="820"/>
      <c r="N229" s="820"/>
      <c r="O229" s="820"/>
      <c r="P229" s="825"/>
      <c r="AA229" s="819"/>
      <c r="AB229" s="820"/>
      <c r="AC229" s="869" t="s">
        <v>1041</v>
      </c>
      <c r="AD229" s="906">
        <f>1.5*(AJ225+AJ228)*31</f>
        <v>21352.800000000003</v>
      </c>
      <c r="AE229" s="871" t="s">
        <v>558</v>
      </c>
      <c r="AF229" s="869" t="s">
        <v>1053</v>
      </c>
      <c r="AG229" s="870">
        <f>AP225*AD226/(AM228+AM225)</f>
        <v>1.1384246824264526</v>
      </c>
      <c r="AH229" s="871" t="s">
        <v>1023</v>
      </c>
      <c r="AI229" s="820"/>
      <c r="AJ229" s="820"/>
      <c r="AK229" s="820"/>
      <c r="AL229" s="820"/>
      <c r="AM229" s="820"/>
      <c r="AN229" s="820"/>
      <c r="AO229" s="820"/>
      <c r="AP229" s="825"/>
    </row>
    <row r="230" spans="1:42" x14ac:dyDescent="0.3">
      <c r="A230" s="819"/>
      <c r="B230" s="820"/>
      <c r="C230" s="820"/>
      <c r="D230" s="820"/>
      <c r="E230" s="820"/>
      <c r="F230" s="820"/>
      <c r="G230" s="820"/>
      <c r="H230" s="820"/>
      <c r="I230" s="820"/>
      <c r="J230" s="820"/>
      <c r="K230" s="820"/>
      <c r="L230" s="820"/>
      <c r="M230" s="820"/>
      <c r="N230" s="820"/>
      <c r="O230" s="820"/>
      <c r="P230" s="825"/>
      <c r="AA230" s="819"/>
      <c r="AB230" s="820"/>
      <c r="AC230" s="820"/>
      <c r="AD230" s="820"/>
      <c r="AE230" s="820"/>
      <c r="AF230" s="820"/>
      <c r="AG230" s="820"/>
      <c r="AH230" s="820"/>
      <c r="AI230" s="820"/>
      <c r="AJ230" s="820"/>
      <c r="AK230" s="820"/>
      <c r="AL230" s="820"/>
      <c r="AM230" s="820"/>
      <c r="AN230" s="820"/>
      <c r="AO230" s="820"/>
      <c r="AP230" s="825"/>
    </row>
    <row r="231" spans="1:42" x14ac:dyDescent="0.3">
      <c r="A231" s="819"/>
      <c r="B231" s="820"/>
      <c r="C231" s="820"/>
      <c r="D231" s="820" t="s">
        <v>972</v>
      </c>
      <c r="E231" s="820" t="s">
        <v>973</v>
      </c>
      <c r="F231" s="820" t="s">
        <v>974</v>
      </c>
      <c r="G231" s="820" t="s">
        <v>975</v>
      </c>
      <c r="H231" s="820" t="s">
        <v>960</v>
      </c>
      <c r="I231" s="820" t="s">
        <v>976</v>
      </c>
      <c r="J231" s="820" t="s">
        <v>977</v>
      </c>
      <c r="K231" s="820" t="s">
        <v>978</v>
      </c>
      <c r="L231" s="820" t="s">
        <v>979</v>
      </c>
      <c r="M231" s="820" t="s">
        <v>980</v>
      </c>
      <c r="N231" s="820" t="s">
        <v>981</v>
      </c>
      <c r="O231" s="820" t="s">
        <v>982</v>
      </c>
      <c r="P231" s="825"/>
      <c r="AA231" s="819"/>
      <c r="AB231" s="820"/>
      <c r="AC231" s="820"/>
      <c r="AD231" s="820" t="s">
        <v>972</v>
      </c>
      <c r="AE231" s="820" t="s">
        <v>973</v>
      </c>
      <c r="AF231" s="820" t="s">
        <v>974</v>
      </c>
      <c r="AG231" s="820" t="s">
        <v>975</v>
      </c>
      <c r="AH231" s="820" t="s">
        <v>960</v>
      </c>
      <c r="AI231" s="820" t="s">
        <v>976</v>
      </c>
      <c r="AJ231" s="820" t="s">
        <v>977</v>
      </c>
      <c r="AK231" s="820" t="s">
        <v>978</v>
      </c>
      <c r="AL231" s="820" t="s">
        <v>979</v>
      </c>
      <c r="AM231" s="820" t="s">
        <v>980</v>
      </c>
      <c r="AN231" s="820" t="s">
        <v>981</v>
      </c>
      <c r="AO231" s="820" t="s">
        <v>982</v>
      </c>
      <c r="AP231" s="825"/>
    </row>
    <row r="232" spans="1:42" x14ac:dyDescent="0.3">
      <c r="A232" s="820" t="s">
        <v>1166</v>
      </c>
      <c r="B232" s="820"/>
      <c r="C232" s="820" t="s">
        <v>1055</v>
      </c>
      <c r="D232" s="907">
        <f t="shared" ref="D232:O232" si="158">C101+$P$225*($G$225-C101)</f>
        <v>18.54296875</v>
      </c>
      <c r="E232" s="908">
        <f t="shared" si="158"/>
        <v>18.565820312500001</v>
      </c>
      <c r="F232" s="908">
        <f t="shared" si="158"/>
        <v>18.636914062500001</v>
      </c>
      <c r="G232" s="908">
        <f t="shared" si="158"/>
        <v>18.751171875000001</v>
      </c>
      <c r="H232" s="908">
        <f t="shared" si="158"/>
        <v>18.875585937499999</v>
      </c>
      <c r="I232" s="908">
        <f t="shared" si="158"/>
        <v>18.941601562500001</v>
      </c>
      <c r="J232" s="908">
        <f t="shared" si="158"/>
        <v>19</v>
      </c>
      <c r="K232" s="908">
        <f t="shared" si="158"/>
        <v>18.989843749999999</v>
      </c>
      <c r="L232" s="908">
        <f t="shared" si="158"/>
        <v>18.880664062499999</v>
      </c>
      <c r="M232" s="908">
        <f t="shared" si="158"/>
        <v>18.7587890625</v>
      </c>
      <c r="N232" s="908">
        <f t="shared" si="158"/>
        <v>18.621679687499999</v>
      </c>
      <c r="O232" s="909">
        <f t="shared" si="158"/>
        <v>18.540429687500001</v>
      </c>
      <c r="P232" s="825"/>
      <c r="AA232" s="819"/>
      <c r="AB232" s="820"/>
      <c r="AC232" s="820" t="s">
        <v>1055</v>
      </c>
      <c r="AD232" s="907">
        <f t="shared" ref="AD232:AO232" si="159">C101+$AP$225*($AG$225-C101)</f>
        <v>18.396718749999998</v>
      </c>
      <c r="AE232" s="908">
        <f t="shared" si="159"/>
        <v>18.426882812500001</v>
      </c>
      <c r="AF232" s="908">
        <f t="shared" si="159"/>
        <v>18.520726562500002</v>
      </c>
      <c r="AG232" s="908">
        <f t="shared" si="159"/>
        <v>18.671546874999997</v>
      </c>
      <c r="AH232" s="908">
        <f t="shared" si="159"/>
        <v>18.835773437499999</v>
      </c>
      <c r="AI232" s="908">
        <f t="shared" si="159"/>
        <v>18.922914062499999</v>
      </c>
      <c r="AJ232" s="908">
        <f t="shared" si="159"/>
        <v>19</v>
      </c>
      <c r="AK232" s="908">
        <f t="shared" si="159"/>
        <v>18.986593750000001</v>
      </c>
      <c r="AL232" s="908">
        <f t="shared" si="159"/>
        <v>18.8424765625</v>
      </c>
      <c r="AM232" s="908">
        <f t="shared" si="159"/>
        <v>18.681601562499999</v>
      </c>
      <c r="AN232" s="908">
        <f t="shared" si="159"/>
        <v>18.500617187499998</v>
      </c>
      <c r="AO232" s="909">
        <f t="shared" si="159"/>
        <v>18.393367187499997</v>
      </c>
      <c r="AP232" s="825"/>
    </row>
    <row r="233" spans="1:42" x14ac:dyDescent="0.3">
      <c r="A233" s="819"/>
      <c r="B233" s="820"/>
      <c r="C233" s="820" t="s">
        <v>1065</v>
      </c>
      <c r="D233" s="910">
        <f t="shared" ref="D233:O233" si="160">C101+(D237-C101)/$P$226</f>
        <v>14.919585847671538</v>
      </c>
      <c r="E233" s="868">
        <f t="shared" si="160"/>
        <v>15.123606555287964</v>
      </c>
      <c r="F233" s="868">
        <f t="shared" si="160"/>
        <v>15.758337645650169</v>
      </c>
      <c r="G233" s="868">
        <f t="shared" si="160"/>
        <v>16.778441183732284</v>
      </c>
      <c r="H233" s="868">
        <f t="shared" si="160"/>
        <v>17.889220591866138</v>
      </c>
      <c r="I233" s="868">
        <f t="shared" si="160"/>
        <v>18.478613747202473</v>
      </c>
      <c r="J233" s="868">
        <f t="shared" si="160"/>
        <v>19</v>
      </c>
      <c r="K233" s="868">
        <f t="shared" si="160"/>
        <v>18.909324129948256</v>
      </c>
      <c r="L233" s="868">
        <f t="shared" si="160"/>
        <v>17.934558526892012</v>
      </c>
      <c r="M233" s="868">
        <f t="shared" si="160"/>
        <v>16.846448086271089</v>
      </c>
      <c r="N233" s="868">
        <f t="shared" si="160"/>
        <v>15.62232384057255</v>
      </c>
      <c r="O233" s="911">
        <f t="shared" si="160"/>
        <v>14.896916880158605</v>
      </c>
      <c r="P233" s="825"/>
      <c r="AA233" s="819"/>
      <c r="AB233" s="820"/>
      <c r="AC233" s="820" t="s">
        <v>1065</v>
      </c>
      <c r="AD233" s="910">
        <f t="shared" ref="AD233:AO233" si="161">C101+(AD237-C101)/$AP$226</f>
        <v>14.136339427286652</v>
      </c>
      <c r="AE233" s="868">
        <f t="shared" si="161"/>
        <v>14.379522455922322</v>
      </c>
      <c r="AF233" s="868">
        <f t="shared" si="161"/>
        <v>15.136091878344399</v>
      </c>
      <c r="AG233" s="868">
        <f t="shared" si="161"/>
        <v>16.352007021522731</v>
      </c>
      <c r="AH233" s="868">
        <f t="shared" si="161"/>
        <v>17.676003510761369</v>
      </c>
      <c r="AI233" s="868">
        <f t="shared" si="161"/>
        <v>18.378532260153296</v>
      </c>
      <c r="AJ233" s="868">
        <f t="shared" si="161"/>
        <v>19</v>
      </c>
      <c r="AK233" s="868">
        <f t="shared" si="161"/>
        <v>18.891918653939705</v>
      </c>
      <c r="AL233" s="868">
        <f t="shared" si="161"/>
        <v>17.730044183791517</v>
      </c>
      <c r="AM233" s="868">
        <f t="shared" si="161"/>
        <v>16.433068031067958</v>
      </c>
      <c r="AN233" s="868">
        <f t="shared" si="161"/>
        <v>14.97396985925395</v>
      </c>
      <c r="AO233" s="911">
        <f t="shared" si="161"/>
        <v>14.10931909077158</v>
      </c>
      <c r="AP233" s="825"/>
    </row>
    <row r="234" spans="1:42" x14ac:dyDescent="0.3">
      <c r="A234" s="819"/>
      <c r="B234" s="820"/>
      <c r="C234" s="820" t="s">
        <v>1066</v>
      </c>
      <c r="D234" s="910">
        <f t="shared" ref="D234:O234" si="162">IF(D236&gt;0,D235+($G$225-D238)/$P$226,D233)</f>
        <v>17.306481874999999</v>
      </c>
      <c r="E234" s="868">
        <f t="shared" si="162"/>
        <v>17.293491218749999</v>
      </c>
      <c r="F234" s="868">
        <f t="shared" si="162"/>
        <v>17.253075843749997</v>
      </c>
      <c r="G234" s="868">
        <f t="shared" si="162"/>
        <v>17.188122562499991</v>
      </c>
      <c r="H234" s="868">
        <f t="shared" si="162"/>
        <v>17.889220591866138</v>
      </c>
      <c r="I234" s="868">
        <f t="shared" si="162"/>
        <v>18.478613747202473</v>
      </c>
      <c r="J234" s="868">
        <f t="shared" si="162"/>
        <v>19</v>
      </c>
      <c r="K234" s="868">
        <f t="shared" si="162"/>
        <v>18.909324129948256</v>
      </c>
      <c r="L234" s="868">
        <f t="shared" si="162"/>
        <v>17.934558526892012</v>
      </c>
      <c r="M234" s="868">
        <f t="shared" si="162"/>
        <v>17.18379234375</v>
      </c>
      <c r="N234" s="868">
        <f t="shared" si="162"/>
        <v>17.261736281250002</v>
      </c>
      <c r="O234" s="911">
        <f t="shared" si="162"/>
        <v>17.30792528125</v>
      </c>
      <c r="P234" s="825"/>
      <c r="AA234" s="819"/>
      <c r="AB234" s="820"/>
      <c r="AC234" s="820" t="s">
        <v>1066</v>
      </c>
      <c r="AD234" s="910">
        <f>IF(AD236&gt;0,AD235+($AG$225-AD238)/$AP$226,AD233)</f>
        <v>16.928669374999998</v>
      </c>
      <c r="AE234" s="868">
        <f t="shared" ref="AE234:AO234" si="163">IF(AE236&gt;0,AE235+($AG$225-AE238)/$AP$226,AE233)</f>
        <v>16.915678718749998</v>
      </c>
      <c r="AF234" s="868">
        <f t="shared" si="163"/>
        <v>16.875263343749999</v>
      </c>
      <c r="AG234" s="868">
        <f t="shared" si="163"/>
        <v>16.810310062499987</v>
      </c>
      <c r="AH234" s="868">
        <f t="shared" si="163"/>
        <v>17.676003510761369</v>
      </c>
      <c r="AI234" s="868">
        <f t="shared" si="163"/>
        <v>18.378532260153296</v>
      </c>
      <c r="AJ234" s="868">
        <f t="shared" si="163"/>
        <v>19</v>
      </c>
      <c r="AK234" s="868">
        <f t="shared" si="163"/>
        <v>18.891918653939705</v>
      </c>
      <c r="AL234" s="868">
        <f t="shared" si="163"/>
        <v>17.730044183791517</v>
      </c>
      <c r="AM234" s="868">
        <f t="shared" si="163"/>
        <v>16.805979843749995</v>
      </c>
      <c r="AN234" s="868">
        <f t="shared" si="163"/>
        <v>16.883923781249997</v>
      </c>
      <c r="AO234" s="911">
        <f t="shared" si="163"/>
        <v>16.930112781249996</v>
      </c>
      <c r="AP234" s="825"/>
    </row>
    <row r="235" spans="1:42" x14ac:dyDescent="0.3">
      <c r="A235" s="819"/>
      <c r="B235" s="820"/>
      <c r="C235" s="820" t="s">
        <v>1060</v>
      </c>
      <c r="D235" s="910">
        <f t="shared" ref="D235:O235" si="164">C101+$P$225*(D238-C101)</f>
        <v>48.802884799296145</v>
      </c>
      <c r="E235" s="868">
        <f t="shared" si="164"/>
        <v>49.702884799296143</v>
      </c>
      <c r="F235" s="868">
        <f t="shared" si="164"/>
        <v>52.502884799296147</v>
      </c>
      <c r="G235" s="868">
        <f t="shared" si="164"/>
        <v>57.00288479929614</v>
      </c>
      <c r="H235" s="868">
        <f t="shared" si="164"/>
        <v>61.902884799296146</v>
      </c>
      <c r="I235" s="868">
        <f t="shared" si="164"/>
        <v>64.50288479929614</v>
      </c>
      <c r="J235" s="868">
        <f t="shared" si="164"/>
        <v>66.802884799296152</v>
      </c>
      <c r="K235" s="868">
        <f t="shared" si="164"/>
        <v>66.402884799296146</v>
      </c>
      <c r="L235" s="868">
        <f t="shared" si="164"/>
        <v>62.102884799296149</v>
      </c>
      <c r="M235" s="868">
        <f t="shared" si="164"/>
        <v>57.302884799296145</v>
      </c>
      <c r="N235" s="868">
        <f t="shared" si="164"/>
        <v>51.902884799296146</v>
      </c>
      <c r="O235" s="911">
        <f t="shared" si="164"/>
        <v>48.702884799296143</v>
      </c>
      <c r="P235" s="825"/>
      <c r="AA235" s="819"/>
      <c r="AB235" s="820"/>
      <c r="AC235" s="820" t="s">
        <v>1060</v>
      </c>
      <c r="AD235" s="910">
        <f t="shared" ref="AD235:AO235" si="165">C101+$AP$225*(AD238-C101)</f>
        <v>47.987042621579263</v>
      </c>
      <c r="AE235" s="868">
        <f t="shared" si="165"/>
        <v>48.887042621579262</v>
      </c>
      <c r="AF235" s="868">
        <f t="shared" si="165"/>
        <v>51.687042621579266</v>
      </c>
      <c r="AG235" s="868">
        <f t="shared" si="165"/>
        <v>56.187042621579252</v>
      </c>
      <c r="AH235" s="868">
        <f t="shared" si="165"/>
        <v>61.087042621579265</v>
      </c>
      <c r="AI235" s="868">
        <f t="shared" si="165"/>
        <v>63.687042621579252</v>
      </c>
      <c r="AJ235" s="868">
        <f t="shared" si="165"/>
        <v>65.987042621579263</v>
      </c>
      <c r="AK235" s="868">
        <f t="shared" si="165"/>
        <v>65.587042621579258</v>
      </c>
      <c r="AL235" s="868">
        <f t="shared" si="165"/>
        <v>61.287042621579275</v>
      </c>
      <c r="AM235" s="868">
        <f t="shared" si="165"/>
        <v>56.487042621579263</v>
      </c>
      <c r="AN235" s="868">
        <f t="shared" si="165"/>
        <v>51.087042621579265</v>
      </c>
      <c r="AO235" s="911">
        <f t="shared" si="165"/>
        <v>47.887042621579262</v>
      </c>
      <c r="AP235" s="825"/>
    </row>
    <row r="236" spans="1:42" x14ac:dyDescent="0.3">
      <c r="A236" s="819" t="s">
        <v>1167</v>
      </c>
      <c r="B236" s="820"/>
      <c r="C236" s="820" t="s">
        <v>1064</v>
      </c>
      <c r="D236" s="910">
        <f>MAX(0,$G$228*LN($P$226*(D235-D233)/(D238-$G$225)))</f>
        <v>2.2101934261649725</v>
      </c>
      <c r="E236" s="868">
        <f>MAX(0,$G$228*LN($P$226*(E235-E233)/(E238-$G$225)))</f>
        <v>1.9608027150679503</v>
      </c>
      <c r="F236" s="868">
        <f t="shared" ref="F236:O236" si="166">MAX(0,$G$228*LN($P$226*(F235-F233)/(F238-$G$225)))</f>
        <v>1.2565383570386586</v>
      </c>
      <c r="G236" s="868">
        <f t="shared" si="166"/>
        <v>0.3097375808921678</v>
      </c>
      <c r="H236" s="868">
        <f t="shared" si="166"/>
        <v>0</v>
      </c>
      <c r="I236" s="868">
        <f t="shared" si="166"/>
        <v>0</v>
      </c>
      <c r="J236" s="868">
        <f t="shared" si="166"/>
        <v>0</v>
      </c>
      <c r="K236" s="868">
        <f t="shared" si="166"/>
        <v>0</v>
      </c>
      <c r="L236" s="868">
        <f t="shared" si="166"/>
        <v>0</v>
      </c>
      <c r="M236" s="868">
        <f t="shared" si="166"/>
        <v>0.25334908998020716</v>
      </c>
      <c r="N236" s="868">
        <f t="shared" si="166"/>
        <v>1.3990494294437643</v>
      </c>
      <c r="O236" s="911">
        <f t="shared" si="166"/>
        <v>2.2386679021733702</v>
      </c>
      <c r="P236" s="825"/>
      <c r="AA236" s="819"/>
      <c r="AB236" s="820"/>
      <c r="AC236" s="820" t="s">
        <v>1064</v>
      </c>
      <c r="AD236" s="910">
        <f>MAX(0,$AG$228*LN($AP$226*(AD235-AD233)/(AD238-$AG$225)))</f>
        <v>2.1453933562304415</v>
      </c>
      <c r="AE236" s="868">
        <f t="shared" ref="AE236:AO236" si="167">MAX(0,$AG$228*LN($AP$226*(AE235-AE233)/(AE238-$AG$225)))</f>
        <v>1.9023070471678212</v>
      </c>
      <c r="AF236" s="868">
        <f t="shared" si="167"/>
        <v>1.2148829946297544</v>
      </c>
      <c r="AG236" s="868">
        <f t="shared" si="167"/>
        <v>0.28836688182489428</v>
      </c>
      <c r="AH236" s="868">
        <f t="shared" si="167"/>
        <v>0</v>
      </c>
      <c r="AI236" s="868">
        <f t="shared" si="167"/>
        <v>0</v>
      </c>
      <c r="AJ236" s="868">
        <f t="shared" si="167"/>
        <v>0</v>
      </c>
      <c r="AK236" s="868">
        <f t="shared" si="167"/>
        <v>0</v>
      </c>
      <c r="AL236" s="868">
        <f t="shared" si="167"/>
        <v>0</v>
      </c>
      <c r="AM236" s="868">
        <f t="shared" si="167"/>
        <v>0.23309749643845579</v>
      </c>
      <c r="AN236" s="868">
        <f t="shared" si="167"/>
        <v>1.3541036034625133</v>
      </c>
      <c r="AO236" s="911">
        <f t="shared" si="167"/>
        <v>2.1731369691660207</v>
      </c>
      <c r="AP236" s="825"/>
    </row>
    <row r="237" spans="1:42" x14ac:dyDescent="0.3">
      <c r="A237" s="819" t="s">
        <v>1168</v>
      </c>
      <c r="B237" s="820"/>
      <c r="C237" s="820" t="s">
        <v>1063</v>
      </c>
      <c r="D237" s="910">
        <f t="shared" ref="D237:O237" si="168">C101+$P$226*(D232-C101)*EXP(-$D$225/$G$228)</f>
        <v>14.721528448451068</v>
      </c>
      <c r="E237" s="868">
        <f t="shared" si="168"/>
        <v>14.935452026028516</v>
      </c>
      <c r="F237" s="868">
        <f t="shared" si="168"/>
        <v>15.60099204515835</v>
      </c>
      <c r="G237" s="868">
        <f t="shared" si="168"/>
        <v>16.670609933045583</v>
      </c>
      <c r="H237" s="868">
        <f t="shared" si="168"/>
        <v>17.835304966522788</v>
      </c>
      <c r="I237" s="868">
        <f t="shared" si="168"/>
        <v>18.453306412857636</v>
      </c>
      <c r="J237" s="868">
        <f t="shared" si="168"/>
        <v>19</v>
      </c>
      <c r="K237" s="868">
        <f t="shared" si="168"/>
        <v>18.904922854410025</v>
      </c>
      <c r="L237" s="868">
        <f t="shared" si="168"/>
        <v>17.882843539317779</v>
      </c>
      <c r="M237" s="868">
        <f t="shared" si="168"/>
        <v>16.741917792238063</v>
      </c>
      <c r="N237" s="868">
        <f t="shared" si="168"/>
        <v>15.458376326773383</v>
      </c>
      <c r="O237" s="911">
        <f t="shared" si="168"/>
        <v>14.697759162053575</v>
      </c>
      <c r="P237" s="825"/>
      <c r="AA237" s="819"/>
      <c r="AB237" s="820"/>
      <c r="AC237" s="820" t="s">
        <v>1063</v>
      </c>
      <c r="AD237" s="910">
        <f t="shared" ref="AD237:AO237" si="169">C101+$AP$226*(AD232-C101)*EXP(-$AD$225/$AG$228)</f>
        <v>13.949426594482725</v>
      </c>
      <c r="AE237" s="868">
        <f t="shared" si="169"/>
        <v>14.201955264758592</v>
      </c>
      <c r="AF237" s="868">
        <f t="shared" si="169"/>
        <v>14.987600016727946</v>
      </c>
      <c r="AG237" s="868">
        <f t="shared" si="169"/>
        <v>16.25024336810726</v>
      </c>
      <c r="AH237" s="868">
        <f t="shared" si="169"/>
        <v>17.625121684053632</v>
      </c>
      <c r="AI237" s="868">
        <f t="shared" si="169"/>
        <v>18.35464895373946</v>
      </c>
      <c r="AJ237" s="868">
        <f t="shared" si="169"/>
        <v>19</v>
      </c>
      <c r="AK237" s="868">
        <f t="shared" si="169"/>
        <v>18.887765035432949</v>
      </c>
      <c r="AL237" s="868">
        <f t="shared" si="169"/>
        <v>17.681239166337157</v>
      </c>
      <c r="AM237" s="868">
        <f t="shared" si="169"/>
        <v>16.334419591532551</v>
      </c>
      <c r="AN237" s="868">
        <f t="shared" si="169"/>
        <v>14.819247569877367</v>
      </c>
      <c r="AO237" s="911">
        <f t="shared" si="169"/>
        <v>13.921367853340964</v>
      </c>
      <c r="AP237" s="825"/>
    </row>
    <row r="238" spans="1:42" x14ac:dyDescent="0.3">
      <c r="A238" s="819"/>
      <c r="B238" s="820"/>
      <c r="C238" s="820" t="s">
        <v>1056</v>
      </c>
      <c r="D238" s="912">
        <f>C101+($D$229+E181+E217+E222)/$M$227</f>
        <v>50.048250535550352</v>
      </c>
      <c r="E238" s="913">
        <f>D101+($D$229+F181+F217+F222)/$M$227</f>
        <v>50.948250535550351</v>
      </c>
      <c r="F238" s="913">
        <f t="shared" ref="F238:O238" si="170">E101+($D$229+G181+G217+G222)/$M$227</f>
        <v>53.748250535550355</v>
      </c>
      <c r="G238" s="913">
        <f t="shared" si="170"/>
        <v>58.248250535550355</v>
      </c>
      <c r="H238" s="913">
        <f t="shared" si="170"/>
        <v>63.148250535550353</v>
      </c>
      <c r="I238" s="913">
        <f t="shared" si="170"/>
        <v>65.748250535550355</v>
      </c>
      <c r="J238" s="913">
        <f t="shared" si="170"/>
        <v>68.048250535550352</v>
      </c>
      <c r="K238" s="913">
        <f t="shared" si="170"/>
        <v>67.648250535550346</v>
      </c>
      <c r="L238" s="913">
        <f t="shared" si="170"/>
        <v>63.348250535550349</v>
      </c>
      <c r="M238" s="913">
        <f t="shared" si="170"/>
        <v>58.548250535550352</v>
      </c>
      <c r="N238" s="913">
        <f t="shared" si="170"/>
        <v>53.148250535550353</v>
      </c>
      <c r="O238" s="914">
        <f t="shared" si="170"/>
        <v>49.948250535550351</v>
      </c>
      <c r="P238" s="825"/>
      <c r="AA238" s="819"/>
      <c r="AB238" s="820"/>
      <c r="AC238" s="820" t="s">
        <v>1056</v>
      </c>
      <c r="AD238" s="912">
        <f>C101+($AD$229+AE181+AC217+E222)/$AM$227</f>
        <v>49.616453444039657</v>
      </c>
      <c r="AE238" s="913">
        <f t="shared" ref="AE238:AO238" si="171">D101+($AD$229+AF181+AD217+F222)/$AM$227</f>
        <v>50.516453444039655</v>
      </c>
      <c r="AF238" s="913">
        <f t="shared" si="171"/>
        <v>53.316453444039659</v>
      </c>
      <c r="AG238" s="913">
        <f t="shared" si="171"/>
        <v>57.816453444039652</v>
      </c>
      <c r="AH238" s="913">
        <f t="shared" si="171"/>
        <v>62.716453444039658</v>
      </c>
      <c r="AI238" s="913">
        <f t="shared" si="171"/>
        <v>65.316453444039652</v>
      </c>
      <c r="AJ238" s="913">
        <f t="shared" si="171"/>
        <v>67.616453444039649</v>
      </c>
      <c r="AK238" s="913">
        <f t="shared" si="171"/>
        <v>67.216453444039658</v>
      </c>
      <c r="AL238" s="913">
        <f t="shared" si="171"/>
        <v>62.916453444039661</v>
      </c>
      <c r="AM238" s="913">
        <f t="shared" si="171"/>
        <v>58.116453444039657</v>
      </c>
      <c r="AN238" s="913">
        <f t="shared" si="171"/>
        <v>52.716453444039658</v>
      </c>
      <c r="AO238" s="914">
        <f t="shared" si="171"/>
        <v>49.516453444039655</v>
      </c>
      <c r="AP238" s="825"/>
    </row>
    <row r="239" spans="1:42" x14ac:dyDescent="0.3">
      <c r="A239" s="819"/>
      <c r="B239" s="820"/>
      <c r="C239" s="820"/>
      <c r="D239" s="820"/>
      <c r="E239" s="820"/>
      <c r="F239" s="820"/>
      <c r="G239" s="820"/>
      <c r="H239" s="820"/>
      <c r="I239" s="820"/>
      <c r="J239" s="820"/>
      <c r="K239" s="820"/>
      <c r="L239" s="820"/>
      <c r="M239" s="820"/>
      <c r="N239" s="820"/>
      <c r="O239" s="868"/>
      <c r="P239" s="825"/>
      <c r="AA239" s="819"/>
      <c r="AB239" s="820"/>
      <c r="AC239" s="820"/>
      <c r="AD239" s="820"/>
      <c r="AE239" s="820"/>
      <c r="AF239" s="820"/>
      <c r="AG239" s="820"/>
      <c r="AH239" s="820"/>
      <c r="AI239" s="820"/>
      <c r="AJ239" s="820"/>
      <c r="AK239" s="820"/>
      <c r="AL239" s="820"/>
      <c r="AM239" s="820"/>
      <c r="AN239" s="820"/>
      <c r="AO239" s="868"/>
      <c r="AP239" s="825"/>
    </row>
    <row r="240" spans="1:42" x14ac:dyDescent="0.3">
      <c r="A240" s="819"/>
      <c r="B240" s="820"/>
      <c r="C240" s="820" t="s">
        <v>1067</v>
      </c>
      <c r="D240" s="898">
        <f t="shared" ref="D240:J240" si="172">$M$227*(($G$225-C101)*$D$225+($G$225-D238)*D236)-$D$226*$P$225*(D232-D233+D233-D234)</f>
        <v>8037.7103008014255</v>
      </c>
      <c r="E240" s="898">
        <f t="shared" si="172"/>
        <v>7492.4275142078532</v>
      </c>
      <c r="F240" s="898">
        <f t="shared" si="172"/>
        <v>5945.8483030588141</v>
      </c>
      <c r="G240" s="898">
        <f t="shared" si="172"/>
        <v>3852.2130337698327</v>
      </c>
      <c r="H240" s="898">
        <f t="shared" si="172"/>
        <v>1913.8650436414955</v>
      </c>
      <c r="I240" s="898">
        <f t="shared" si="172"/>
        <v>898.3448164031397</v>
      </c>
      <c r="J240" s="898">
        <f t="shared" si="172"/>
        <v>0</v>
      </c>
      <c r="K240" s="898">
        <f>$M$227*(($G$225-J101)*$D$225+($G$225-K238)*K236)-$D$226*$P$225*(K232-K233+K233-K234)</f>
        <v>156.23388111360509</v>
      </c>
      <c r="L240" s="898">
        <f>$M$227*(($G$225-K101)*$D$225+($G$225-L238)*L236)-$D$226*$P$225*(L232-L233+L233-L234)</f>
        <v>1835.7481030847048</v>
      </c>
      <c r="M240" s="898">
        <f>$M$227*(($G$225-L101)*$D$225+($G$225-M238)*M236)-$D$226*$P$225*(M232-M233+M233-M234)</f>
        <v>3727.0496390216722</v>
      </c>
      <c r="N240" s="898">
        <f>$M$227*(($G$225-M101)*$D$225+($G$225-N238)*N236)-$D$226*$P$225*(N232-N233+N233-N234)</f>
        <v>6259.5844228607803</v>
      </c>
      <c r="O240" s="898">
        <f>$M$227*(($G$225-N101)*$D$225+($G$225-O238)*O236)-$D$226*$P$225*(O232-O233+O233-O234)</f>
        <v>8099.8866685433077</v>
      </c>
      <c r="P240" s="825"/>
      <c r="AA240" s="819"/>
      <c r="AB240" s="820"/>
      <c r="AC240" s="820" t="s">
        <v>1067</v>
      </c>
      <c r="AD240" s="942">
        <f t="shared" ref="AD240:AO240" si="173">$AM$227*(($AG$225-C101)*$AD$225+($AG$225-AD238)*AD236)-$AD$226*$AP$225*(AD232-AD233+AD233-AD234)</f>
        <v>11450.069985305025</v>
      </c>
      <c r="AE240" s="942">
        <f t="shared" si="173"/>
        <v>10680.633252383192</v>
      </c>
      <c r="AF240" s="942">
        <f t="shared" si="173"/>
        <v>8492.530713924938</v>
      </c>
      <c r="AG240" s="942">
        <f t="shared" si="173"/>
        <v>5516.5380333990543</v>
      </c>
      <c r="AH240" s="942">
        <f t="shared" si="173"/>
        <v>2742.9218465466383</v>
      </c>
      <c r="AI240" s="942">
        <f t="shared" si="173"/>
        <v>1287.4939279708879</v>
      </c>
      <c r="AJ240" s="942">
        <f t="shared" si="173"/>
        <v>0</v>
      </c>
      <c r="AK240" s="942">
        <f t="shared" si="173"/>
        <v>223.91198747319095</v>
      </c>
      <c r="AL240" s="942">
        <f t="shared" si="173"/>
        <v>2630.9658528100135</v>
      </c>
      <c r="AM240" s="942">
        <f t="shared" si="173"/>
        <v>5338.105673933107</v>
      </c>
      <c r="AN240" s="942">
        <f t="shared" si="173"/>
        <v>8937.1007744459421</v>
      </c>
      <c r="AO240" s="942">
        <f t="shared" si="173"/>
        <v>11537.739339115993</v>
      </c>
      <c r="AP240" s="825"/>
    </row>
    <row r="241" spans="1:44" ht="14.5" thickBot="1" x14ac:dyDescent="0.35">
      <c r="A241" s="821"/>
      <c r="B241" s="822"/>
      <c r="C241" s="822" t="s">
        <v>1068</v>
      </c>
      <c r="D241" s="900">
        <f>D240/1000*C102</f>
        <v>249.16901932484419</v>
      </c>
      <c r="E241" s="900">
        <f t="shared" ref="E241:O241" si="174">E240/1000*D102</f>
        <v>209.78797039781989</v>
      </c>
      <c r="F241" s="900">
        <f t="shared" si="174"/>
        <v>184.32129739482323</v>
      </c>
      <c r="G241" s="900">
        <f t="shared" si="174"/>
        <v>115.56639101309497</v>
      </c>
      <c r="H241" s="900">
        <f t="shared" si="174"/>
        <v>59.329816352886361</v>
      </c>
      <c r="I241" s="900">
        <f t="shared" si="174"/>
        <v>26.950344492094189</v>
      </c>
      <c r="J241" s="900">
        <f t="shared" si="174"/>
        <v>0</v>
      </c>
      <c r="K241" s="900">
        <f t="shared" si="174"/>
        <v>4.8432503145217574</v>
      </c>
      <c r="L241" s="900">
        <f t="shared" si="174"/>
        <v>55.072443092541143</v>
      </c>
      <c r="M241" s="900">
        <f t="shared" si="174"/>
        <v>115.53853880967183</v>
      </c>
      <c r="N241" s="900">
        <f t="shared" si="174"/>
        <v>187.78753268582341</v>
      </c>
      <c r="O241" s="900">
        <f t="shared" si="174"/>
        <v>251.09648672484252</v>
      </c>
      <c r="P241" s="826"/>
      <c r="AA241" s="821"/>
      <c r="AB241" s="822"/>
      <c r="AC241" s="822" t="s">
        <v>1068</v>
      </c>
      <c r="AD241" s="944">
        <f t="shared" ref="AD241:AO241" si="175">AD240/1000*C102</f>
        <v>354.95216954445573</v>
      </c>
      <c r="AE241" s="944">
        <f t="shared" si="175"/>
        <v>299.05773106672939</v>
      </c>
      <c r="AF241" s="944">
        <f t="shared" si="175"/>
        <v>263.26845213167303</v>
      </c>
      <c r="AG241" s="944">
        <f t="shared" si="175"/>
        <v>165.49614100197161</v>
      </c>
      <c r="AH241" s="944">
        <f t="shared" si="175"/>
        <v>85.030577242945796</v>
      </c>
      <c r="AI241" s="944">
        <f t="shared" si="175"/>
        <v>38.624817839126635</v>
      </c>
      <c r="AJ241" s="944">
        <f>AJ240/1000*I102</f>
        <v>0</v>
      </c>
      <c r="AK241" s="944">
        <f t="shared" si="175"/>
        <v>6.9412716116689195</v>
      </c>
      <c r="AL241" s="944">
        <f t="shared" si="175"/>
        <v>78.928975584300403</v>
      </c>
      <c r="AM241" s="944">
        <f t="shared" si="175"/>
        <v>165.48127589192632</v>
      </c>
      <c r="AN241" s="944">
        <f t="shared" si="175"/>
        <v>268.11302323337821</v>
      </c>
      <c r="AO241" s="944">
        <f t="shared" si="175"/>
        <v>357.66991951259575</v>
      </c>
      <c r="AP241" s="826"/>
    </row>
    <row r="242" spans="1:44" ht="14.5" thickBot="1" x14ac:dyDescent="0.35">
      <c r="AD242" s="155"/>
      <c r="AE242" s="218"/>
    </row>
    <row r="243" spans="1:44" x14ac:dyDescent="0.3">
      <c r="A243" s="160" t="s">
        <v>1025</v>
      </c>
      <c r="B243" s="287">
        <f>'Gebäude (02,03)'!$A$90</f>
        <v>1</v>
      </c>
      <c r="C243" s="823"/>
      <c r="D243" s="831" t="s">
        <v>1014</v>
      </c>
      <c r="E243" s="831" t="s">
        <v>1015</v>
      </c>
      <c r="F243" s="917"/>
      <c r="G243" s="918"/>
      <c r="H243" s="823"/>
      <c r="I243" s="824"/>
      <c r="AA243" s="160" t="s">
        <v>1025</v>
      </c>
      <c r="AB243" s="823"/>
      <c r="AC243" s="823"/>
      <c r="AD243" s="831" t="s">
        <v>1014</v>
      </c>
      <c r="AE243" s="831" t="s">
        <v>1015</v>
      </c>
      <c r="AF243" s="917"/>
      <c r="AG243" s="918"/>
      <c r="AH243" s="823"/>
      <c r="AI243" s="824"/>
    </row>
    <row r="244" spans="1:44" x14ac:dyDescent="0.3">
      <c r="A244" s="819"/>
      <c r="B244" s="820"/>
      <c r="C244" s="820" t="s">
        <v>1017</v>
      </c>
      <c r="D244" s="815">
        <f>'Gebäude (02,03)'!K90</f>
        <v>15</v>
      </c>
      <c r="E244" s="815">
        <f>'Gebäude (02,03)'!L90</f>
        <v>12</v>
      </c>
      <c r="F244" s="919" t="s">
        <v>1008</v>
      </c>
      <c r="G244" s="888" t="s">
        <v>1021</v>
      </c>
      <c r="H244" s="820">
        <f>D248/(J225+J227)</f>
        <v>38.253595838008771</v>
      </c>
      <c r="I244" s="825" t="s">
        <v>1023</v>
      </c>
      <c r="AA244" s="819"/>
      <c r="AB244" s="820"/>
      <c r="AC244" s="820"/>
      <c r="AD244" s="832"/>
      <c r="AE244" s="832"/>
      <c r="AF244" s="919"/>
      <c r="AG244" s="888" t="s">
        <v>1021</v>
      </c>
      <c r="AH244" s="820">
        <f>AD248/(AJ225+AJ227)</f>
        <v>31.771583495721426</v>
      </c>
      <c r="AI244" s="825" t="s">
        <v>1023</v>
      </c>
    </row>
    <row r="245" spans="1:44" x14ac:dyDescent="0.3">
      <c r="A245" s="819"/>
      <c r="B245" s="820"/>
      <c r="C245" s="820" t="s">
        <v>1018</v>
      </c>
      <c r="D245" s="815">
        <f>'Gebäude (02,03)'!K92</f>
        <v>50</v>
      </c>
      <c r="E245" s="815">
        <f>'Gebäude (02,03)'!L92</f>
        <v>18</v>
      </c>
      <c r="F245" s="919" t="s">
        <v>1008</v>
      </c>
      <c r="G245" s="888" t="s">
        <v>1020</v>
      </c>
      <c r="H245" s="171">
        <f>(1)+H244/(16)</f>
        <v>3.3908497398755482</v>
      </c>
      <c r="I245" s="825"/>
      <c r="AA245" s="819"/>
      <c r="AB245" s="820"/>
      <c r="AC245" s="820"/>
      <c r="AD245" s="832"/>
      <c r="AE245" s="832"/>
      <c r="AF245" s="919"/>
      <c r="AG245" s="888" t="s">
        <v>1020</v>
      </c>
      <c r="AH245" s="766">
        <f>(1)+AH244/(16)</f>
        <v>2.9857239684825894</v>
      </c>
      <c r="AI245" s="825"/>
    </row>
    <row r="246" spans="1:44" x14ac:dyDescent="0.3">
      <c r="A246" s="819"/>
      <c r="B246" s="820"/>
      <c r="C246" s="820" t="s">
        <v>1019</v>
      </c>
      <c r="D246" s="815">
        <f>'Gebäude (02,03)'!K94</f>
        <v>0</v>
      </c>
      <c r="E246" s="815">
        <f>'Gebäude (02,03)'!L94</f>
        <v>0</v>
      </c>
      <c r="F246" s="919" t="s">
        <v>1008</v>
      </c>
      <c r="G246" s="888"/>
      <c r="H246" s="820"/>
      <c r="I246" s="825"/>
      <c r="AA246" s="819"/>
      <c r="AB246" s="820"/>
      <c r="AC246" s="820"/>
      <c r="AD246" s="832"/>
      <c r="AE246" s="832"/>
      <c r="AF246" s="919"/>
      <c r="AG246" s="888"/>
      <c r="AH246" s="820"/>
      <c r="AI246" s="825"/>
    </row>
    <row r="247" spans="1:44" x14ac:dyDescent="0.3">
      <c r="A247" s="819"/>
      <c r="B247" s="820"/>
      <c r="C247" s="820" t="s">
        <v>1016</v>
      </c>
      <c r="D247" s="817">
        <f>CHOOSE(B243,D244,D245,D246)</f>
        <v>15</v>
      </c>
      <c r="E247" s="817">
        <f>CHOOSE(B243,E244,E245,E246)</f>
        <v>12</v>
      </c>
      <c r="F247" s="919" t="s">
        <v>1008</v>
      </c>
      <c r="G247" s="888"/>
      <c r="H247" s="820"/>
      <c r="I247" s="825"/>
      <c r="AA247" s="819"/>
      <c r="AB247" s="820"/>
      <c r="AC247" s="820" t="s">
        <v>1016</v>
      </c>
      <c r="AD247" s="811">
        <f>D247</f>
        <v>15</v>
      </c>
      <c r="AE247" s="811">
        <f>E247</f>
        <v>12</v>
      </c>
      <c r="AF247" s="919" t="s">
        <v>1008</v>
      </c>
      <c r="AG247" s="888"/>
      <c r="AH247" s="820"/>
      <c r="AI247" s="825"/>
    </row>
    <row r="248" spans="1:44" ht="14.5" thickBot="1" x14ac:dyDescent="0.35">
      <c r="A248" s="821"/>
      <c r="B248" s="822"/>
      <c r="C248" s="822"/>
      <c r="D248" s="326">
        <f>D247*'Gebäude (02,03)'!G8</f>
        <v>15000</v>
      </c>
      <c r="E248" s="326">
        <f>E247*'Gebäude (02,03)'!G8</f>
        <v>12000</v>
      </c>
      <c r="F248" s="920" t="s">
        <v>1009</v>
      </c>
      <c r="G248" s="921"/>
      <c r="H248" s="822"/>
      <c r="I248" s="826"/>
      <c r="AA248" s="821"/>
      <c r="AB248" s="822"/>
      <c r="AC248" s="822"/>
      <c r="AD248" s="763">
        <f>D248</f>
        <v>15000</v>
      </c>
      <c r="AE248" s="763">
        <f>E248</f>
        <v>12000</v>
      </c>
      <c r="AF248" s="920" t="s">
        <v>1009</v>
      </c>
      <c r="AG248" s="921"/>
      <c r="AH248" s="822"/>
      <c r="AI248" s="826"/>
    </row>
    <row r="249" spans="1:44" ht="14.5" thickBot="1" x14ac:dyDescent="0.35">
      <c r="Q249" s="175"/>
      <c r="AD249" s="155"/>
      <c r="AE249" s="218"/>
    </row>
    <row r="250" spans="1:44" x14ac:dyDescent="0.3">
      <c r="A250" s="160" t="s">
        <v>1079</v>
      </c>
      <c r="B250" s="823"/>
      <c r="C250" s="823"/>
      <c r="D250" s="823"/>
      <c r="E250" s="823"/>
      <c r="F250" s="823"/>
      <c r="G250" s="823"/>
      <c r="H250" s="823"/>
      <c r="I250" s="823"/>
      <c r="J250" s="823"/>
      <c r="K250" s="823"/>
      <c r="L250" s="823"/>
      <c r="M250" s="823"/>
      <c r="N250" s="823"/>
      <c r="O250" s="823"/>
      <c r="P250" s="823"/>
      <c r="Q250" s="820"/>
      <c r="R250" s="824"/>
      <c r="AA250" s="160" t="s">
        <v>1079</v>
      </c>
      <c r="AB250" s="823"/>
      <c r="AC250" s="823"/>
      <c r="AD250" s="823"/>
      <c r="AE250" s="823"/>
      <c r="AF250" s="823"/>
      <c r="AG250" s="823"/>
      <c r="AH250" s="823"/>
      <c r="AI250" s="823"/>
      <c r="AJ250" s="823"/>
      <c r="AK250" s="823"/>
      <c r="AL250" s="823"/>
      <c r="AM250" s="823"/>
      <c r="AN250" s="823"/>
      <c r="AO250" s="823"/>
      <c r="AP250" s="823"/>
      <c r="AQ250" s="820"/>
      <c r="AR250" s="824"/>
    </row>
    <row r="251" spans="1:44" x14ac:dyDescent="0.3">
      <c r="A251" s="819"/>
      <c r="B251" s="820"/>
      <c r="C251" s="820"/>
      <c r="D251" s="820" t="s">
        <v>972</v>
      </c>
      <c r="E251" s="820" t="s">
        <v>973</v>
      </c>
      <c r="F251" s="820" t="s">
        <v>974</v>
      </c>
      <c r="G251" s="820" t="s">
        <v>975</v>
      </c>
      <c r="H251" s="820" t="s">
        <v>960</v>
      </c>
      <c r="I251" s="820" t="s">
        <v>976</v>
      </c>
      <c r="J251" s="820" t="s">
        <v>977</v>
      </c>
      <c r="K251" s="820" t="s">
        <v>978</v>
      </c>
      <c r="L251" s="820" t="s">
        <v>979</v>
      </c>
      <c r="M251" s="820" t="s">
        <v>980</v>
      </c>
      <c r="N251" s="820" t="s">
        <v>981</v>
      </c>
      <c r="O251" s="820" t="s">
        <v>982</v>
      </c>
      <c r="P251" s="820" t="s">
        <v>615</v>
      </c>
      <c r="Q251" s="820"/>
      <c r="R251" s="825"/>
      <c r="AA251" s="819"/>
      <c r="AB251" s="820"/>
      <c r="AC251" s="820"/>
      <c r="AD251" s="820" t="s">
        <v>972</v>
      </c>
      <c r="AE251" s="820" t="s">
        <v>973</v>
      </c>
      <c r="AF251" s="820" t="s">
        <v>974</v>
      </c>
      <c r="AG251" s="820" t="s">
        <v>975</v>
      </c>
      <c r="AH251" s="820" t="s">
        <v>960</v>
      </c>
      <c r="AI251" s="820" t="s">
        <v>976</v>
      </c>
      <c r="AJ251" s="820" t="s">
        <v>977</v>
      </c>
      <c r="AK251" s="820" t="s">
        <v>978</v>
      </c>
      <c r="AL251" s="820" t="s">
        <v>979</v>
      </c>
      <c r="AM251" s="820" t="s">
        <v>980</v>
      </c>
      <c r="AN251" s="820" t="s">
        <v>981</v>
      </c>
      <c r="AO251" s="820" t="s">
        <v>982</v>
      </c>
      <c r="AP251" s="820" t="s">
        <v>615</v>
      </c>
      <c r="AQ251" s="820"/>
      <c r="AR251" s="825"/>
    </row>
    <row r="252" spans="1:44" x14ac:dyDescent="0.3">
      <c r="A252" s="819" t="s">
        <v>1070</v>
      </c>
      <c r="B252" s="820"/>
      <c r="C252" s="820"/>
      <c r="D252" s="923">
        <f t="shared" ref="D252:O252" si="176">($V$142+$D$53)*($G$225-C101)*C102*0.024</f>
        <v>3348</v>
      </c>
      <c r="E252" s="924">
        <f t="shared" si="176"/>
        <v>2872.8</v>
      </c>
      <c r="F252" s="924">
        <f t="shared" si="176"/>
        <v>2659.8</v>
      </c>
      <c r="G252" s="924">
        <f t="shared" si="176"/>
        <v>1764</v>
      </c>
      <c r="H252" s="924">
        <f t="shared" si="176"/>
        <v>911.4</v>
      </c>
      <c r="I252" s="924">
        <f t="shared" si="176"/>
        <v>414.00000000000017</v>
      </c>
      <c r="J252" s="924">
        <f t="shared" si="176"/>
        <v>0</v>
      </c>
      <c r="K252" s="924">
        <f t="shared" si="176"/>
        <v>74.399999999999736</v>
      </c>
      <c r="L252" s="924">
        <f t="shared" si="176"/>
        <v>845.99999999999989</v>
      </c>
      <c r="M252" s="924">
        <f t="shared" si="176"/>
        <v>1767</v>
      </c>
      <c r="N252" s="924">
        <f t="shared" si="176"/>
        <v>2682</v>
      </c>
      <c r="O252" s="924">
        <f t="shared" si="176"/>
        <v>3366.6</v>
      </c>
      <c r="P252" s="925">
        <f t="shared" ref="P252:P260" si="177">SUM(D252:O252)</f>
        <v>20706</v>
      </c>
      <c r="Q252" s="820"/>
      <c r="R252" s="825"/>
      <c r="AA252" s="819" t="s">
        <v>1070</v>
      </c>
      <c r="AB252" s="820"/>
      <c r="AC252" s="820"/>
      <c r="AD252" s="923">
        <f t="shared" ref="AD252:AO252" si="178">($AE$142+$AD$53)*($AG$225-C101)*C102*0.024</f>
        <v>4419.3599999999997</v>
      </c>
      <c r="AE252" s="923">
        <f t="shared" si="178"/>
        <v>3792.0960000000009</v>
      </c>
      <c r="AF252" s="923">
        <f t="shared" si="178"/>
        <v>3510.9360000000001</v>
      </c>
      <c r="AG252" s="923">
        <f t="shared" si="178"/>
        <v>2328.4800000000005</v>
      </c>
      <c r="AH252" s="923">
        <f t="shared" si="178"/>
        <v>1203.0480000000002</v>
      </c>
      <c r="AI252" s="923">
        <f t="shared" si="178"/>
        <v>546.48000000000013</v>
      </c>
      <c r="AJ252" s="923">
        <f t="shared" si="178"/>
        <v>0</v>
      </c>
      <c r="AK252" s="923">
        <f t="shared" si="178"/>
        <v>98.207999999999657</v>
      </c>
      <c r="AL252" s="923">
        <f t="shared" si="178"/>
        <v>1116.7199999999998</v>
      </c>
      <c r="AM252" s="923">
        <f t="shared" si="178"/>
        <v>2332.44</v>
      </c>
      <c r="AN252" s="923">
        <f t="shared" si="178"/>
        <v>3540.2400000000002</v>
      </c>
      <c r="AO252" s="923">
        <f t="shared" si="178"/>
        <v>4443.9120000000012</v>
      </c>
      <c r="AP252" s="925">
        <f t="shared" ref="AP252:AP260" si="179">SUM(AD252:AO252)</f>
        <v>27331.920000000002</v>
      </c>
      <c r="AQ252" s="820"/>
      <c r="AR252" s="825"/>
    </row>
    <row r="253" spans="1:44" x14ac:dyDescent="0.3">
      <c r="A253" s="819" t="s">
        <v>1071</v>
      </c>
      <c r="B253" s="820"/>
      <c r="C253" s="820"/>
      <c r="D253" s="926">
        <f t="shared" ref="D253:O253" si="180">D252-D241</f>
        <v>3098.8309806751558</v>
      </c>
      <c r="E253" s="927">
        <f t="shared" si="180"/>
        <v>2663.0120296021805</v>
      </c>
      <c r="F253" s="927">
        <f t="shared" si="180"/>
        <v>2475.4787026051767</v>
      </c>
      <c r="G253" s="927">
        <f t="shared" si="180"/>
        <v>1648.433608986905</v>
      </c>
      <c r="H253" s="927">
        <f t="shared" si="180"/>
        <v>852.07018364711359</v>
      </c>
      <c r="I253" s="927">
        <f t="shared" si="180"/>
        <v>387.04965550790598</v>
      </c>
      <c r="J253" s="927">
        <f>J252-J241</f>
        <v>0</v>
      </c>
      <c r="K253" s="927">
        <f t="shared" si="180"/>
        <v>69.556749685477982</v>
      </c>
      <c r="L253" s="927">
        <f t="shared" si="180"/>
        <v>790.92755690745878</v>
      </c>
      <c r="M253" s="927">
        <f t="shared" si="180"/>
        <v>1651.4614611903282</v>
      </c>
      <c r="N253" s="927">
        <f t="shared" si="180"/>
        <v>2494.2124673141766</v>
      </c>
      <c r="O253" s="927">
        <f t="shared" si="180"/>
        <v>3115.5035132751573</v>
      </c>
      <c r="P253" s="928">
        <f t="shared" si="177"/>
        <v>19246.536909397037</v>
      </c>
      <c r="Q253" s="820" t="s">
        <v>1098</v>
      </c>
      <c r="R253" s="922">
        <f>1-P253/P252</f>
        <v>7.0485032869842756E-2</v>
      </c>
      <c r="AA253" s="819" t="s">
        <v>1071</v>
      </c>
      <c r="AB253" s="820"/>
      <c r="AC253" s="820"/>
      <c r="AD253" s="926">
        <f>AD252-AD241</f>
        <v>4064.4078304555442</v>
      </c>
      <c r="AE253" s="926">
        <f>AE252-AE241</f>
        <v>3493.0382689332714</v>
      </c>
      <c r="AF253" s="926">
        <f t="shared" ref="AF253:AN253" si="181">AF252-AF241</f>
        <v>3247.6675478683273</v>
      </c>
      <c r="AG253" s="926">
        <f t="shared" si="181"/>
        <v>2162.9838589980291</v>
      </c>
      <c r="AH253" s="926">
        <f t="shared" si="181"/>
        <v>1118.0174227570544</v>
      </c>
      <c r="AI253" s="926">
        <f t="shared" si="181"/>
        <v>507.85518216087348</v>
      </c>
      <c r="AJ253" s="926">
        <f>AJ252-AJ241</f>
        <v>0</v>
      </c>
      <c r="AK253" s="926">
        <f t="shared" si="181"/>
        <v>91.266728388330733</v>
      </c>
      <c r="AL253" s="926">
        <f t="shared" si="181"/>
        <v>1037.7910244156994</v>
      </c>
      <c r="AM253" s="926">
        <f t="shared" si="181"/>
        <v>2166.9587241080735</v>
      </c>
      <c r="AN253" s="926">
        <f t="shared" si="181"/>
        <v>3272.1269767666222</v>
      </c>
      <c r="AO253" s="926">
        <f>AO252-AO241</f>
        <v>4086.2420804874055</v>
      </c>
      <c r="AP253" s="928">
        <f t="shared" si="179"/>
        <v>25248.35564533923</v>
      </c>
      <c r="AQ253" s="820" t="s">
        <v>1098</v>
      </c>
      <c r="AR253" s="922">
        <f>1-AP253/AP252</f>
        <v>7.6231905942237943E-2</v>
      </c>
    </row>
    <row r="254" spans="1:44" x14ac:dyDescent="0.3">
      <c r="A254" s="819" t="s">
        <v>1072</v>
      </c>
      <c r="B254" s="820"/>
      <c r="C254" s="820"/>
      <c r="D254" s="926">
        <f t="shared" ref="D254:O254" si="182">$E$107*($G$225-C101)*C102*0.024</f>
        <v>1903.2710400000005</v>
      </c>
      <c r="E254" s="927">
        <f t="shared" si="182"/>
        <v>1633.1293440000006</v>
      </c>
      <c r="F254" s="927">
        <f t="shared" si="182"/>
        <v>1512.0431040000005</v>
      </c>
      <c r="G254" s="927">
        <f t="shared" si="182"/>
        <v>1002.7987200000003</v>
      </c>
      <c r="H254" s="927">
        <f t="shared" si="182"/>
        <v>518.1126720000002</v>
      </c>
      <c r="I254" s="927">
        <f t="shared" si="182"/>
        <v>235.35072000000014</v>
      </c>
      <c r="J254" s="927">
        <f t="shared" si="182"/>
        <v>0</v>
      </c>
      <c r="K254" s="927">
        <f t="shared" si="182"/>
        <v>42.294911999999862</v>
      </c>
      <c r="L254" s="927">
        <f t="shared" si="182"/>
        <v>480.93408000000005</v>
      </c>
      <c r="M254" s="927">
        <f t="shared" si="182"/>
        <v>1004.5041600000003</v>
      </c>
      <c r="N254" s="927">
        <f t="shared" si="182"/>
        <v>1524.6633600000005</v>
      </c>
      <c r="O254" s="927">
        <f t="shared" si="182"/>
        <v>1913.8447680000006</v>
      </c>
      <c r="P254" s="928">
        <f t="shared" si="177"/>
        <v>11770.946880000005</v>
      </c>
      <c r="Q254" s="820"/>
      <c r="R254" s="922"/>
      <c r="AA254" s="819" t="s">
        <v>1072</v>
      </c>
      <c r="AB254" s="820"/>
      <c r="AC254" s="820"/>
      <c r="AD254" s="926">
        <f t="shared" ref="AD254:AO254" si="183">$AE$107*($AG$225-C101)*C102*0.024</f>
        <v>1903.2710400000005</v>
      </c>
      <c r="AE254" s="926">
        <f t="shared" si="183"/>
        <v>1633.1293440000006</v>
      </c>
      <c r="AF254" s="926">
        <f t="shared" si="183"/>
        <v>1512.0431040000005</v>
      </c>
      <c r="AG254" s="926">
        <f t="shared" si="183"/>
        <v>1002.7987200000003</v>
      </c>
      <c r="AH254" s="926">
        <f t="shared" si="183"/>
        <v>518.1126720000002</v>
      </c>
      <c r="AI254" s="926">
        <f t="shared" si="183"/>
        <v>235.35072000000014</v>
      </c>
      <c r="AJ254" s="926">
        <f>$AE$107*($AG$225-I101)*I102*0.024</f>
        <v>0</v>
      </c>
      <c r="AK254" s="926">
        <f t="shared" si="183"/>
        <v>42.294911999999862</v>
      </c>
      <c r="AL254" s="926">
        <f t="shared" si="183"/>
        <v>480.93408000000005</v>
      </c>
      <c r="AM254" s="926">
        <f t="shared" si="183"/>
        <v>1004.5041600000003</v>
      </c>
      <c r="AN254" s="926">
        <f t="shared" si="183"/>
        <v>1524.6633600000005</v>
      </c>
      <c r="AO254" s="926">
        <f t="shared" si="183"/>
        <v>1913.8447680000006</v>
      </c>
      <c r="AP254" s="928">
        <f t="shared" si="179"/>
        <v>11770.946880000005</v>
      </c>
      <c r="AQ254" s="820"/>
      <c r="AR254" s="922"/>
    </row>
    <row r="255" spans="1:44" x14ac:dyDescent="0.3">
      <c r="A255" s="819" t="s">
        <v>1076</v>
      </c>
      <c r="B255" s="820"/>
      <c r="C255" s="820"/>
      <c r="D255" s="929">
        <f t="shared" ref="D255:O255" si="184">D253+D254</f>
        <v>5002.1020206751564</v>
      </c>
      <c r="E255" s="930">
        <f t="shared" si="184"/>
        <v>4296.1413736021814</v>
      </c>
      <c r="F255" s="930">
        <f t="shared" si="184"/>
        <v>3987.5218066051775</v>
      </c>
      <c r="G255" s="930">
        <f t="shared" si="184"/>
        <v>2651.2323289869055</v>
      </c>
      <c r="H255" s="930">
        <f t="shared" si="184"/>
        <v>1370.1828556471137</v>
      </c>
      <c r="I255" s="930">
        <f>I253+I254</f>
        <v>622.40037550790612</v>
      </c>
      <c r="J255" s="930">
        <f>J253+J254</f>
        <v>0</v>
      </c>
      <c r="K255" s="930">
        <f t="shared" si="184"/>
        <v>111.85166168547784</v>
      </c>
      <c r="L255" s="930">
        <f t="shared" si="184"/>
        <v>1271.8616369074589</v>
      </c>
      <c r="M255" s="930">
        <f t="shared" si="184"/>
        <v>2655.9656211903284</v>
      </c>
      <c r="N255" s="930">
        <f t="shared" si="184"/>
        <v>4018.8758273141771</v>
      </c>
      <c r="O255" s="930">
        <f t="shared" si="184"/>
        <v>5029.3482812751581</v>
      </c>
      <c r="P255" s="931">
        <f t="shared" si="177"/>
        <v>31017.48378939704</v>
      </c>
      <c r="Q255" s="820"/>
      <c r="R255" s="825"/>
      <c r="AA255" s="819" t="s">
        <v>1076</v>
      </c>
      <c r="AB255" s="820"/>
      <c r="AC255" s="820"/>
      <c r="AD255" s="929">
        <f>AD253+AD254</f>
        <v>5967.6788704555447</v>
      </c>
      <c r="AE255" s="929">
        <f t="shared" ref="AE255:AO255" si="185">AE253+AE254</f>
        <v>5126.1676129332718</v>
      </c>
      <c r="AF255" s="929">
        <f t="shared" si="185"/>
        <v>4759.7106518683277</v>
      </c>
      <c r="AG255" s="929">
        <f t="shared" si="185"/>
        <v>3165.7825789980293</v>
      </c>
      <c r="AH255" s="929">
        <f t="shared" si="185"/>
        <v>1636.1300947570546</v>
      </c>
      <c r="AI255" s="929">
        <f t="shared" si="185"/>
        <v>743.20590216087362</v>
      </c>
      <c r="AJ255" s="929">
        <f>AJ253+AJ254</f>
        <v>0</v>
      </c>
      <c r="AK255" s="929">
        <f t="shared" si="185"/>
        <v>133.5616403883306</v>
      </c>
      <c r="AL255" s="929">
        <f t="shared" si="185"/>
        <v>1518.7251044156994</v>
      </c>
      <c r="AM255" s="929">
        <f t="shared" si="185"/>
        <v>3171.4628841080739</v>
      </c>
      <c r="AN255" s="929">
        <f t="shared" si="185"/>
        <v>4796.7903367666222</v>
      </c>
      <c r="AO255" s="929">
        <f t="shared" si="185"/>
        <v>6000.0868484874063</v>
      </c>
      <c r="AP255" s="931">
        <f t="shared" si="179"/>
        <v>37019.302525339241</v>
      </c>
      <c r="AQ255" s="820"/>
      <c r="AR255" s="825"/>
    </row>
    <row r="256" spans="1:44" x14ac:dyDescent="0.3">
      <c r="A256" s="819" t="s">
        <v>995</v>
      </c>
      <c r="B256" s="820"/>
      <c r="C256" s="820"/>
      <c r="D256" s="923">
        <f t="shared" ref="D256:O256" si="186">E223</f>
        <v>1190.3999999999999</v>
      </c>
      <c r="E256" s="924">
        <f t="shared" si="186"/>
        <v>1075.2</v>
      </c>
      <c r="F256" s="924">
        <f t="shared" si="186"/>
        <v>1190.3999999999999</v>
      </c>
      <c r="G256" s="924">
        <f t="shared" si="186"/>
        <v>1152</v>
      </c>
      <c r="H256" s="924">
        <f t="shared" si="186"/>
        <v>1190.3999999999999</v>
      </c>
      <c r="I256" s="924">
        <f t="shared" si="186"/>
        <v>1152</v>
      </c>
      <c r="J256" s="924">
        <f t="shared" si="186"/>
        <v>1190.3999999999999</v>
      </c>
      <c r="K256" s="924">
        <f t="shared" si="186"/>
        <v>1190.3999999999999</v>
      </c>
      <c r="L256" s="924">
        <f t="shared" si="186"/>
        <v>1152</v>
      </c>
      <c r="M256" s="924">
        <f t="shared" si="186"/>
        <v>1190.3999999999999</v>
      </c>
      <c r="N256" s="924">
        <f t="shared" si="186"/>
        <v>1152</v>
      </c>
      <c r="O256" s="924">
        <f t="shared" si="186"/>
        <v>1190.3999999999999</v>
      </c>
      <c r="P256" s="925">
        <f t="shared" si="177"/>
        <v>14015.999999999998</v>
      </c>
      <c r="Q256" s="820"/>
      <c r="R256" s="825"/>
      <c r="AA256" s="819" t="s">
        <v>995</v>
      </c>
      <c r="AB256" s="820"/>
      <c r="AC256" s="820"/>
      <c r="AD256" s="923">
        <f t="shared" ref="AD256:AO256" si="187">E223</f>
        <v>1190.3999999999999</v>
      </c>
      <c r="AE256" s="923">
        <f t="shared" si="187"/>
        <v>1075.2</v>
      </c>
      <c r="AF256" s="923">
        <f t="shared" si="187"/>
        <v>1190.3999999999999</v>
      </c>
      <c r="AG256" s="923">
        <f t="shared" si="187"/>
        <v>1152</v>
      </c>
      <c r="AH256" s="923">
        <f t="shared" si="187"/>
        <v>1190.3999999999999</v>
      </c>
      <c r="AI256" s="923">
        <f t="shared" si="187"/>
        <v>1152</v>
      </c>
      <c r="AJ256" s="923">
        <f t="shared" si="187"/>
        <v>1190.3999999999999</v>
      </c>
      <c r="AK256" s="923">
        <f t="shared" si="187"/>
        <v>1190.3999999999999</v>
      </c>
      <c r="AL256" s="923">
        <f t="shared" si="187"/>
        <v>1152</v>
      </c>
      <c r="AM256" s="923">
        <f t="shared" si="187"/>
        <v>1190.3999999999999</v>
      </c>
      <c r="AN256" s="923">
        <f t="shared" si="187"/>
        <v>1152</v>
      </c>
      <c r="AO256" s="923">
        <f t="shared" si="187"/>
        <v>1190.3999999999999</v>
      </c>
      <c r="AP256" s="925">
        <f t="shared" si="179"/>
        <v>14015.999999999998</v>
      </c>
      <c r="AQ256" s="820"/>
      <c r="AR256" s="825"/>
    </row>
    <row r="257" spans="1:44" x14ac:dyDescent="0.3">
      <c r="A257" s="819" t="s">
        <v>1004</v>
      </c>
      <c r="B257" s="820"/>
      <c r="C257" s="820"/>
      <c r="D257" s="926">
        <f t="shared" ref="D257:O257" si="188">E182</f>
        <v>0</v>
      </c>
      <c r="E257" s="927">
        <f t="shared" si="188"/>
        <v>0</v>
      </c>
      <c r="F257" s="927">
        <f t="shared" si="188"/>
        <v>0</v>
      </c>
      <c r="G257" s="927">
        <f t="shared" si="188"/>
        <v>0</v>
      </c>
      <c r="H257" s="927">
        <f t="shared" si="188"/>
        <v>0</v>
      </c>
      <c r="I257" s="927">
        <f t="shared" si="188"/>
        <v>0</v>
      </c>
      <c r="J257" s="927">
        <f t="shared" si="188"/>
        <v>0</v>
      </c>
      <c r="K257" s="927">
        <f t="shared" si="188"/>
        <v>0</v>
      </c>
      <c r="L257" s="927">
        <f t="shared" si="188"/>
        <v>0</v>
      </c>
      <c r="M257" s="927">
        <f t="shared" si="188"/>
        <v>0</v>
      </c>
      <c r="N257" s="927">
        <f t="shared" si="188"/>
        <v>0</v>
      </c>
      <c r="O257" s="927">
        <f t="shared" si="188"/>
        <v>0</v>
      </c>
      <c r="P257" s="928">
        <f t="shared" si="177"/>
        <v>0</v>
      </c>
      <c r="Q257" s="820"/>
      <c r="R257" s="825"/>
      <c r="AA257" s="819" t="s">
        <v>1004</v>
      </c>
      <c r="AB257" s="820"/>
      <c r="AC257" s="820"/>
      <c r="AD257" s="926">
        <f>AE182</f>
        <v>0</v>
      </c>
      <c r="AE257" s="926">
        <f t="shared" ref="AE257:AO257" si="189">AF182</f>
        <v>0</v>
      </c>
      <c r="AF257" s="926">
        <f t="shared" si="189"/>
        <v>0</v>
      </c>
      <c r="AG257" s="926">
        <f t="shared" si="189"/>
        <v>0</v>
      </c>
      <c r="AH257" s="926">
        <f t="shared" si="189"/>
        <v>0</v>
      </c>
      <c r="AI257" s="926">
        <f t="shared" si="189"/>
        <v>0</v>
      </c>
      <c r="AJ257" s="926">
        <f t="shared" si="189"/>
        <v>0</v>
      </c>
      <c r="AK257" s="926">
        <f t="shared" si="189"/>
        <v>0</v>
      </c>
      <c r="AL257" s="926">
        <f t="shared" si="189"/>
        <v>0</v>
      </c>
      <c r="AM257" s="926">
        <f t="shared" si="189"/>
        <v>0</v>
      </c>
      <c r="AN257" s="926">
        <f t="shared" si="189"/>
        <v>0</v>
      </c>
      <c r="AO257" s="926">
        <f t="shared" si="189"/>
        <v>0</v>
      </c>
      <c r="AP257" s="928">
        <f t="shared" si="179"/>
        <v>0</v>
      </c>
      <c r="AQ257" s="820"/>
      <c r="AR257" s="825"/>
    </row>
    <row r="258" spans="1:44" x14ac:dyDescent="0.3">
      <c r="A258" s="819" t="s">
        <v>1073</v>
      </c>
      <c r="B258" s="820"/>
      <c r="C258" s="820"/>
      <c r="D258" s="926">
        <f t="shared" ref="D258:O258" si="190">E218</f>
        <v>0</v>
      </c>
      <c r="E258" s="927">
        <f t="shared" si="190"/>
        <v>0</v>
      </c>
      <c r="F258" s="927">
        <f t="shared" si="190"/>
        <v>0</v>
      </c>
      <c r="G258" s="927">
        <f t="shared" si="190"/>
        <v>0</v>
      </c>
      <c r="H258" s="927">
        <f t="shared" si="190"/>
        <v>0</v>
      </c>
      <c r="I258" s="927">
        <f t="shared" si="190"/>
        <v>0</v>
      </c>
      <c r="J258" s="927">
        <f t="shared" si="190"/>
        <v>0</v>
      </c>
      <c r="K258" s="927">
        <f t="shared" si="190"/>
        <v>0</v>
      </c>
      <c r="L258" s="927">
        <f t="shared" si="190"/>
        <v>0</v>
      </c>
      <c r="M258" s="927">
        <f t="shared" si="190"/>
        <v>0</v>
      </c>
      <c r="N258" s="927">
        <f t="shared" si="190"/>
        <v>0</v>
      </c>
      <c r="O258" s="927">
        <f t="shared" si="190"/>
        <v>0</v>
      </c>
      <c r="P258" s="928">
        <f t="shared" si="177"/>
        <v>0</v>
      </c>
      <c r="Q258" s="820"/>
      <c r="R258" s="825"/>
      <c r="AA258" s="819" t="s">
        <v>1073</v>
      </c>
      <c r="AB258" s="820"/>
      <c r="AC258" s="820"/>
      <c r="AD258" s="926">
        <f>AC218</f>
        <v>0</v>
      </c>
      <c r="AE258" s="926">
        <f t="shared" ref="AE258:AO258" si="191">AD218</f>
        <v>0</v>
      </c>
      <c r="AF258" s="926">
        <f t="shared" si="191"/>
        <v>0</v>
      </c>
      <c r="AG258" s="926">
        <f t="shared" si="191"/>
        <v>0</v>
      </c>
      <c r="AH258" s="926">
        <f t="shared" si="191"/>
        <v>0</v>
      </c>
      <c r="AI258" s="926">
        <f t="shared" si="191"/>
        <v>0</v>
      </c>
      <c r="AJ258" s="926">
        <f t="shared" si="191"/>
        <v>0</v>
      </c>
      <c r="AK258" s="926">
        <f t="shared" si="191"/>
        <v>0</v>
      </c>
      <c r="AL258" s="926">
        <f t="shared" si="191"/>
        <v>0</v>
      </c>
      <c r="AM258" s="926">
        <f t="shared" si="191"/>
        <v>0</v>
      </c>
      <c r="AN258" s="926">
        <f t="shared" si="191"/>
        <v>0</v>
      </c>
      <c r="AO258" s="926">
        <f t="shared" si="191"/>
        <v>0</v>
      </c>
      <c r="AP258" s="928">
        <f t="shared" si="179"/>
        <v>0</v>
      </c>
      <c r="AQ258" s="820"/>
      <c r="AR258" s="825"/>
    </row>
    <row r="259" spans="1:44" x14ac:dyDescent="0.3">
      <c r="A259" s="819" t="s">
        <v>1074</v>
      </c>
      <c r="B259" s="927"/>
      <c r="C259" s="927"/>
      <c r="D259" s="926">
        <f>D257+D258</f>
        <v>0</v>
      </c>
      <c r="E259" s="927">
        <f t="shared" ref="E259:O259" si="192">E257+E258</f>
        <v>0</v>
      </c>
      <c r="F259" s="927">
        <f t="shared" si="192"/>
        <v>0</v>
      </c>
      <c r="G259" s="927">
        <f t="shared" si="192"/>
        <v>0</v>
      </c>
      <c r="H259" s="927">
        <f t="shared" si="192"/>
        <v>0</v>
      </c>
      <c r="I259" s="927">
        <f t="shared" si="192"/>
        <v>0</v>
      </c>
      <c r="J259" s="927">
        <f t="shared" si="192"/>
        <v>0</v>
      </c>
      <c r="K259" s="927">
        <f t="shared" si="192"/>
        <v>0</v>
      </c>
      <c r="L259" s="927">
        <f t="shared" si="192"/>
        <v>0</v>
      </c>
      <c r="M259" s="927">
        <f t="shared" si="192"/>
        <v>0</v>
      </c>
      <c r="N259" s="927">
        <f t="shared" si="192"/>
        <v>0</v>
      </c>
      <c r="O259" s="927">
        <f t="shared" si="192"/>
        <v>0</v>
      </c>
      <c r="P259" s="928">
        <f t="shared" si="177"/>
        <v>0</v>
      </c>
      <c r="Q259" s="820"/>
      <c r="R259" s="825"/>
      <c r="AA259" s="819" t="s">
        <v>1074</v>
      </c>
      <c r="AB259" s="927"/>
      <c r="AC259" s="927"/>
      <c r="AD259" s="926">
        <f>AD257+AD258</f>
        <v>0</v>
      </c>
      <c r="AE259" s="926">
        <f t="shared" ref="AE259:AO259" si="193">AE257+AE258</f>
        <v>0</v>
      </c>
      <c r="AF259" s="926">
        <f t="shared" si="193"/>
        <v>0</v>
      </c>
      <c r="AG259" s="926">
        <f t="shared" si="193"/>
        <v>0</v>
      </c>
      <c r="AH259" s="926">
        <f t="shared" si="193"/>
        <v>0</v>
      </c>
      <c r="AI259" s="926">
        <f t="shared" si="193"/>
        <v>0</v>
      </c>
      <c r="AJ259" s="926">
        <f t="shared" si="193"/>
        <v>0</v>
      </c>
      <c r="AK259" s="926">
        <f t="shared" si="193"/>
        <v>0</v>
      </c>
      <c r="AL259" s="926">
        <f t="shared" si="193"/>
        <v>0</v>
      </c>
      <c r="AM259" s="926">
        <f t="shared" si="193"/>
        <v>0</v>
      </c>
      <c r="AN259" s="926">
        <f t="shared" si="193"/>
        <v>0</v>
      </c>
      <c r="AO259" s="926">
        <f t="shared" si="193"/>
        <v>0</v>
      </c>
      <c r="AP259" s="928">
        <f t="shared" si="179"/>
        <v>0</v>
      </c>
      <c r="AQ259" s="820"/>
      <c r="AR259" s="825"/>
    </row>
    <row r="260" spans="1:44" x14ac:dyDescent="0.3">
      <c r="A260" s="819" t="s">
        <v>1075</v>
      </c>
      <c r="B260" s="820"/>
      <c r="C260" s="927"/>
      <c r="D260" s="929">
        <f>D256+D259</f>
        <v>1190.3999999999999</v>
      </c>
      <c r="E260" s="930">
        <f t="shared" ref="E260:O260" si="194">E256+E259</f>
        <v>1075.2</v>
      </c>
      <c r="F260" s="930">
        <f t="shared" si="194"/>
        <v>1190.3999999999999</v>
      </c>
      <c r="G260" s="930">
        <f t="shared" si="194"/>
        <v>1152</v>
      </c>
      <c r="H260" s="930">
        <f t="shared" si="194"/>
        <v>1190.3999999999999</v>
      </c>
      <c r="I260" s="930">
        <f t="shared" si="194"/>
        <v>1152</v>
      </c>
      <c r="J260" s="930">
        <f t="shared" si="194"/>
        <v>1190.3999999999999</v>
      </c>
      <c r="K260" s="930">
        <f t="shared" si="194"/>
        <v>1190.3999999999999</v>
      </c>
      <c r="L260" s="930">
        <f t="shared" si="194"/>
        <v>1152</v>
      </c>
      <c r="M260" s="930">
        <f t="shared" si="194"/>
        <v>1190.3999999999999</v>
      </c>
      <c r="N260" s="930">
        <f t="shared" si="194"/>
        <v>1152</v>
      </c>
      <c r="O260" s="930">
        <f t="shared" si="194"/>
        <v>1190.3999999999999</v>
      </c>
      <c r="P260" s="931">
        <f t="shared" si="177"/>
        <v>14015.999999999998</v>
      </c>
      <c r="Q260" s="820"/>
      <c r="R260" s="825"/>
      <c r="AA260" s="819" t="s">
        <v>1075</v>
      </c>
      <c r="AB260" s="820"/>
      <c r="AC260" s="927"/>
      <c r="AD260" s="929">
        <f>AD256+AD259</f>
        <v>1190.3999999999999</v>
      </c>
      <c r="AE260" s="929">
        <f t="shared" ref="AE260:AO260" si="195">AE256+AE259</f>
        <v>1075.2</v>
      </c>
      <c r="AF260" s="929">
        <f t="shared" si="195"/>
        <v>1190.3999999999999</v>
      </c>
      <c r="AG260" s="929">
        <f t="shared" si="195"/>
        <v>1152</v>
      </c>
      <c r="AH260" s="929">
        <f t="shared" si="195"/>
        <v>1190.3999999999999</v>
      </c>
      <c r="AI260" s="929">
        <f t="shared" si="195"/>
        <v>1152</v>
      </c>
      <c r="AJ260" s="929">
        <f t="shared" si="195"/>
        <v>1190.3999999999999</v>
      </c>
      <c r="AK260" s="929">
        <f t="shared" si="195"/>
        <v>1190.3999999999999</v>
      </c>
      <c r="AL260" s="929">
        <f t="shared" si="195"/>
        <v>1152</v>
      </c>
      <c r="AM260" s="929">
        <f t="shared" si="195"/>
        <v>1190.3999999999999</v>
      </c>
      <c r="AN260" s="929">
        <f t="shared" si="195"/>
        <v>1152</v>
      </c>
      <c r="AO260" s="929">
        <f t="shared" si="195"/>
        <v>1190.3999999999999</v>
      </c>
      <c r="AP260" s="931">
        <f t="shared" si="179"/>
        <v>14015.999999999998</v>
      </c>
      <c r="AQ260" s="820"/>
      <c r="AR260" s="825"/>
    </row>
    <row r="261" spans="1:44" x14ac:dyDescent="0.3">
      <c r="A261" s="819" t="s">
        <v>1077</v>
      </c>
      <c r="B261" s="820"/>
      <c r="C261" s="820"/>
      <c r="D261" s="932">
        <f t="shared" ref="D261:O261" si="196">IF(D255&gt;0,D260/D255,0)</f>
        <v>0.23797995224402205</v>
      </c>
      <c r="E261" s="933">
        <f t="shared" si="196"/>
        <v>0.25027109363919237</v>
      </c>
      <c r="F261" s="933">
        <f t="shared" si="196"/>
        <v>0.29853128277020274</v>
      </c>
      <c r="G261" s="933">
        <f t="shared" si="196"/>
        <v>0.4345149187435432</v>
      </c>
      <c r="H261" s="933">
        <f t="shared" si="196"/>
        <v>0.86878915109311783</v>
      </c>
      <c r="I261" s="933">
        <f t="shared" si="196"/>
        <v>1.8508986262418581</v>
      </c>
      <c r="J261" s="933">
        <f t="shared" si="196"/>
        <v>0</v>
      </c>
      <c r="K261" s="933">
        <f t="shared" si="196"/>
        <v>10.642667100890773</v>
      </c>
      <c r="L261" s="933">
        <f t="shared" si="196"/>
        <v>0.90575890220346345</v>
      </c>
      <c r="M261" s="933">
        <f t="shared" si="196"/>
        <v>0.44819857248999195</v>
      </c>
      <c r="N261" s="933">
        <f t="shared" si="196"/>
        <v>0.28664732365465595</v>
      </c>
      <c r="O261" s="933">
        <f t="shared" si="196"/>
        <v>0.23669070691166805</v>
      </c>
      <c r="P261" s="877"/>
      <c r="Q261" s="820"/>
      <c r="R261" s="825"/>
      <c r="AA261" s="819" t="s">
        <v>1077</v>
      </c>
      <c r="AB261" s="820"/>
      <c r="AC261" s="820"/>
      <c r="AD261" s="932">
        <f>IF(AD255&gt;0,AD260/AD255,0)</f>
        <v>0.19947454041023663</v>
      </c>
      <c r="AE261" s="932">
        <f t="shared" ref="AE261:AO261" si="197">IF(AE255&gt;0,AE260/AE255,0)</f>
        <v>0.20974733586301017</v>
      </c>
      <c r="AF261" s="932">
        <f t="shared" si="197"/>
        <v>0.25009923650143157</v>
      </c>
      <c r="AG261" s="932">
        <f t="shared" si="197"/>
        <v>0.36389106682260164</v>
      </c>
      <c r="AH261" s="932">
        <f t="shared" si="197"/>
        <v>0.72757050543511925</v>
      </c>
      <c r="AI261" s="932">
        <f t="shared" si="197"/>
        <v>1.5500415115791684</v>
      </c>
      <c r="AJ261" s="932">
        <f t="shared" si="197"/>
        <v>0</v>
      </c>
      <c r="AK261" s="932">
        <f t="shared" si="197"/>
        <v>8.9127386915802376</v>
      </c>
      <c r="AL261" s="932">
        <f t="shared" si="197"/>
        <v>0.75853095247491154</v>
      </c>
      <c r="AM261" s="932">
        <f t="shared" si="197"/>
        <v>0.37534729035139941</v>
      </c>
      <c r="AN261" s="932">
        <f t="shared" si="197"/>
        <v>0.24016059054532909</v>
      </c>
      <c r="AO261" s="932">
        <f t="shared" si="197"/>
        <v>0.19839712825158423</v>
      </c>
      <c r="AP261" s="877"/>
      <c r="AQ261" s="820"/>
      <c r="AR261" s="825"/>
    </row>
    <row r="262" spans="1:44" x14ac:dyDescent="0.3">
      <c r="A262" s="819" t="s">
        <v>132</v>
      </c>
      <c r="B262" s="820"/>
      <c r="C262" s="820"/>
      <c r="D262" s="934">
        <f>IF(D255&gt;0,IF(D261=1,$H$245/($H$245+1),IF(ISERROR((1-D261^$H$245)/(1-D261^($H$245+1))),0,(1-D261^$H$245)/(1-D261^($H$245+1)))),0)</f>
        <v>0.99412910885741368</v>
      </c>
      <c r="E262" s="935">
        <f t="shared" ref="E262:O262" si="198">IF(E255&gt;0,IF(E261=1,$H$245/($H$245+1),IF(ISERROR((1-E261^$H$245)/(1-E261^($H$245+1))),0,(1-E261^$H$245)/(1-E261^($H$245+1)))),0)</f>
        <v>0.99314515015059179</v>
      </c>
      <c r="F262" s="935">
        <f t="shared" si="198"/>
        <v>0.98830679320467341</v>
      </c>
      <c r="G262" s="935">
        <f t="shared" si="198"/>
        <v>0.96562263473518706</v>
      </c>
      <c r="H262" s="935">
        <f t="shared" si="198"/>
        <v>0.82324852920626146</v>
      </c>
      <c r="I262" s="935">
        <f t="shared" si="198"/>
        <v>0.50727395348202031</v>
      </c>
      <c r="J262" s="935">
        <f t="shared" si="198"/>
        <v>0</v>
      </c>
      <c r="K262" s="935">
        <f t="shared" si="198"/>
        <v>9.3933384979404552E-2</v>
      </c>
      <c r="L262" s="935">
        <f t="shared" si="198"/>
        <v>0.80886770017687359</v>
      </c>
      <c r="M262" s="935">
        <f t="shared" si="198"/>
        <v>0.96259143385441337</v>
      </c>
      <c r="N262" s="935">
        <f t="shared" si="198"/>
        <v>0.98964725601255499</v>
      </c>
      <c r="O262" s="935">
        <f t="shared" si="198"/>
        <v>0.99422675704193153</v>
      </c>
      <c r="P262" s="936">
        <f>(P263-P255)/-P260</f>
        <v>0.75753404591200746</v>
      </c>
      <c r="Q262" s="820"/>
      <c r="R262" s="825"/>
      <c r="AA262" s="819" t="s">
        <v>132</v>
      </c>
      <c r="AB262" s="820"/>
      <c r="AC262" s="820"/>
      <c r="AD262" s="934">
        <f t="shared" ref="AD262:AO262" si="199">IF(AD255&gt;0,IF(AD261=1,$AH$245/($AH$245+1),IF(ISERROR((1-AD261^$AH$245)/(1-AD261^($AH$245+1))),0,(1-AD261^$AH$245)/(1-AD261^($AH$245+1)))),0)</f>
        <v>0.99348766740933303</v>
      </c>
      <c r="AE262" s="934">
        <f t="shared" si="199"/>
        <v>0.99252864833898646</v>
      </c>
      <c r="AF262" s="934">
        <f t="shared" si="199"/>
        <v>0.98798648656036248</v>
      </c>
      <c r="AG262" s="934">
        <f t="shared" si="199"/>
        <v>0.9683401757743032</v>
      </c>
      <c r="AH262" s="934">
        <f t="shared" si="199"/>
        <v>0.85330272020302456</v>
      </c>
      <c r="AI262" s="934">
        <f t="shared" si="199"/>
        <v>0.57022643393254646</v>
      </c>
      <c r="AJ262" s="934">
        <f t="shared" si="199"/>
        <v>0</v>
      </c>
      <c r="AK262" s="934">
        <f t="shared" si="199"/>
        <v>0.11205377947351215</v>
      </c>
      <c r="AL262" s="934">
        <f t="shared" si="199"/>
        <v>0.84152836334295722</v>
      </c>
      <c r="AM262" s="934">
        <f t="shared" si="199"/>
        <v>0.9658142822975182</v>
      </c>
      <c r="AN262" s="934">
        <f t="shared" si="199"/>
        <v>0.98922175636942833</v>
      </c>
      <c r="AO262" s="934">
        <f t="shared" si="199"/>
        <v>0.99358372540078554</v>
      </c>
      <c r="AP262" s="936">
        <f>(AP263-AP255)/-AP260</f>
        <v>0.76976271928150541</v>
      </c>
      <c r="AQ262" s="820"/>
      <c r="AR262" s="825"/>
    </row>
    <row r="263" spans="1:44" x14ac:dyDescent="0.3">
      <c r="A263" s="819" t="s">
        <v>1078</v>
      </c>
      <c r="B263" s="820"/>
      <c r="C263" s="820"/>
      <c r="D263" s="927">
        <f t="shared" ref="D263:O263" si="200">D255-D262*D260</f>
        <v>3818.6907294912912</v>
      </c>
      <c r="E263" s="927">
        <f t="shared" si="200"/>
        <v>3228.311708160265</v>
      </c>
      <c r="F263" s="927">
        <f t="shared" si="200"/>
        <v>2811.0413999743341</v>
      </c>
      <c r="G263" s="927">
        <f t="shared" si="200"/>
        <v>1538.83505377197</v>
      </c>
      <c r="H263" s="927">
        <f t="shared" si="200"/>
        <v>390.18780647998017</v>
      </c>
      <c r="I263" s="927">
        <f t="shared" si="200"/>
        <v>38.020781096618748</v>
      </c>
      <c r="J263" s="927">
        <f t="shared" si="200"/>
        <v>0</v>
      </c>
      <c r="K263" s="927">
        <f t="shared" si="200"/>
        <v>3.336020599466849E-2</v>
      </c>
      <c r="L263" s="927">
        <f t="shared" si="200"/>
        <v>340.04604630370045</v>
      </c>
      <c r="M263" s="927">
        <f t="shared" si="200"/>
        <v>1510.0967783300348</v>
      </c>
      <c r="N263" s="927">
        <f t="shared" si="200"/>
        <v>2878.8021883877136</v>
      </c>
      <c r="O263" s="927">
        <f t="shared" si="200"/>
        <v>3845.8207496924429</v>
      </c>
      <c r="P263" s="818">
        <f>SUM(D263:O263)</f>
        <v>20399.886601894344</v>
      </c>
      <c r="Q263" s="818"/>
      <c r="R263" s="825" t="s">
        <v>523</v>
      </c>
      <c r="AA263" s="819" t="s">
        <v>1078</v>
      </c>
      <c r="AB263" s="820"/>
      <c r="AC263" s="820"/>
      <c r="AD263" s="927">
        <f>AD255-AD262*AD260</f>
        <v>4785.0311511714754</v>
      </c>
      <c r="AE263" s="927">
        <f t="shared" ref="AE263:AO263" si="201">AE255-AE262*AE260</f>
        <v>4059.0008102391935</v>
      </c>
      <c r="AF263" s="927">
        <f t="shared" si="201"/>
        <v>3583.6115382668722</v>
      </c>
      <c r="AG263" s="927">
        <f t="shared" si="201"/>
        <v>2050.2546965060319</v>
      </c>
      <c r="AH263" s="927">
        <f t="shared" si="201"/>
        <v>620.35853662737429</v>
      </c>
      <c r="AI263" s="927">
        <f t="shared" si="201"/>
        <v>86.305050270580068</v>
      </c>
      <c r="AJ263" s="927">
        <f t="shared" si="201"/>
        <v>0</v>
      </c>
      <c r="AK263" s="927">
        <f t="shared" si="201"/>
        <v>0.17282130306173826</v>
      </c>
      <c r="AL263" s="927">
        <f t="shared" si="201"/>
        <v>549.28442984461276</v>
      </c>
      <c r="AM263" s="927">
        <f t="shared" si="201"/>
        <v>2021.7575624611084</v>
      </c>
      <c r="AN263" s="927">
        <f t="shared" si="201"/>
        <v>3657.2068734290406</v>
      </c>
      <c r="AO263" s="927">
        <f t="shared" si="201"/>
        <v>4817.3247817703113</v>
      </c>
      <c r="AP263" s="946">
        <f>SUM(AD263:AO263)</f>
        <v>26230.308251889663</v>
      </c>
      <c r="AQ263" s="946"/>
      <c r="AR263" s="825" t="s">
        <v>523</v>
      </c>
    </row>
    <row r="264" spans="1:44" ht="14.5" thickBot="1" x14ac:dyDescent="0.35">
      <c r="A264" s="821"/>
      <c r="B264" s="822"/>
      <c r="C264" s="822"/>
      <c r="D264" s="822"/>
      <c r="E264" s="822"/>
      <c r="F264" s="822"/>
      <c r="G264" s="822"/>
      <c r="H264" s="822"/>
      <c r="I264" s="822"/>
      <c r="J264" s="822"/>
      <c r="K264" s="822"/>
      <c r="L264" s="822"/>
      <c r="M264" s="822"/>
      <c r="N264" s="822"/>
      <c r="O264" s="822"/>
      <c r="P264" s="711">
        <f>P263/D14</f>
        <v>63.749645630919829</v>
      </c>
      <c r="Q264" s="711"/>
      <c r="R264" s="826" t="s">
        <v>365</v>
      </c>
      <c r="AA264" s="821"/>
      <c r="AB264" s="822"/>
      <c r="AC264" s="822"/>
      <c r="AD264" s="822"/>
      <c r="AE264" s="822"/>
      <c r="AF264" s="822"/>
      <c r="AG264" s="822"/>
      <c r="AH264" s="822"/>
      <c r="AI264" s="822"/>
      <c r="AJ264" s="822"/>
      <c r="AK264" s="822"/>
      <c r="AL264" s="822"/>
      <c r="AM264" s="822"/>
      <c r="AN264" s="822"/>
      <c r="AO264" s="822"/>
      <c r="AP264" s="947">
        <f>AP263/D14</f>
        <v>81.969713287155201</v>
      </c>
      <c r="AQ264" s="947"/>
      <c r="AR264" s="826" t="s">
        <v>365</v>
      </c>
    </row>
    <row r="267" spans="1:44" s="154" customFormat="1" x14ac:dyDescent="0.3">
      <c r="A267" s="154" t="s">
        <v>366</v>
      </c>
      <c r="AA267" s="154" t="s">
        <v>884</v>
      </c>
      <c r="AD267" s="806"/>
    </row>
    <row r="268" spans="1:44" ht="14.5" thickBot="1" x14ac:dyDescent="0.35"/>
    <row r="269" spans="1:44" x14ac:dyDescent="0.3">
      <c r="A269" s="160" t="s">
        <v>367</v>
      </c>
      <c r="B269" s="161"/>
      <c r="C269" s="161"/>
      <c r="D269" s="161"/>
      <c r="E269" s="287" t="s">
        <v>391</v>
      </c>
      <c r="F269" s="287">
        <v>1</v>
      </c>
      <c r="G269" s="161"/>
      <c r="H269" s="163"/>
      <c r="K269" s="291" t="s">
        <v>590</v>
      </c>
      <c r="L269" s="162"/>
      <c r="M269" s="162"/>
      <c r="N269" s="162"/>
      <c r="O269" s="162"/>
      <c r="P269" s="162"/>
      <c r="Q269" s="162"/>
      <c r="R269" s="162"/>
      <c r="S269" s="162"/>
      <c r="T269" s="173"/>
      <c r="AA269" s="160" t="s">
        <v>367</v>
      </c>
      <c r="AB269" s="161"/>
      <c r="AC269" s="161"/>
      <c r="AD269" s="807"/>
      <c r="AE269" s="161"/>
      <c r="AF269" s="161"/>
      <c r="AG269" s="161"/>
      <c r="AH269" s="163"/>
      <c r="AK269" s="291" t="s">
        <v>590</v>
      </c>
    </row>
    <row r="270" spans="1:44" ht="14.5" thickBot="1" x14ac:dyDescent="0.35">
      <c r="A270" s="164"/>
      <c r="B270" s="165"/>
      <c r="C270" s="165"/>
      <c r="D270" s="165"/>
      <c r="E270" s="165"/>
      <c r="F270" s="165"/>
      <c r="G270" s="165"/>
      <c r="H270" s="166"/>
      <c r="K270" s="292" t="str">
        <f>CHOOSE(F269,A271,A272,A273,A274,A275,A276)</f>
        <v>gebäudezentral; mit Zirkulation; Verteilleitungen im beheizten Bereich</v>
      </c>
      <c r="L270" s="293"/>
      <c r="M270" s="293"/>
      <c r="N270" s="293"/>
      <c r="O270" s="293"/>
      <c r="P270" s="293"/>
      <c r="Q270" s="293"/>
      <c r="R270" s="293"/>
      <c r="S270" s="293"/>
      <c r="T270" s="294"/>
      <c r="AA270" s="164"/>
      <c r="AB270" s="165"/>
      <c r="AC270" s="165"/>
      <c r="AD270" s="715"/>
      <c r="AE270" s="165"/>
      <c r="AF270" s="165"/>
      <c r="AG270" s="165"/>
      <c r="AH270" s="166"/>
      <c r="AK270" s="292" t="str">
        <f>IF(AB273=1,AC273,AC274)</f>
        <v>gebäudezentral; mit Zirkulation; Verteilleitungen im beheizten Bereich</v>
      </c>
    </row>
    <row r="271" spans="1:44" x14ac:dyDescent="0.3">
      <c r="A271" s="164" t="s">
        <v>624</v>
      </c>
      <c r="B271" s="165"/>
      <c r="C271" s="165"/>
      <c r="D271" s="165"/>
      <c r="E271" s="165"/>
      <c r="F271" s="706">
        <f>'TW-01'!D25</f>
        <v>7.5583292817679553</v>
      </c>
      <c r="G271" s="706">
        <f>'TW-01'!E25</f>
        <v>3.3958493701657462</v>
      </c>
      <c r="H271" s="707">
        <f>'TW-01'!B32</f>
        <v>0.46621305248618777</v>
      </c>
      <c r="AA271" s="164"/>
      <c r="AB271" s="165"/>
      <c r="AC271" s="165"/>
      <c r="AD271" s="715"/>
      <c r="AE271" s="165"/>
      <c r="AF271" s="165"/>
      <c r="AG271" s="165"/>
      <c r="AH271" s="166"/>
    </row>
    <row r="272" spans="1:44" x14ac:dyDescent="0.3">
      <c r="A272" s="164" t="s">
        <v>594</v>
      </c>
      <c r="B272" s="165"/>
      <c r="C272" s="165"/>
      <c r="D272" s="165"/>
      <c r="E272" s="165"/>
      <c r="F272" s="706">
        <f>'TW-01'!B25</f>
        <v>8.511382665745856</v>
      </c>
      <c r="G272" s="706">
        <f>'TW-01'!C25</f>
        <v>1.8352899447513813</v>
      </c>
      <c r="H272" s="707">
        <f>H271</f>
        <v>0.46621305248618777</v>
      </c>
      <c r="AA272" s="164"/>
      <c r="AB272" s="165"/>
      <c r="AC272" s="165"/>
      <c r="AD272" s="715"/>
      <c r="AE272" s="165"/>
      <c r="AF272" s="165"/>
      <c r="AG272" s="165"/>
      <c r="AH272" s="166"/>
    </row>
    <row r="273" spans="1:37" x14ac:dyDescent="0.3">
      <c r="A273" s="164" t="str">
        <f>IF(D14&gt;500,"- - -","gebäudezentral; ohne Zirkulation; Verteilleitungen im beheizten Bereich")</f>
        <v>gebäudezentral; ohne Zirkulation; Verteilleitungen im beheizten Bereich</v>
      </c>
      <c r="B273" s="165"/>
      <c r="C273" s="165"/>
      <c r="D273" s="165"/>
      <c r="E273" s="165"/>
      <c r="F273" s="706">
        <f>'TW-01'!H25</f>
        <v>3.2986800000000001</v>
      </c>
      <c r="G273" s="706">
        <f>'TW-01'!I25</f>
        <v>1.4820498</v>
      </c>
      <c r="H273" s="707">
        <v>0</v>
      </c>
      <c r="AA273" s="164" t="s">
        <v>340</v>
      </c>
      <c r="AB273" s="165">
        <v>1</v>
      </c>
      <c r="AC273" s="165" t="s">
        <v>624</v>
      </c>
      <c r="AD273" s="715"/>
      <c r="AE273" s="165"/>
      <c r="AF273" s="774">
        <f>F271</f>
        <v>7.5583292817679553</v>
      </c>
      <c r="AG273" s="774">
        <f>G271</f>
        <v>3.3958493701657462</v>
      </c>
      <c r="AH273" s="773">
        <f>H271</f>
        <v>0.46621305248618777</v>
      </c>
    </row>
    <row r="274" spans="1:37" x14ac:dyDescent="0.3">
      <c r="A274" s="164" t="str">
        <f>IF(D14&gt;500,"- - -","gebäudezentral; ohne Zirkulation; Verteilleitungen im unbeheizten Keller oder Dach")</f>
        <v>gebäudezentral; ohne Zirkulation; Verteilleitungen im unbeheizten Keller oder Dach</v>
      </c>
      <c r="B274" s="165"/>
      <c r="C274" s="165"/>
      <c r="D274" s="165"/>
      <c r="E274" s="165"/>
      <c r="F274" s="706">
        <f>'TW-01'!F25</f>
        <v>3.8940300000000008</v>
      </c>
      <c r="G274" s="706">
        <f>'TW-01'!G25</f>
        <v>1.0235088000000001</v>
      </c>
      <c r="H274" s="707">
        <v>0</v>
      </c>
      <c r="AA274" s="164"/>
      <c r="AB274" s="165"/>
      <c r="AC274" s="165"/>
      <c r="AD274" s="715"/>
      <c r="AE274" s="165"/>
      <c r="AF274" s="774"/>
      <c r="AG274" s="774"/>
      <c r="AH274" s="773"/>
    </row>
    <row r="275" spans="1:37" x14ac:dyDescent="0.3">
      <c r="A275" s="164" t="s">
        <v>389</v>
      </c>
      <c r="B275" s="165"/>
      <c r="C275" s="165"/>
      <c r="D275" s="165"/>
      <c r="E275" s="165"/>
      <c r="F275" s="706">
        <f>'TW-01'!B27</f>
        <v>1.512</v>
      </c>
      <c r="G275" s="706">
        <f>'TW-01'!D27</f>
        <v>0.67932000000000003</v>
      </c>
      <c r="H275" s="707">
        <v>0</v>
      </c>
      <c r="AA275" s="164"/>
      <c r="AB275" s="165"/>
      <c r="AC275" s="165"/>
      <c r="AD275" s="715"/>
      <c r="AE275" s="165"/>
      <c r="AF275" s="165"/>
      <c r="AG275" s="165"/>
      <c r="AH275" s="166"/>
    </row>
    <row r="276" spans="1:37" x14ac:dyDescent="0.3">
      <c r="A276" s="164" t="s">
        <v>311</v>
      </c>
      <c r="B276" s="165"/>
      <c r="C276" s="165"/>
      <c r="D276" s="165"/>
      <c r="E276" s="165"/>
      <c r="F276" s="706">
        <f>'TW-01'!B30</f>
        <v>1.008</v>
      </c>
      <c r="G276" s="706">
        <f>'TW-01'!D30</f>
        <v>0.45288</v>
      </c>
      <c r="H276" s="707">
        <v>0</v>
      </c>
      <c r="AA276" s="164"/>
      <c r="AB276" s="165"/>
      <c r="AC276" s="165"/>
      <c r="AD276" s="715"/>
      <c r="AE276" s="165"/>
      <c r="AF276" s="165"/>
      <c r="AG276" s="165"/>
      <c r="AH276" s="166"/>
    </row>
    <row r="277" spans="1:37" x14ac:dyDescent="0.3">
      <c r="A277" s="164"/>
      <c r="B277" s="165"/>
      <c r="C277" s="165"/>
      <c r="D277" s="165"/>
      <c r="E277" s="165"/>
      <c r="F277" s="165"/>
      <c r="G277" s="165"/>
      <c r="H277" s="166"/>
      <c r="AA277" s="164"/>
      <c r="AB277" s="165"/>
      <c r="AC277" s="165"/>
      <c r="AD277" s="715"/>
      <c r="AE277" s="165"/>
      <c r="AF277" s="165"/>
      <c r="AG277" s="165"/>
      <c r="AH277" s="166"/>
    </row>
    <row r="278" spans="1:37" x14ac:dyDescent="0.3">
      <c r="A278" s="164"/>
      <c r="B278" s="165"/>
      <c r="C278" s="165"/>
      <c r="D278" s="165"/>
      <c r="E278" s="165"/>
      <c r="F278" s="165"/>
      <c r="G278" s="165"/>
      <c r="H278" s="166"/>
      <c r="AA278" s="164"/>
      <c r="AB278" s="165"/>
      <c r="AC278" s="165"/>
      <c r="AD278" s="715"/>
      <c r="AE278" s="165"/>
      <c r="AF278" s="165"/>
      <c r="AG278" s="165"/>
      <c r="AH278" s="166"/>
    </row>
    <row r="279" spans="1:37" x14ac:dyDescent="0.3">
      <c r="A279" s="164"/>
      <c r="B279" s="165"/>
      <c r="C279" s="165"/>
      <c r="D279" s="165"/>
      <c r="E279" s="165"/>
      <c r="F279" s="165"/>
      <c r="G279" s="165"/>
      <c r="H279" s="166"/>
      <c r="AA279" s="164"/>
      <c r="AB279" s="165"/>
      <c r="AC279" s="165"/>
      <c r="AD279" s="715"/>
      <c r="AE279" s="165"/>
      <c r="AF279" s="165"/>
      <c r="AG279" s="165"/>
      <c r="AH279" s="166"/>
    </row>
    <row r="280" spans="1:37" x14ac:dyDescent="0.3">
      <c r="A280" s="164"/>
      <c r="B280" s="165"/>
      <c r="C280" s="165"/>
      <c r="D280" s="165"/>
      <c r="E280" s="165"/>
      <c r="F280" s="171" t="s">
        <v>387</v>
      </c>
      <c r="G280" s="171" t="s">
        <v>386</v>
      </c>
      <c r="H280" s="176" t="s">
        <v>400</v>
      </c>
      <c r="AA280" s="164"/>
      <c r="AB280" s="165"/>
      <c r="AC280" s="165"/>
      <c r="AD280" s="715"/>
      <c r="AE280" s="165"/>
      <c r="AF280" s="766" t="s">
        <v>387</v>
      </c>
      <c r="AG280" s="766" t="s">
        <v>386</v>
      </c>
      <c r="AH280" s="769" t="s">
        <v>400</v>
      </c>
    </row>
    <row r="281" spans="1:37" ht="14.5" thickBot="1" x14ac:dyDescent="0.35">
      <c r="A281" s="167"/>
      <c r="B281" s="168"/>
      <c r="C281" s="168"/>
      <c r="D281" s="168"/>
      <c r="E281" s="168"/>
      <c r="F281" s="712">
        <f>ROUND(CHOOSE(F269,F271,F272,F273,F274,F275,F276),2)</f>
        <v>7.56</v>
      </c>
      <c r="G281" s="712">
        <f>ROUND(CHOOSE(F269,G271,G272,G273,G274,G275,G276),2)</f>
        <v>3.4</v>
      </c>
      <c r="H281" s="710">
        <f>ROUND(CHOOSE(F269,H271,H272,H273,H274,H275,H276),2)</f>
        <v>0.47</v>
      </c>
      <c r="AA281" s="167"/>
      <c r="AB281" s="168"/>
      <c r="AC281" s="168"/>
      <c r="AD281" s="808"/>
      <c r="AE281" s="168"/>
      <c r="AF281" s="771">
        <f>ROUND(AB273*AF273+AB274*AF274,2)</f>
        <v>7.56</v>
      </c>
      <c r="AG281" s="771">
        <f>ROUND(AB273*AG273+AB274*AG274,2)</f>
        <v>3.4</v>
      </c>
      <c r="AH281" s="772">
        <f>ROUND(AB273*AH273+AB274*AH274,2)</f>
        <v>0.47</v>
      </c>
    </row>
    <row r="282" spans="1:37" ht="14.5" thickBot="1" x14ac:dyDescent="0.35"/>
    <row r="283" spans="1:37" x14ac:dyDescent="0.3">
      <c r="A283" s="160" t="s">
        <v>399</v>
      </c>
      <c r="B283" s="161"/>
      <c r="C283" s="161"/>
      <c r="D283" s="161"/>
      <c r="E283" s="287" t="s">
        <v>391</v>
      </c>
      <c r="F283" s="287">
        <v>1</v>
      </c>
      <c r="G283" s="161"/>
      <c r="H283" s="163"/>
      <c r="K283" s="291" t="s">
        <v>591</v>
      </c>
      <c r="L283" s="162"/>
      <c r="M283" s="162"/>
      <c r="N283" s="162"/>
      <c r="O283" s="162"/>
      <c r="P283" s="162"/>
      <c r="Q283" s="162"/>
      <c r="R283" s="162"/>
      <c r="S283" s="162"/>
      <c r="T283" s="173"/>
      <c r="AA283" s="160" t="s">
        <v>399</v>
      </c>
      <c r="AB283" s="161"/>
      <c r="AC283" s="161"/>
      <c r="AD283" s="807"/>
      <c r="AE283" s="161"/>
      <c r="AF283" s="161"/>
      <c r="AG283" s="161"/>
      <c r="AH283" s="163"/>
      <c r="AK283" s="291" t="s">
        <v>591</v>
      </c>
    </row>
    <row r="284" spans="1:37" ht="14.5" thickBot="1" x14ac:dyDescent="0.35">
      <c r="A284" s="164"/>
      <c r="B284" s="165"/>
      <c r="C284" s="165"/>
      <c r="D284" s="165"/>
      <c r="E284" s="165"/>
      <c r="F284" s="171" t="s">
        <v>387</v>
      </c>
      <c r="G284" s="171" t="s">
        <v>386</v>
      </c>
      <c r="H284" s="176" t="s">
        <v>400</v>
      </c>
      <c r="K284" s="292" t="str">
        <f>CHOOSE(F283,A285,A286,A287,A288,A289,A290,A291,A292,A293,A294,A295,A296,A297)</f>
        <v>kein Speicher vorhanden</v>
      </c>
      <c r="L284" s="293"/>
      <c r="M284" s="293"/>
      <c r="N284" s="293"/>
      <c r="O284" s="293"/>
      <c r="P284" s="293"/>
      <c r="Q284" s="293"/>
      <c r="R284" s="293"/>
      <c r="S284" s="293"/>
      <c r="T284" s="294"/>
      <c r="AA284" s="164"/>
      <c r="AB284" s="165"/>
      <c r="AC284" s="165"/>
      <c r="AD284" s="715"/>
      <c r="AE284" s="165"/>
      <c r="AF284" s="165"/>
      <c r="AG284" s="165"/>
      <c r="AH284" s="166"/>
      <c r="AK284" s="292" t="str">
        <f>IF(AB286=1,AC286,IF(AB289=1,AC289,AC290))</f>
        <v>bivalenter Solarspeicher; Aufstellung im beheizten Bereich</v>
      </c>
    </row>
    <row r="285" spans="1:37" x14ac:dyDescent="0.3">
      <c r="A285" s="164" t="s">
        <v>404</v>
      </c>
      <c r="B285" s="165"/>
      <c r="C285" s="165"/>
      <c r="D285" s="165"/>
      <c r="E285" s="165"/>
      <c r="F285" s="706">
        <v>0</v>
      </c>
      <c r="G285" s="706">
        <v>0</v>
      </c>
      <c r="H285" s="707">
        <v>0</v>
      </c>
      <c r="AA285" s="164"/>
      <c r="AB285" s="165"/>
      <c r="AC285" s="165"/>
      <c r="AD285" s="715"/>
      <c r="AE285" s="165"/>
      <c r="AF285" s="165"/>
      <c r="AG285" s="165"/>
      <c r="AH285" s="166"/>
    </row>
    <row r="286" spans="1:37" x14ac:dyDescent="0.3">
      <c r="A286" s="164" t="str">
        <f>IF(OR(F330=5,F330=6,F330=7,F330=8,F330=9,F330=10),"- - -","indirekt beheizter Speicher; Aufstellung im beheizten Bereich")</f>
        <v>indirekt beheizter Speicher; Aufstellung im beheizten Bereich</v>
      </c>
      <c r="B286" s="165"/>
      <c r="C286" s="165"/>
      <c r="D286" s="165"/>
      <c r="E286" s="165"/>
      <c r="F286" s="706">
        <f>'TW-02'!D15</f>
        <v>2.1519408994574012</v>
      </c>
      <c r="G286" s="706">
        <f>'TW-02'!F15</f>
        <v>0.96683630411336097</v>
      </c>
      <c r="H286" s="707">
        <f>'TW-02'!B70</f>
        <v>5.0980494303148341E-2</v>
      </c>
      <c r="AA286" s="164"/>
      <c r="AB286" s="165"/>
      <c r="AC286" s="165"/>
      <c r="AD286" s="715"/>
      <c r="AE286" s="165"/>
      <c r="AF286" s="774"/>
      <c r="AG286" s="774"/>
      <c r="AH286" s="773"/>
    </row>
    <row r="287" spans="1:37" x14ac:dyDescent="0.3">
      <c r="A287" s="164" t="str">
        <f>IF(OR(F330=5,F330=6,F330=7,F330=8,F330=9,F330=10),"- - -","indirekt beheizter Speicher; Aufstellung im unbeheizten Keller oder Dach")</f>
        <v>indirekt beheizter Speicher; Aufstellung im unbeheizten Keller oder Dach</v>
      </c>
      <c r="B287" s="165"/>
      <c r="C287" s="165"/>
      <c r="D287" s="165"/>
      <c r="E287" s="165"/>
      <c r="F287" s="706">
        <f>'TW-02'!C15</f>
        <v>2.6540604426641279</v>
      </c>
      <c r="G287" s="706">
        <f>'TW-02'!E15</f>
        <v>0</v>
      </c>
      <c r="H287" s="707">
        <f>'TW-02'!B70</f>
        <v>5.0980494303148341E-2</v>
      </c>
      <c r="AA287" s="164"/>
      <c r="AB287" s="165"/>
      <c r="AC287" s="165"/>
      <c r="AD287" s="715"/>
      <c r="AE287" s="165"/>
      <c r="AF287" s="165"/>
      <c r="AG287" s="165"/>
      <c r="AH287" s="166"/>
    </row>
    <row r="288" spans="1:37" x14ac:dyDescent="0.3">
      <c r="A288" s="164" t="str">
        <f>IF(OR(F269=5,F269=6,F330=5,F330=6,F330=7,F330=8,F330=9,F330=10),"- - -","bivalenter Solarspeicher; Aufstellung im beheizten Bereich")</f>
        <v>bivalenter Solarspeicher; Aufstellung im beheizten Bereich</v>
      </c>
      <c r="B288" s="165"/>
      <c r="C288" s="165"/>
      <c r="D288" s="165"/>
      <c r="E288" s="165"/>
      <c r="F288" s="706">
        <f>'TW-02'!D85</f>
        <v>1.3392829852837604</v>
      </c>
      <c r="G288" s="706">
        <f>'TW-02'!F85</f>
        <v>0.60172071267391813</v>
      </c>
      <c r="H288" s="707">
        <f>H286</f>
        <v>5.0980494303148341E-2</v>
      </c>
      <c r="AA288" s="164" t="s">
        <v>340</v>
      </c>
      <c r="AB288" s="165">
        <v>1</v>
      </c>
      <c r="AC288" s="165" t="s">
        <v>1301</v>
      </c>
      <c r="AD288" s="715"/>
      <c r="AE288" s="165"/>
      <c r="AF288" s="165"/>
      <c r="AG288" s="165"/>
      <c r="AH288" s="166"/>
    </row>
    <row r="289" spans="1:37" x14ac:dyDescent="0.3">
      <c r="A289" s="164" t="str">
        <f>IF(OR(F269=5,F269=6,F330=5,F330=6,F330=7,F330=8,F330=9,F330=10),"- - -","bivalenter Solarspeicher; Aufstellung im unbeheizten Keller oder Dach")</f>
        <v>bivalenter Solarspeicher; Aufstellung im unbeheizten Keller oder Dach</v>
      </c>
      <c r="B289" s="165"/>
      <c r="C289" s="165"/>
      <c r="D289" s="165"/>
      <c r="E289" s="165"/>
      <c r="F289" s="706">
        <f>'TW-02'!C85</f>
        <v>1.6517823485166379</v>
      </c>
      <c r="G289" s="706">
        <f>'TW-02'!E85</f>
        <v>0</v>
      </c>
      <c r="H289" s="707">
        <f>H287</f>
        <v>5.0980494303148341E-2</v>
      </c>
      <c r="AA289" s="164" t="s">
        <v>1302</v>
      </c>
      <c r="AB289" s="165">
        <f>IF(D14&lt;=500,1,0)</f>
        <v>1</v>
      </c>
      <c r="AC289" s="165" t="s">
        <v>45</v>
      </c>
      <c r="AD289" s="715"/>
      <c r="AE289" s="165"/>
      <c r="AF289" s="774">
        <f t="shared" ref="AF289:AH290" si="202">F288</f>
        <v>1.3392829852837604</v>
      </c>
      <c r="AG289" s="774">
        <f t="shared" si="202"/>
        <v>0.60172071267391813</v>
      </c>
      <c r="AH289" s="707">
        <f t="shared" si="202"/>
        <v>5.0980494303148341E-2</v>
      </c>
    </row>
    <row r="290" spans="1:37" x14ac:dyDescent="0.3">
      <c r="A290" s="164" t="str">
        <f>IF(OR(F330=5,F330=6,F330=7,F330=8,F330=9,F330=10),"- - -","gasbeheizter Speicher; Aufstellung im beheizten Bereich")</f>
        <v>gasbeheizter Speicher; Aufstellung im beheizten Bereich</v>
      </c>
      <c r="B290" s="165"/>
      <c r="C290" s="165"/>
      <c r="D290" s="165"/>
      <c r="E290" s="165"/>
      <c r="F290" s="706">
        <f>'TW-02'!D28</f>
        <v>11.388630473201671</v>
      </c>
      <c r="G290" s="706">
        <f>'TW-02'!F28</f>
        <v>5.1167489768884646</v>
      </c>
      <c r="H290" s="707">
        <v>0</v>
      </c>
      <c r="AA290" s="164" t="s">
        <v>1303</v>
      </c>
      <c r="AB290" s="165">
        <f>IF(AB289,0,1)</f>
        <v>0</v>
      </c>
      <c r="AC290" s="165" t="s">
        <v>1300</v>
      </c>
      <c r="AD290" s="715"/>
      <c r="AE290" s="165"/>
      <c r="AF290" s="774">
        <f>F287</f>
        <v>2.6540604426641279</v>
      </c>
      <c r="AG290" s="774">
        <f t="shared" si="202"/>
        <v>0</v>
      </c>
      <c r="AH290" s="707">
        <f t="shared" si="202"/>
        <v>5.0980494303148341E-2</v>
      </c>
    </row>
    <row r="291" spans="1:37" x14ac:dyDescent="0.3">
      <c r="A291" s="164" t="str">
        <f>IF(OR(F330=5,F330=6,F330=7,F330=8,F330=9,F330=10),"- - -","gasbeheizter Speicher; Aufstellung im unbeheizten Keller oder Dach")</f>
        <v>gasbeheizter Speicher; Aufstellung im unbeheizten Keller oder Dach</v>
      </c>
      <c r="B291" s="165"/>
      <c r="C291" s="165"/>
      <c r="D291" s="165"/>
      <c r="E291" s="165"/>
      <c r="F291" s="706">
        <f>'TW-02'!C28</f>
        <v>13.666356567842007</v>
      </c>
      <c r="G291" s="706">
        <f>'TW-02'!E28</f>
        <v>0</v>
      </c>
      <c r="H291" s="707">
        <v>0</v>
      </c>
      <c r="AA291" s="164"/>
      <c r="AB291" s="165"/>
      <c r="AC291" s="165"/>
      <c r="AD291" s="715"/>
      <c r="AE291" s="165"/>
      <c r="AF291" s="165"/>
      <c r="AG291" s="165"/>
      <c r="AH291" s="166"/>
    </row>
    <row r="292" spans="1:37" x14ac:dyDescent="0.3">
      <c r="A292" s="164" t="str">
        <f>IF(OR(F330=5,F330=6,F330=7,F330=8,F330=9,F330=10),"- - -","elektrisch beheizter Tag-Speicher; Aufstellung im beheizten Bereich")</f>
        <v>elektrisch beheizter Tag-Speicher; Aufstellung im beheizten Bereich</v>
      </c>
      <c r="B292" s="165"/>
      <c r="C292" s="165"/>
      <c r="D292" s="165"/>
      <c r="E292" s="165"/>
      <c r="F292" s="706">
        <f>'TW-02'!D41</f>
        <v>1.4856667896607707</v>
      </c>
      <c r="G292" s="706">
        <f>'TW-02'!F41</f>
        <v>0.66748886478330338</v>
      </c>
      <c r="H292" s="707">
        <v>0</v>
      </c>
      <c r="AA292" s="164"/>
      <c r="AB292" s="165"/>
      <c r="AC292" s="165"/>
      <c r="AD292" s="715"/>
      <c r="AE292" s="165"/>
      <c r="AF292" s="165"/>
      <c r="AG292" s="165"/>
      <c r="AH292" s="166"/>
    </row>
    <row r="293" spans="1:37" x14ac:dyDescent="0.3">
      <c r="A293" s="164" t="str">
        <f>IF(OR(F330=5,F330=6,F330=7,F330=8,F330=9,F330=10),"- - -","elektrisch beheizter Tag-Speicher; Aufstellung im unbeheizten Keller oder Dach")</f>
        <v>elektrisch beheizter Tag-Speicher; Aufstellung im unbeheizten Keller oder Dach</v>
      </c>
      <c r="B293" s="165"/>
      <c r="C293" s="165"/>
      <c r="D293" s="165"/>
      <c r="E293" s="165"/>
      <c r="F293" s="706">
        <f>'TW-02'!C41</f>
        <v>1.7828001475929249</v>
      </c>
      <c r="G293" s="706">
        <f>'TW-02'!E41</f>
        <v>0</v>
      </c>
      <c r="H293" s="707">
        <v>0</v>
      </c>
      <c r="AA293" s="164"/>
      <c r="AB293" s="165"/>
      <c r="AC293" s="165"/>
      <c r="AD293" s="715"/>
      <c r="AE293" s="165"/>
      <c r="AF293" s="165"/>
      <c r="AG293" s="165"/>
      <c r="AH293" s="166"/>
    </row>
    <row r="294" spans="1:37" x14ac:dyDescent="0.3">
      <c r="A294" s="164" t="str">
        <f>IF(OR(F330=5,F330=6,F330=7,F330=8,F330=9,F330=10),"- - -","elektrisch beheizter Nacht-Speicher; Aufstellung im beheizten Bereich")</f>
        <v>elektrisch beheizter Nacht-Speicher; Aufstellung im beheizten Bereich</v>
      </c>
      <c r="B294" s="165"/>
      <c r="C294" s="165"/>
      <c r="D294" s="165"/>
      <c r="E294" s="165"/>
      <c r="F294" s="706">
        <f>'TW-02'!D67</f>
        <v>2.5110658287004641</v>
      </c>
      <c r="G294" s="706">
        <f>'TW-02'!F67</f>
        <v>1.1281860044661371</v>
      </c>
      <c r="H294" s="707">
        <v>0</v>
      </c>
      <c r="AA294" s="164"/>
      <c r="AB294" s="165"/>
      <c r="AC294" s="165"/>
      <c r="AD294" s="715"/>
      <c r="AE294" s="165"/>
      <c r="AF294" s="165"/>
      <c r="AG294" s="165"/>
      <c r="AH294" s="166"/>
    </row>
    <row r="295" spans="1:37" x14ac:dyDescent="0.3">
      <c r="A295" s="164" t="str">
        <f>IF(OR(F330=5,F330=6,F330=7,F330=8,F330=9,F330=10),"- - -","elektrisch beheizter Nacht-Speicher; Aufstellung im unbeheizten Keller oder Dach")</f>
        <v>elektrisch beheizter Nacht-Speicher; Aufstellung im unbeheizten Keller oder Dach</v>
      </c>
      <c r="B295" s="165"/>
      <c r="C295" s="165"/>
      <c r="D295" s="165"/>
      <c r="E295" s="165"/>
      <c r="F295" s="706">
        <f>'TW-02'!C67</f>
        <v>3.0132789944405571</v>
      </c>
      <c r="G295" s="706">
        <f>'TW-02'!E67</f>
        <v>0</v>
      </c>
      <c r="H295" s="707">
        <v>0</v>
      </c>
      <c r="AA295" s="164"/>
      <c r="AB295" s="165"/>
      <c r="AC295" s="165"/>
      <c r="AD295" s="715"/>
      <c r="AE295" s="165"/>
      <c r="AF295" s="165"/>
      <c r="AG295" s="165"/>
      <c r="AH295" s="166"/>
    </row>
    <row r="296" spans="1:37" x14ac:dyDescent="0.3">
      <c r="A296" s="164" t="str">
        <f>IF(OR(F330=5,F330=6,F330=7,F330=8,F330=9,F330=10),"- - -","elektrisch beheizter Klein-Speicher; Aufstellung im beheizten Bereich")</f>
        <v>elektrisch beheizter Klein-Speicher; Aufstellung im beheizten Bereich</v>
      </c>
      <c r="B296" s="165"/>
      <c r="C296" s="165"/>
      <c r="D296" s="165"/>
      <c r="E296" s="165"/>
      <c r="F296" s="706">
        <f>'TW-02'!D54</f>
        <v>1.2250000000000001</v>
      </c>
      <c r="G296" s="706">
        <f>'TW-02'!F54</f>
        <v>0.55037500000000006</v>
      </c>
      <c r="H296" s="707">
        <v>0</v>
      </c>
      <c r="AA296" s="164"/>
      <c r="AB296" s="165"/>
      <c r="AC296" s="165"/>
      <c r="AD296" s="715"/>
      <c r="AE296" s="165"/>
      <c r="AF296" s="165"/>
      <c r="AG296" s="165"/>
      <c r="AH296" s="166"/>
    </row>
    <row r="297" spans="1:37" x14ac:dyDescent="0.3">
      <c r="A297" s="164" t="str">
        <f>IF(OR(F330=5,F330=6,F330=7,F330=8,F330=9,F330=10),"- - -","elektrisch beheizter Klein-Speicher; Aufstellung im unbeheizten Keller oder Dach")</f>
        <v>elektrisch beheizter Klein-Speicher; Aufstellung im unbeheizten Keller oder Dach</v>
      </c>
      <c r="B297" s="165"/>
      <c r="C297" s="165"/>
      <c r="D297" s="165"/>
      <c r="E297" s="165"/>
      <c r="F297" s="706">
        <f>'TW-02'!C54</f>
        <v>1.4700000000000002</v>
      </c>
      <c r="G297" s="706">
        <f>'TW-02'!E54</f>
        <v>0</v>
      </c>
      <c r="H297" s="707">
        <v>0</v>
      </c>
      <c r="AA297" s="164"/>
      <c r="AB297" s="165"/>
      <c r="AC297" s="165"/>
      <c r="AD297" s="715"/>
      <c r="AE297" s="165"/>
      <c r="AF297" s="766" t="s">
        <v>387</v>
      </c>
      <c r="AG297" s="766" t="s">
        <v>386</v>
      </c>
      <c r="AH297" s="769" t="s">
        <v>400</v>
      </c>
    </row>
    <row r="298" spans="1:37" ht="14.5" thickBot="1" x14ac:dyDescent="0.35">
      <c r="A298" s="167"/>
      <c r="B298" s="168"/>
      <c r="C298" s="168"/>
      <c r="D298" s="168"/>
      <c r="E298" s="168"/>
      <c r="F298" s="712">
        <f>ROUND(CHOOSE(F283,F285,F286,F287,F288,F289,F290,F291,F292,F293,F294,F295,F296,F297),2)</f>
        <v>0</v>
      </c>
      <c r="G298" s="712">
        <f>ROUND(CHOOSE(F283,G285,G286,G287,G288,G289,G290,G291,G292,G293,G294,G295,G296,G297),2)</f>
        <v>0</v>
      </c>
      <c r="H298" s="710">
        <f>ROUND(CHOOSE(F283,H285,H286,H287,H288,H289,H290,H291,H292,H293,H294,H295,H296,H297),2)</f>
        <v>0</v>
      </c>
      <c r="AA298" s="167"/>
      <c r="AB298" s="168"/>
      <c r="AC298" s="168"/>
      <c r="AD298" s="808"/>
      <c r="AE298" s="168"/>
      <c r="AF298" s="771">
        <f>ROUND($AB$286*AF286+$AB$288*$AB$289*AF289+$AB$288*$AB$290*AF290,2)</f>
        <v>1.34</v>
      </c>
      <c r="AG298" s="771">
        <f>ROUND($AB$286*AG286+$AB$288*$AB$289*AG289+$AB$288*$AB$290*AG290,2)</f>
        <v>0.6</v>
      </c>
      <c r="AH298" s="772">
        <f>ROUND($AB$286*AH286+$AB$288*$AB$289*AH289+$AB$288*$AB$290*AH290,2)</f>
        <v>0.05</v>
      </c>
    </row>
    <row r="299" spans="1:37" ht="14.5" thickBot="1" x14ac:dyDescent="0.35"/>
    <row r="300" spans="1:37" x14ac:dyDescent="0.3">
      <c r="A300" s="160" t="s">
        <v>424</v>
      </c>
      <c r="B300" s="161"/>
      <c r="C300" s="161"/>
      <c r="D300" s="161"/>
      <c r="E300" s="287" t="s">
        <v>391</v>
      </c>
      <c r="F300" s="288">
        <v>1</v>
      </c>
      <c r="K300" s="291" t="s">
        <v>592</v>
      </c>
      <c r="L300" s="162"/>
      <c r="M300" s="162"/>
      <c r="N300" s="162"/>
      <c r="O300" s="162"/>
      <c r="P300" s="162"/>
      <c r="Q300" s="162"/>
      <c r="R300" s="162"/>
      <c r="S300" s="162"/>
      <c r="T300" s="173"/>
      <c r="AA300" s="160" t="s">
        <v>424</v>
      </c>
      <c r="AB300" s="161"/>
      <c r="AC300" s="161"/>
      <c r="AD300" s="807"/>
      <c r="AE300" s="161"/>
      <c r="AF300" s="163"/>
      <c r="AK300" s="291" t="s">
        <v>592</v>
      </c>
    </row>
    <row r="301" spans="1:37" ht="14.5" thickBot="1" x14ac:dyDescent="0.35">
      <c r="A301" s="164"/>
      <c r="B301" s="165"/>
      <c r="C301" s="165"/>
      <c r="D301" s="165"/>
      <c r="E301" s="165"/>
      <c r="F301" s="166"/>
      <c r="K301" s="292" t="str">
        <f>CHOOSE(F300,A302,A303)</f>
        <v>keine Solaranlage vorhanden</v>
      </c>
      <c r="L301" s="293"/>
      <c r="M301" s="293"/>
      <c r="N301" s="293"/>
      <c r="O301" s="293"/>
      <c r="P301" s="293"/>
      <c r="Q301" s="293"/>
      <c r="R301" s="293"/>
      <c r="S301" s="293"/>
      <c r="T301" s="294"/>
      <c r="AA301" s="164"/>
      <c r="AB301" s="165"/>
      <c r="AC301" s="165"/>
      <c r="AD301" s="715"/>
      <c r="AE301" s="165" t="s">
        <v>872</v>
      </c>
      <c r="AF301" s="166" t="s">
        <v>499</v>
      </c>
      <c r="AK301" s="292" t="str">
        <f>AC302</f>
        <v>Solaranlage vorhanden</v>
      </c>
    </row>
    <row r="302" spans="1:37" x14ac:dyDescent="0.3">
      <c r="A302" s="164" t="s">
        <v>581</v>
      </c>
      <c r="B302" s="165"/>
      <c r="C302" s="165"/>
      <c r="D302" s="165"/>
      <c r="E302" s="165"/>
      <c r="F302" s="713">
        <v>0</v>
      </c>
      <c r="G302" s="218"/>
      <c r="AA302" s="164" t="s">
        <v>340</v>
      </c>
      <c r="AB302" s="165"/>
      <c r="AC302" s="165" t="s">
        <v>44</v>
      </c>
      <c r="AD302" s="715"/>
      <c r="AE302" s="774">
        <f>'TW-03'!G84</f>
        <v>0.502883238565493</v>
      </c>
      <c r="AF302" s="773">
        <f>IF(AE302=0,0,1750*(30+0.05*D14)/1000/D14/AE302)</f>
        <v>0.50024037531574594</v>
      </c>
    </row>
    <row r="303" spans="1:37" x14ac:dyDescent="0.3">
      <c r="A303" s="164" t="str">
        <f>IF(AND(OR(F283=2,F283=3,F283=4,F283=5),OR(F269=1,F269=2,F269=3,F269=4),D14&lt;=3000),"Solaranlage vorhanden","- - -")</f>
        <v>- - -</v>
      </c>
      <c r="B303" s="165"/>
      <c r="C303" s="165"/>
      <c r="D303" s="165"/>
      <c r="E303" s="165"/>
      <c r="F303" s="707">
        <f>IF(OR(F330=12),'TW-03'!K83,'TW-03'!G83)</f>
        <v>0.50305192583801328</v>
      </c>
      <c r="H303" s="219"/>
      <c r="I303" s="220"/>
      <c r="AA303" s="164"/>
      <c r="AB303" s="165"/>
      <c r="AC303" s="165"/>
      <c r="AD303" s="715"/>
      <c r="AE303" s="774"/>
      <c r="AF303" s="773"/>
    </row>
    <row r="304" spans="1:37" x14ac:dyDescent="0.3">
      <c r="A304" s="164"/>
      <c r="B304" s="165"/>
      <c r="C304" s="165"/>
      <c r="D304" s="165"/>
      <c r="E304" s="165"/>
      <c r="F304" s="166"/>
      <c r="H304" s="219"/>
      <c r="I304" s="220"/>
      <c r="AA304" s="164"/>
      <c r="AB304" s="165"/>
      <c r="AC304" s="165"/>
      <c r="AD304" s="715"/>
      <c r="AE304" s="165"/>
      <c r="AF304" s="166"/>
    </row>
    <row r="305" spans="1:37" x14ac:dyDescent="0.3">
      <c r="A305" s="164"/>
      <c r="B305" s="165"/>
      <c r="C305" s="165"/>
      <c r="D305" s="165"/>
      <c r="E305" s="171" t="s">
        <v>432</v>
      </c>
      <c r="F305" s="714">
        <f>ROUND(CHOOSE(F300,F302,F303),2)</f>
        <v>0</v>
      </c>
      <c r="I305" s="220"/>
      <c r="AA305" s="164"/>
      <c r="AB305" s="165"/>
      <c r="AC305" s="165"/>
      <c r="AD305" s="715"/>
      <c r="AE305" s="766" t="s">
        <v>432</v>
      </c>
      <c r="AF305" s="784">
        <f>AE302</f>
        <v>0.502883238565493</v>
      </c>
    </row>
    <row r="306" spans="1:37" x14ac:dyDescent="0.3">
      <c r="A306" s="164"/>
      <c r="B306" s="165"/>
      <c r="C306" s="165"/>
      <c r="D306" s="165"/>
      <c r="E306" s="171" t="s">
        <v>482</v>
      </c>
      <c r="F306" s="714">
        <v>0</v>
      </c>
      <c r="AA306" s="164"/>
      <c r="AB306" s="165"/>
      <c r="AC306" s="165"/>
      <c r="AD306" s="715"/>
      <c r="AE306" s="766" t="s">
        <v>482</v>
      </c>
      <c r="AF306" s="784">
        <v>0</v>
      </c>
    </row>
    <row r="307" spans="1:37" x14ac:dyDescent="0.3">
      <c r="A307" s="164"/>
      <c r="B307" s="165"/>
      <c r="C307" s="165"/>
      <c r="D307" s="165"/>
      <c r="E307" s="171" t="s">
        <v>435</v>
      </c>
      <c r="F307" s="714">
        <v>0</v>
      </c>
      <c r="AA307" s="164"/>
      <c r="AB307" s="165"/>
      <c r="AC307" s="165"/>
      <c r="AD307" s="715"/>
      <c r="AE307" s="766" t="s">
        <v>435</v>
      </c>
      <c r="AF307" s="784">
        <v>0</v>
      </c>
    </row>
    <row r="308" spans="1:37" ht="14.5" thickBot="1" x14ac:dyDescent="0.35">
      <c r="A308" s="167"/>
      <c r="B308" s="168"/>
      <c r="C308" s="168"/>
      <c r="D308" s="168"/>
      <c r="E308" s="169" t="s">
        <v>400</v>
      </c>
      <c r="F308" s="710">
        <f>ROUND(IF(F305=0,0,1750*(30+0.05*D14)/1000/D14/F305),2)</f>
        <v>0</v>
      </c>
      <c r="AA308" s="167"/>
      <c r="AB308" s="168"/>
      <c r="AC308" s="168"/>
      <c r="AD308" s="808"/>
      <c r="AE308" s="765" t="s">
        <v>400</v>
      </c>
      <c r="AF308" s="772">
        <f>AF302</f>
        <v>0.50024037531574594</v>
      </c>
    </row>
    <row r="309" spans="1:37" ht="14.5" thickBot="1" x14ac:dyDescent="0.35"/>
    <row r="310" spans="1:37" x14ac:dyDescent="0.3">
      <c r="A310" s="160" t="s">
        <v>873</v>
      </c>
      <c r="B310" s="161"/>
      <c r="C310" s="161"/>
      <c r="D310" s="161"/>
      <c r="E310" s="287" t="s">
        <v>391</v>
      </c>
      <c r="F310" s="288">
        <v>1</v>
      </c>
      <c r="K310" s="291" t="s">
        <v>597</v>
      </c>
      <c r="L310" s="162"/>
      <c r="M310" s="162"/>
      <c r="N310" s="162"/>
      <c r="O310" s="162"/>
      <c r="P310" s="162"/>
      <c r="Q310" s="162"/>
      <c r="R310" s="162"/>
      <c r="S310" s="162"/>
      <c r="T310" s="173"/>
      <c r="AA310" s="160" t="s">
        <v>873</v>
      </c>
      <c r="AB310" s="161"/>
      <c r="AC310" s="161"/>
      <c r="AD310" s="807"/>
      <c r="AE310" s="161"/>
      <c r="AF310" s="163"/>
      <c r="AK310" s="291" t="s">
        <v>597</v>
      </c>
    </row>
    <row r="311" spans="1:37" ht="14.5" thickBot="1" x14ac:dyDescent="0.35">
      <c r="A311" s="164" t="str">
        <f>IF(OR(F330=1,F330=2,F330=3,F330=4,F330=4,F330=5,F330=6,F330=7,F330=8,F330=9,F330=10),"Heizöl EL","- - -")</f>
        <v>Heizöl EL</v>
      </c>
      <c r="B311" s="165"/>
      <c r="C311" s="165"/>
      <c r="D311" s="165"/>
      <c r="E311" s="165"/>
      <c r="F311" s="709">
        <f>FP!B2</f>
        <v>1.1000000000000001</v>
      </c>
      <c r="K311" s="292" t="str">
        <f>CHOOSE(F310,A311,A312,A313,A314,A315,A316,A317,A318,A319,A320,A321,A322)</f>
        <v>Heizöl EL</v>
      </c>
      <c r="L311" s="293"/>
      <c r="M311" s="293"/>
      <c r="N311" s="293"/>
      <c r="O311" s="293"/>
      <c r="P311" s="293"/>
      <c r="Q311" s="293"/>
      <c r="R311" s="293"/>
      <c r="S311" s="293"/>
      <c r="T311" s="294"/>
      <c r="AA311" s="164"/>
      <c r="AB311" s="165"/>
      <c r="AC311" s="165"/>
      <c r="AD311" s="715"/>
      <c r="AE311" s="165"/>
      <c r="AF311" s="166"/>
      <c r="AK311" s="292" t="str">
        <f>AC312</f>
        <v>Erdgas H</v>
      </c>
    </row>
    <row r="312" spans="1:37" x14ac:dyDescent="0.3">
      <c r="A312" s="164" t="str">
        <f>IF(OR(F330=1,F330=2,F330=3,F330=4,F330=5,F330=6,F330=7,F330=8,F330=9,F330=10,F330=11),"Erdgas","- - -")</f>
        <v>Erdgas</v>
      </c>
      <c r="B312" s="165"/>
      <c r="C312" s="165"/>
      <c r="D312" s="165"/>
      <c r="E312" s="165"/>
      <c r="F312" s="709">
        <f>FP!B3</f>
        <v>1.1000000000000001</v>
      </c>
      <c r="AA312" s="164" t="s">
        <v>340</v>
      </c>
      <c r="AB312" s="165"/>
      <c r="AC312" s="165" t="s">
        <v>1396</v>
      </c>
      <c r="AD312" s="715"/>
      <c r="AE312" s="165"/>
      <c r="AF312" s="166">
        <v>1.1000000000000001</v>
      </c>
    </row>
    <row r="313" spans="1:37" x14ac:dyDescent="0.3">
      <c r="A313" s="164" t="str">
        <f>IF(OR(F330=1,F330=2,F330=3,F330=4,F330=5,F330=6,F330=7,F330=8,F330=9,F330=10,F330=11),"Flüssiggas","- - -")</f>
        <v>Flüssiggas</v>
      </c>
      <c r="B313" s="165"/>
      <c r="C313" s="165"/>
      <c r="D313" s="165"/>
      <c r="E313" s="165"/>
      <c r="F313" s="709">
        <f>FP!B4</f>
        <v>1.1000000000000001</v>
      </c>
      <c r="AA313" s="164"/>
      <c r="AB313" s="165"/>
      <c r="AC313" s="165"/>
      <c r="AD313" s="715"/>
      <c r="AE313" s="165"/>
      <c r="AF313" s="166"/>
    </row>
    <row r="314" spans="1:37" x14ac:dyDescent="0.3">
      <c r="A314" s="164" t="str">
        <f>IF(F330=1,"Steinkohle","- - -")</f>
        <v>Steinkohle</v>
      </c>
      <c r="B314" s="165"/>
      <c r="C314" s="165"/>
      <c r="D314" s="165"/>
      <c r="E314" s="165"/>
      <c r="F314" s="709">
        <f>FP!B5</f>
        <v>1.1000000000000001</v>
      </c>
      <c r="AA314" s="164"/>
      <c r="AB314" s="165"/>
      <c r="AC314" s="165"/>
      <c r="AD314" s="715"/>
      <c r="AE314" s="165"/>
      <c r="AF314" s="166"/>
    </row>
    <row r="315" spans="1:37" x14ac:dyDescent="0.3">
      <c r="A315" s="164" t="str">
        <f>IF(F330=1,"Braunkohle","- - -")</f>
        <v>Braunkohle</v>
      </c>
      <c r="B315" s="165"/>
      <c r="C315" s="165"/>
      <c r="D315" s="165"/>
      <c r="E315" s="165"/>
      <c r="F315" s="709">
        <f>FP!B6</f>
        <v>1.2</v>
      </c>
      <c r="AA315" s="164"/>
      <c r="AB315" s="165"/>
      <c r="AC315" s="165"/>
      <c r="AD315" s="715"/>
      <c r="AE315" s="165"/>
      <c r="AF315" s="166"/>
    </row>
    <row r="316" spans="1:37" x14ac:dyDescent="0.3">
      <c r="A316" s="164" t="str">
        <f>IF(F330=23,"Nah/ Fernwärme aus KWK; fossiler Brennstoff","- - -")</f>
        <v>- - -</v>
      </c>
      <c r="B316" s="165"/>
      <c r="C316" s="165"/>
      <c r="D316" s="165"/>
      <c r="E316" s="165"/>
      <c r="F316" s="709">
        <f>FP!B7</f>
        <v>0.7</v>
      </c>
      <c r="AA316" s="164"/>
      <c r="AB316" s="165"/>
      <c r="AC316" s="165"/>
      <c r="AD316" s="715"/>
      <c r="AE316" s="165"/>
      <c r="AF316" s="166"/>
    </row>
    <row r="317" spans="1:37" x14ac:dyDescent="0.3">
      <c r="A317" s="164" t="str">
        <f>IF(F330=23,"Nah/ Fernwärme aus KWK; erneuerbarer Brennstoff","- - -")</f>
        <v>- - -</v>
      </c>
      <c r="B317" s="165"/>
      <c r="C317" s="165"/>
      <c r="D317" s="165"/>
      <c r="E317" s="165"/>
      <c r="F317" s="709">
        <f>FP!B8</f>
        <v>0</v>
      </c>
      <c r="AA317" s="164"/>
      <c r="AB317" s="165"/>
      <c r="AC317" s="165"/>
      <c r="AD317" s="715"/>
      <c r="AE317" s="165"/>
      <c r="AF317" s="166"/>
    </row>
    <row r="318" spans="1:37" x14ac:dyDescent="0.3">
      <c r="A318" s="164" t="str">
        <f>IF(OR(F330=23,F330=24),"Nah/Fernwärme aus Heizwerken; fossiler Brennstoff","- - -")</f>
        <v>- - -</v>
      </c>
      <c r="B318" s="165"/>
      <c r="C318" s="165"/>
      <c r="D318" s="165"/>
      <c r="E318" s="165"/>
      <c r="F318" s="709">
        <f>FP!B9</f>
        <v>1.3</v>
      </c>
      <c r="AA318" s="164"/>
      <c r="AB318" s="165"/>
      <c r="AC318" s="165"/>
      <c r="AD318" s="715"/>
      <c r="AE318" s="165"/>
      <c r="AF318" s="166"/>
    </row>
    <row r="319" spans="1:37" x14ac:dyDescent="0.3">
      <c r="A319" s="164" t="str">
        <f>IF(F330=23,"Nah/Fernwärme aus Heizwerken; erneuerb. Brennst.","- - -")</f>
        <v>- - -</v>
      </c>
      <c r="B319" s="165"/>
      <c r="C319" s="165"/>
      <c r="D319" s="165"/>
      <c r="E319" s="165"/>
      <c r="F319" s="709">
        <f>FP!B10</f>
        <v>0.1</v>
      </c>
      <c r="AA319" s="164"/>
      <c r="AB319" s="165"/>
      <c r="AC319" s="165"/>
      <c r="AD319" s="715"/>
      <c r="AE319" s="165"/>
      <c r="AF319" s="166"/>
    </row>
    <row r="320" spans="1:37" x14ac:dyDescent="0.3">
      <c r="A320" s="164" t="str">
        <f>IF(F330=23,"Nah/Fernwärme; eigener Wert","- - -")</f>
        <v>- - -</v>
      </c>
      <c r="B320" s="165"/>
      <c r="C320" s="165"/>
      <c r="D320" s="165"/>
      <c r="E320" s="165"/>
      <c r="F320" s="709">
        <f>FP!B11</f>
        <v>0</v>
      </c>
      <c r="AA320" s="164"/>
      <c r="AB320" s="165"/>
      <c r="AC320" s="165"/>
      <c r="AD320" s="715"/>
      <c r="AE320" s="165"/>
      <c r="AF320" s="166"/>
    </row>
    <row r="321" spans="1:37" x14ac:dyDescent="0.3">
      <c r="A321" s="164" t="str">
        <f>IF(OR(F330=12,F330=13,F330=14,F330=15,F330=16,F330=17,F330=18,F330=19,F330=20,F330=21,F330=22),"Strom","- - -")</f>
        <v>- - -</v>
      </c>
      <c r="B321" s="165"/>
      <c r="C321" s="165"/>
      <c r="D321" s="165"/>
      <c r="E321" s="165"/>
      <c r="F321" s="166">
        <f>FP!B12</f>
        <v>1.8</v>
      </c>
      <c r="AA321" s="164"/>
      <c r="AB321" s="165"/>
      <c r="AC321" s="165"/>
      <c r="AD321" s="715"/>
      <c r="AE321" s="165"/>
      <c r="AF321" s="166"/>
    </row>
    <row r="322" spans="1:37" x14ac:dyDescent="0.3">
      <c r="A322" s="164" t="str">
        <f>IF(OR(F330=25,F330=26),"Holz","- - -")</f>
        <v>- - -</v>
      </c>
      <c r="B322" s="165"/>
      <c r="C322" s="165"/>
      <c r="D322" s="165"/>
      <c r="E322" s="165"/>
      <c r="F322" s="166">
        <f>FP!B13</f>
        <v>0.2</v>
      </c>
      <c r="AA322" s="164"/>
      <c r="AB322" s="165"/>
      <c r="AC322" s="165"/>
      <c r="AD322" s="715"/>
      <c r="AE322" s="165"/>
      <c r="AF322" s="166"/>
    </row>
    <row r="323" spans="1:37" ht="14.5" thickBot="1" x14ac:dyDescent="0.35">
      <c r="A323" s="167"/>
      <c r="B323" s="168"/>
      <c r="C323" s="168"/>
      <c r="D323" s="168"/>
      <c r="E323" s="169" t="s">
        <v>436</v>
      </c>
      <c r="F323" s="170">
        <f>ROUND(CHOOSE(F310,F311,F312,F313,F314,F315,F316,F317,F318,F319,F320,F321,F322),2)</f>
        <v>1.1000000000000001</v>
      </c>
      <c r="AA323" s="167"/>
      <c r="AB323" s="168"/>
      <c r="AC323" s="168"/>
      <c r="AD323" s="808"/>
      <c r="AE323" s="765" t="s">
        <v>436</v>
      </c>
      <c r="AF323" s="772">
        <f>SUM(AF312:AF313)</f>
        <v>1.1000000000000001</v>
      </c>
    </row>
    <row r="324" spans="1:37" ht="14.5" thickBot="1" x14ac:dyDescent="0.35"/>
    <row r="325" spans="1:37" x14ac:dyDescent="0.3">
      <c r="A325" s="160" t="s">
        <v>873</v>
      </c>
      <c r="B325" s="161"/>
      <c r="C325" s="161"/>
      <c r="D325" s="161"/>
      <c r="E325" s="287" t="s">
        <v>391</v>
      </c>
      <c r="F325" s="287">
        <f>F361</f>
        <v>1</v>
      </c>
      <c r="G325" s="161"/>
      <c r="H325" s="161"/>
      <c r="I325" s="163"/>
      <c r="K325" s="291" t="s">
        <v>598</v>
      </c>
      <c r="L325" s="162"/>
      <c r="M325" s="162"/>
      <c r="N325" s="162"/>
      <c r="O325" s="162"/>
      <c r="P325" s="162"/>
      <c r="Q325" s="162"/>
      <c r="R325" s="162"/>
      <c r="S325" s="162"/>
      <c r="T325" s="173"/>
      <c r="AA325" s="160" t="s">
        <v>873</v>
      </c>
      <c r="AB325" s="161"/>
      <c r="AC325" s="161"/>
      <c r="AD325" s="807"/>
      <c r="AE325" s="161"/>
      <c r="AF325" s="163"/>
      <c r="AK325" s="291" t="s">
        <v>598</v>
      </c>
    </row>
    <row r="326" spans="1:37" ht="14.5" thickBot="1" x14ac:dyDescent="0.35">
      <c r="A326" s="164" t="str">
        <f>IF(F361&lt;&gt;1,"- - -","kein weiterer Erzeuger vorhanden")</f>
        <v>kein weiterer Erzeuger vorhanden</v>
      </c>
      <c r="B326" s="165"/>
      <c r="C326" s="165"/>
      <c r="D326" s="165"/>
      <c r="E326" s="165"/>
      <c r="F326" s="708">
        <v>0</v>
      </c>
      <c r="G326" s="165"/>
      <c r="H326" s="165" t="s">
        <v>596</v>
      </c>
      <c r="I326" s="166"/>
      <c r="K326" s="292" t="str">
        <f>CHOOSE(F325,A326,A327)</f>
        <v>kein weiterer Erzeuger vorhanden</v>
      </c>
      <c r="L326" s="293"/>
      <c r="M326" s="293"/>
      <c r="N326" s="293"/>
      <c r="O326" s="293"/>
      <c r="P326" s="293"/>
      <c r="Q326" s="293"/>
      <c r="R326" s="293"/>
      <c r="S326" s="293"/>
      <c r="T326" s="294"/>
      <c r="AA326" s="164"/>
      <c r="AB326" s="165"/>
      <c r="AC326" s="165"/>
      <c r="AD326" s="715"/>
      <c r="AE326" s="165"/>
      <c r="AF326" s="166"/>
      <c r="AK326" s="292" t="str">
        <f>AA327</f>
        <v>kein weiterer Erzeuger</v>
      </c>
    </row>
    <row r="327" spans="1:37" x14ac:dyDescent="0.3">
      <c r="A327" s="164" t="str">
        <f>IF(AND(OR(F361=2),H327=1),"Strom","- - -")</f>
        <v>- - -</v>
      </c>
      <c r="B327" s="165"/>
      <c r="C327" s="165"/>
      <c r="D327" s="165"/>
      <c r="E327" s="165"/>
      <c r="F327" s="165">
        <f>FP!B12</f>
        <v>1.8</v>
      </c>
      <c r="G327" s="165"/>
      <c r="H327" s="165">
        <f>IF(OR(K362="- - -",K362="kein weiterer Erzeuger vorhanden"),0,1)</f>
        <v>0</v>
      </c>
      <c r="I327" s="166"/>
      <c r="AA327" s="164" t="s">
        <v>874</v>
      </c>
      <c r="AB327" s="165"/>
      <c r="AC327" s="165"/>
      <c r="AD327" s="715"/>
      <c r="AE327" s="165"/>
      <c r="AF327" s="166"/>
    </row>
    <row r="328" spans="1:37" ht="14.5" thickBot="1" x14ac:dyDescent="0.35">
      <c r="A328" s="167"/>
      <c r="B328" s="168"/>
      <c r="C328" s="168"/>
      <c r="D328" s="168"/>
      <c r="E328" s="169" t="s">
        <v>437</v>
      </c>
      <c r="F328" s="711">
        <f>ROUND(CHOOSE(F325,F326,F327),2)</f>
        <v>0</v>
      </c>
      <c r="G328" s="168"/>
      <c r="H328" s="168"/>
      <c r="I328" s="172"/>
      <c r="AA328" s="167"/>
      <c r="AB328" s="168"/>
      <c r="AC328" s="168"/>
      <c r="AD328" s="808"/>
      <c r="AE328" s="765" t="s">
        <v>437</v>
      </c>
      <c r="AF328" s="772">
        <v>0</v>
      </c>
    </row>
    <row r="329" spans="1:37" ht="14.5" thickBot="1" x14ac:dyDescent="0.35"/>
    <row r="330" spans="1:37" x14ac:dyDescent="0.3">
      <c r="A330" s="160" t="s">
        <v>424</v>
      </c>
      <c r="B330" s="161"/>
      <c r="C330" s="161"/>
      <c r="D330" s="161"/>
      <c r="E330" s="287" t="s">
        <v>391</v>
      </c>
      <c r="F330" s="287">
        <v>1</v>
      </c>
      <c r="G330" s="163"/>
      <c r="K330" s="291" t="s">
        <v>593</v>
      </c>
      <c r="L330" s="162"/>
      <c r="M330" s="162"/>
      <c r="N330" s="162"/>
      <c r="O330" s="162"/>
      <c r="P330" s="162"/>
      <c r="Q330" s="162"/>
      <c r="R330" s="162"/>
      <c r="S330" s="162"/>
      <c r="T330" s="173"/>
      <c r="AA330" s="160" t="s">
        <v>424</v>
      </c>
      <c r="AB330" s="161"/>
      <c r="AC330" s="161"/>
      <c r="AD330" s="807"/>
      <c r="AE330" s="161"/>
      <c r="AF330" s="161"/>
      <c r="AG330" s="163"/>
      <c r="AK330" s="291" t="s">
        <v>593</v>
      </c>
    </row>
    <row r="331" spans="1:37" ht="14.5" thickBot="1" x14ac:dyDescent="0.35">
      <c r="A331" s="164"/>
      <c r="B331" s="165"/>
      <c r="C331" s="165"/>
      <c r="D331" s="165"/>
      <c r="E331" s="715" t="s">
        <v>478</v>
      </c>
      <c r="F331" s="715" t="s">
        <v>400</v>
      </c>
      <c r="G331" s="166"/>
      <c r="K331" s="292" t="str">
        <f>CHOOSE(F330,A332,A333,A334,A335,A336,A337,A338,A339,A340,A341,A342,A343,A344,A345,A346,A347,A348,A349,A350,A351,A352,A353,A354,A355,A356,A357)</f>
        <v>Kessel Kostanttemperatur</v>
      </c>
      <c r="L331" s="293"/>
      <c r="M331" s="293"/>
      <c r="N331" s="293"/>
      <c r="O331" s="293"/>
      <c r="P331" s="293"/>
      <c r="Q331" s="293"/>
      <c r="R331" s="293"/>
      <c r="S331" s="293"/>
      <c r="T331" s="294"/>
      <c r="AA331" s="164"/>
      <c r="AB331" s="165"/>
      <c r="AC331" s="165"/>
      <c r="AD331" s="715"/>
      <c r="AE331" s="165"/>
      <c r="AF331" s="165"/>
      <c r="AG331" s="166"/>
      <c r="AK331" s="292" t="str">
        <f>IF(AB333=1,AC333,AC334)</f>
        <v>Kessel Brennwert, verbessert</v>
      </c>
    </row>
    <row r="332" spans="1:37" x14ac:dyDescent="0.3">
      <c r="A332" s="164" t="s">
        <v>477</v>
      </c>
      <c r="B332" s="165"/>
      <c r="C332" s="165"/>
      <c r="D332" s="165"/>
      <c r="E332" s="706">
        <f>'TW-04'!B5</f>
        <v>1.5436538706827085</v>
      </c>
      <c r="F332" s="706">
        <f>'TW-04'!E5</f>
        <v>0.16636724997241248</v>
      </c>
      <c r="G332" s="166"/>
      <c r="AA332" s="164"/>
      <c r="AB332" s="165"/>
      <c r="AC332" s="165"/>
      <c r="AD332" s="715"/>
      <c r="AE332" s="165"/>
      <c r="AF332" s="165"/>
      <c r="AG332" s="166"/>
    </row>
    <row r="333" spans="1:37" ht="15.5" x14ac:dyDescent="0.35">
      <c r="A333" s="174" t="s">
        <v>475</v>
      </c>
      <c r="B333" s="165"/>
      <c r="C333" s="165"/>
      <c r="D333" s="165"/>
      <c r="E333" s="706">
        <f>'TW-04'!C5</f>
        <v>1.1654151986946171</v>
      </c>
      <c r="F333" s="706">
        <f>'TW-04'!E5</f>
        <v>0.16636724997241248</v>
      </c>
      <c r="G333" s="166"/>
      <c r="AA333" s="164" t="s">
        <v>340</v>
      </c>
      <c r="AB333" s="165">
        <v>1</v>
      </c>
      <c r="AC333" s="165" t="s">
        <v>336</v>
      </c>
      <c r="AD333" s="715"/>
      <c r="AE333" s="706">
        <f>'TW-04'!S25</f>
        <v>1.1203990861751278</v>
      </c>
      <c r="AF333" s="706">
        <f>'TW-04'!E49</f>
        <v>0.16636724997241248</v>
      </c>
      <c r="AG333" s="166"/>
    </row>
    <row r="334" spans="1:37" ht="15.5" x14ac:dyDescent="0.35">
      <c r="A334" s="174" t="s">
        <v>476</v>
      </c>
      <c r="B334" s="165"/>
      <c r="C334" s="165"/>
      <c r="D334" s="165"/>
      <c r="E334" s="706">
        <f>'TW-04'!D5</f>
        <v>1.1303245997287548</v>
      </c>
      <c r="F334" s="706">
        <f>'TW-04'!E5</f>
        <v>0.16636724997241248</v>
      </c>
      <c r="G334" s="166"/>
      <c r="AA334" s="164"/>
      <c r="AB334" s="165"/>
      <c r="AC334" s="165"/>
      <c r="AD334" s="715"/>
      <c r="AE334" s="706"/>
      <c r="AF334" s="706"/>
      <c r="AG334" s="166"/>
    </row>
    <row r="335" spans="1:37" ht="15.5" x14ac:dyDescent="0.35">
      <c r="A335" s="174" t="s">
        <v>336</v>
      </c>
      <c r="B335" s="165"/>
      <c r="C335" s="165"/>
      <c r="D335" s="165"/>
      <c r="E335" s="706">
        <f>'TW-04'!D8</f>
        <v>1.1203990861751278</v>
      </c>
      <c r="F335" s="706">
        <f>'TW-04'!E5</f>
        <v>0.16636724997241248</v>
      </c>
      <c r="G335" s="166"/>
      <c r="AA335" s="164"/>
      <c r="AB335" s="165"/>
      <c r="AC335" s="165"/>
      <c r="AD335" s="715"/>
      <c r="AE335" s="165"/>
      <c r="AF335" s="165"/>
      <c r="AG335" s="166"/>
    </row>
    <row r="336" spans="1:37" x14ac:dyDescent="0.3">
      <c r="A336" s="164" t="str">
        <f>IF(D14&gt;500,"- - -","Kessel Kombi-Brennwert (mit integriertem Speicher 2l &lt; V &lt; 10l)")</f>
        <v>Kessel Kombi-Brennwert (mit integriertem Speicher 2l &lt; V &lt; 10l)</v>
      </c>
      <c r="B336" s="165"/>
      <c r="C336" s="165"/>
      <c r="D336" s="165"/>
      <c r="E336" s="706">
        <f>'TW-04'!G5</f>
        <v>1.1812766146250258</v>
      </c>
      <c r="F336" s="706">
        <f>'TW-04'!H5</f>
        <v>0.16569988815185382</v>
      </c>
      <c r="G336" s="166"/>
      <c r="AA336" s="164"/>
      <c r="AB336" s="165"/>
      <c r="AC336" s="165"/>
      <c r="AD336" s="715"/>
      <c r="AE336" s="165"/>
      <c r="AF336" s="165"/>
      <c r="AG336" s="166"/>
    </row>
    <row r="337" spans="1:33" x14ac:dyDescent="0.3">
      <c r="A337" s="164" t="str">
        <f>IF(D14&gt;500,"- - -","Kessel Kombi-Brennwert (m. int. Speicher 2l &lt; V &lt; 10l), verbessert")</f>
        <v>Kessel Kombi-Brennwert (m. int. Speicher 2l &lt; V &lt; 10l), verbessert</v>
      </c>
      <c r="B337" s="165"/>
      <c r="C337" s="165"/>
      <c r="D337" s="165"/>
      <c r="E337" s="706">
        <f>'TW-04'!G7</f>
        <v>1.1565067677302345</v>
      </c>
      <c r="F337" s="706">
        <f>'TW-04'!H5</f>
        <v>0.16569988815185382</v>
      </c>
      <c r="G337" s="166"/>
      <c r="AA337" s="164"/>
      <c r="AB337" s="165"/>
      <c r="AC337" s="165"/>
      <c r="AD337" s="715"/>
      <c r="AE337" s="165"/>
      <c r="AF337" s="165"/>
      <c r="AG337" s="166"/>
    </row>
    <row r="338" spans="1:33" x14ac:dyDescent="0.3">
      <c r="A338" s="164" t="str">
        <f>IF(D14&gt;500,"- - -","Kessel Kombi-Brennwert (im Durchlaufprinzip V &lt; 2l)")</f>
        <v>Kessel Kombi-Brennwert (im Durchlaufprinzip V &lt; 2l)</v>
      </c>
      <c r="B338" s="165"/>
      <c r="C338" s="165"/>
      <c r="D338" s="165"/>
      <c r="E338" s="706">
        <f>'TW-04'!G6</f>
        <v>1.1986099396967513</v>
      </c>
      <c r="F338" s="706">
        <f>'TW-04'!H5</f>
        <v>0.16569988815185382</v>
      </c>
      <c r="G338" s="166"/>
      <c r="AA338" s="164"/>
      <c r="AB338" s="165"/>
      <c r="AC338" s="165"/>
      <c r="AD338" s="715"/>
      <c r="AE338" s="165"/>
      <c r="AF338" s="165"/>
      <c r="AG338" s="166"/>
    </row>
    <row r="339" spans="1:33" x14ac:dyDescent="0.3">
      <c r="A339" s="164" t="str">
        <f>IF(D14&gt;500,"- - -","Kessel Kombi-Brennwert (im Durchlaufprinzip V &lt; 2l), verbessert")</f>
        <v>Kessel Kombi-Brennwert (im Durchlaufprinzip V &lt; 2l), verbessert</v>
      </c>
      <c r="B339" s="165"/>
      <c r="C339" s="165"/>
      <c r="D339" s="165"/>
      <c r="E339" s="706">
        <f>'TW-04'!G8</f>
        <v>1.1073834667741522</v>
      </c>
      <c r="F339" s="706">
        <f>'TW-04'!H5</f>
        <v>0.16569988815185382</v>
      </c>
      <c r="G339" s="166"/>
      <c r="AA339" s="164"/>
      <c r="AB339" s="165"/>
      <c r="AC339" s="165"/>
      <c r="AD339" s="715"/>
      <c r="AE339" s="165"/>
      <c r="AF339" s="165"/>
      <c r="AG339" s="166"/>
    </row>
    <row r="340" spans="1:33" x14ac:dyDescent="0.3">
      <c r="A340" s="164" t="str">
        <f>IF(D14&gt;500,"- - -","Kessel Kombi-Niedertemperatur (mit integr.Speicher 2l &lt; V &lt; 10l)")</f>
        <v>Kessel Kombi-Niedertemperatur (mit integr.Speicher 2l &lt; V &lt; 10l)</v>
      </c>
      <c r="B340" s="165"/>
      <c r="C340" s="165"/>
      <c r="D340" s="165"/>
      <c r="E340" s="706">
        <f>'TW-04'!F5</f>
        <v>1.2179250733544573</v>
      </c>
      <c r="F340" s="706">
        <f>'TW-04'!H5</f>
        <v>0.16569988815185382</v>
      </c>
      <c r="G340" s="166"/>
      <c r="AA340" s="164"/>
      <c r="AB340" s="165"/>
      <c r="AC340" s="165"/>
      <c r="AD340" s="715"/>
      <c r="AE340" s="165"/>
      <c r="AF340" s="165"/>
      <c r="AG340" s="166"/>
    </row>
    <row r="341" spans="1:33" x14ac:dyDescent="0.3">
      <c r="A341" s="164" t="str">
        <f>IF(D14&gt;500,"- - -","Kessel Kombi-Niedertemperatur (im Durchlaufprinzip V &lt; 2l)")</f>
        <v>Kessel Kombi-Niedertemperatur (im Durchlaufprinzip V &lt; 2l)</v>
      </c>
      <c r="B341" s="165"/>
      <c r="C341" s="165"/>
      <c r="D341" s="165"/>
      <c r="E341" s="706">
        <f>'TW-04'!F6</f>
        <v>1.235796155324669</v>
      </c>
      <c r="F341" s="706">
        <f>'TW-04'!H5</f>
        <v>0.16569988815185382</v>
      </c>
      <c r="G341" s="166"/>
      <c r="AA341" s="164"/>
      <c r="AB341" s="165"/>
      <c r="AC341" s="165"/>
      <c r="AD341" s="715"/>
      <c r="AE341" s="165"/>
      <c r="AF341" s="165"/>
      <c r="AG341" s="166"/>
    </row>
    <row r="342" spans="1:33" x14ac:dyDescent="0.3">
      <c r="A342" s="164" t="s">
        <v>479</v>
      </c>
      <c r="B342" s="165"/>
      <c r="C342" s="165"/>
      <c r="D342" s="165"/>
      <c r="E342" s="706">
        <v>1.22</v>
      </c>
      <c r="F342" s="706">
        <v>0</v>
      </c>
      <c r="G342" s="166"/>
      <c r="AA342" s="164"/>
      <c r="AB342" s="165"/>
      <c r="AC342" s="165"/>
      <c r="AD342" s="715"/>
      <c r="AE342" s="165"/>
      <c r="AF342" s="165"/>
      <c r="AG342" s="166"/>
    </row>
    <row r="343" spans="1:33" x14ac:dyDescent="0.3">
      <c r="A343" s="164" t="s">
        <v>191</v>
      </c>
      <c r="B343" s="165"/>
      <c r="C343" s="165"/>
      <c r="D343" s="165"/>
      <c r="E343" s="706">
        <v>1</v>
      </c>
      <c r="F343" s="706">
        <v>0</v>
      </c>
      <c r="G343" s="166"/>
      <c r="AA343" s="164"/>
      <c r="AB343" s="165"/>
      <c r="AC343" s="165"/>
      <c r="AD343" s="715"/>
      <c r="AE343" s="165"/>
      <c r="AF343" s="165"/>
      <c r="AG343" s="166"/>
    </row>
    <row r="344" spans="1:33" x14ac:dyDescent="0.3">
      <c r="A344" s="164" t="s">
        <v>481</v>
      </c>
      <c r="B344" s="165"/>
      <c r="C344" s="165"/>
      <c r="D344" s="165"/>
      <c r="E344" s="706">
        <v>1</v>
      </c>
      <c r="F344" s="706">
        <v>0</v>
      </c>
      <c r="G344" s="166"/>
      <c r="AA344" s="164"/>
      <c r="AB344" s="165"/>
      <c r="AC344" s="165"/>
      <c r="AD344" s="715"/>
      <c r="AE344" s="165"/>
      <c r="AF344" s="165"/>
      <c r="AG344" s="166"/>
    </row>
    <row r="345" spans="1:33" x14ac:dyDescent="0.3">
      <c r="A345" s="164" t="str">
        <f>IF(OR(F269=5,F269=6),"- - -","Elektro-Heizungswärmepumpe Wasser/Wasser")</f>
        <v>Elektro-Heizungswärmepumpe Wasser/Wasser</v>
      </c>
      <c r="B345" s="165"/>
      <c r="C345" s="165"/>
      <c r="D345" s="165"/>
      <c r="E345" s="706">
        <f>1/(4.9*0.853*1.031)</f>
        <v>0.23205782825386209</v>
      </c>
      <c r="F345" s="706">
        <f>(2*D14^0.9)*400/1000/D14</f>
        <v>0.44933990500918314</v>
      </c>
      <c r="G345" s="166"/>
      <c r="AA345" s="164"/>
      <c r="AB345" s="165"/>
      <c r="AC345" s="165"/>
      <c r="AD345" s="715"/>
      <c r="AE345" s="165"/>
      <c r="AF345" s="165"/>
      <c r="AG345" s="166"/>
    </row>
    <row r="346" spans="1:33" x14ac:dyDescent="0.3">
      <c r="A346" s="164" t="str">
        <f>IF(OR(F269=5,F269=6),"- - -","Elektro-Heizungswärmepumpe Erdreich/Wasser")</f>
        <v>Elektro-Heizungswärmepumpe Erdreich/Wasser</v>
      </c>
      <c r="B346" s="165"/>
      <c r="C346" s="165"/>
      <c r="D346" s="165"/>
      <c r="E346" s="706">
        <f>1/(4*0.89*1.031)</f>
        <v>0.27245283841367063</v>
      </c>
      <c r="F346" s="706">
        <f>(1.2*D14^0.9)*400/1000/D14</f>
        <v>0.26960394300550994</v>
      </c>
      <c r="G346" s="166"/>
      <c r="AA346" s="164"/>
      <c r="AB346" s="165"/>
      <c r="AC346" s="165"/>
      <c r="AD346" s="715"/>
      <c r="AE346" s="165"/>
      <c r="AF346" s="165"/>
      <c r="AG346" s="166"/>
    </row>
    <row r="347" spans="1:33" x14ac:dyDescent="0.3">
      <c r="A347" s="164" t="str">
        <f>IF(OR(F269=5,F269=6),"- - -","Elektro-Heizungswärmepumpe Luft/Wasser")</f>
        <v>Elektro-Heizungswärmepumpe Luft/Wasser</v>
      </c>
      <c r="B347" s="165"/>
      <c r="C347" s="165"/>
      <c r="D347" s="165"/>
      <c r="E347" s="706">
        <f>1/((2.6*0.103+3.1*0.903+4*0.061)*1)</f>
        <v>0.3020144362900547</v>
      </c>
      <c r="F347" s="706">
        <v>0</v>
      </c>
      <c r="G347" s="166"/>
      <c r="AA347" s="164"/>
      <c r="AB347" s="165"/>
      <c r="AC347" s="165"/>
      <c r="AD347" s="715"/>
      <c r="AE347" s="165"/>
      <c r="AF347" s="165"/>
      <c r="AG347" s="166"/>
    </row>
    <row r="348" spans="1:33" x14ac:dyDescent="0.3">
      <c r="A348" s="164" t="str">
        <f>IF(OR(F269=5,F269=6),"- - -","Elektro-Heizungswärmepumpe Abluft/Wasser (ohne WRG)")</f>
        <v>Elektro-Heizungswärmepumpe Abluft/Wasser (ohne WRG)</v>
      </c>
      <c r="B348" s="165"/>
      <c r="C348" s="165"/>
      <c r="D348" s="165"/>
      <c r="E348" s="706">
        <f>1/(3.8*1.068*1)</f>
        <v>0.24640252316183719</v>
      </c>
      <c r="F348" s="706">
        <v>0</v>
      </c>
      <c r="G348" s="166"/>
      <c r="AA348" s="164"/>
      <c r="AB348" s="165"/>
      <c r="AC348" s="165"/>
      <c r="AD348" s="715"/>
      <c r="AE348" s="165"/>
      <c r="AF348" s="165"/>
      <c r="AG348" s="166"/>
    </row>
    <row r="349" spans="1:33" x14ac:dyDescent="0.3">
      <c r="A349" s="164" t="str">
        <f>IF(OR(F269=5,F269=6),"- - -","Elektro-Trinkwasserwärmepumpe Abluft")</f>
        <v>Elektro-Trinkwasserwärmepumpe Abluft</v>
      </c>
      <c r="B349" s="165"/>
      <c r="C349" s="165"/>
      <c r="D349" s="165"/>
      <c r="E349" s="706">
        <f>1/(3.8*1*1)</f>
        <v>0.26315789473684209</v>
      </c>
      <c r="F349" s="706">
        <v>0</v>
      </c>
      <c r="G349" s="166"/>
      <c r="AA349" s="164"/>
      <c r="AB349" s="165"/>
      <c r="AC349" s="165"/>
      <c r="AD349" s="715"/>
      <c r="AE349" s="165"/>
      <c r="AF349" s="165"/>
      <c r="AG349" s="166"/>
    </row>
    <row r="350" spans="1:33" x14ac:dyDescent="0.3">
      <c r="A350" s="164" t="str">
        <f>IF(OR(F269=5,F269=6),"- - -","Elektro-Trinkwasser-WP Abluft/Zuluft ohne WRG")</f>
        <v>Elektro-Trinkwasser-WP Abluft/Zuluft ohne WRG</v>
      </c>
      <c r="B350" s="165"/>
      <c r="C350" s="165"/>
      <c r="D350" s="165"/>
      <c r="E350" s="706">
        <f>1/(3.8*1*1)</f>
        <v>0.26315789473684209</v>
      </c>
      <c r="F350" s="706">
        <v>0</v>
      </c>
      <c r="G350" s="166"/>
      <c r="AA350" s="164"/>
      <c r="AB350" s="165"/>
      <c r="AC350" s="165"/>
      <c r="AD350" s="715"/>
      <c r="AE350" s="165"/>
      <c r="AF350" s="165"/>
      <c r="AG350" s="166"/>
    </row>
    <row r="351" spans="1:33" x14ac:dyDescent="0.3">
      <c r="A351" s="164" t="str">
        <f>IF(OR(F269=5,F269=6),"- - -","Elektro-Trinkwasser-WP Abluft/Zuluft mit WRG 60%")</f>
        <v>Elektro-Trinkwasser-WP Abluft/Zuluft mit WRG 60%</v>
      </c>
      <c r="B351" s="165"/>
      <c r="C351" s="165"/>
      <c r="D351" s="165"/>
      <c r="E351" s="706">
        <f>1/(3.8*1*(1-0.02*(20-3.3)*0.6*185/350))</f>
        <v>0.29433560381014917</v>
      </c>
      <c r="F351" s="706">
        <v>0</v>
      </c>
      <c r="G351" s="166"/>
      <c r="AA351" s="164"/>
      <c r="AB351" s="165"/>
      <c r="AC351" s="165"/>
      <c r="AD351" s="715"/>
      <c r="AE351" s="165"/>
      <c r="AF351" s="165"/>
      <c r="AG351" s="166"/>
    </row>
    <row r="352" spans="1:33" x14ac:dyDescent="0.3">
      <c r="A352" s="164" t="str">
        <f>IF(,"Elektro-Trinkwasser-WP Abluft/Zuluft mit WRG 80%","- - -")</f>
        <v>- - -</v>
      </c>
      <c r="B352" s="165"/>
      <c r="C352" s="165"/>
      <c r="D352" s="165"/>
      <c r="E352" s="706">
        <f>1/(3.8*1*(1-0.02*(20-3.3)*0.8*185/350))</f>
        <v>0.30643735579933573</v>
      </c>
      <c r="F352" s="706">
        <v>0</v>
      </c>
      <c r="G352" s="166"/>
      <c r="AA352" s="164"/>
      <c r="AB352" s="165"/>
      <c r="AC352" s="165"/>
      <c r="AD352" s="715"/>
      <c r="AE352" s="165"/>
      <c r="AF352" s="165"/>
      <c r="AG352" s="166"/>
    </row>
    <row r="353" spans="1:37" x14ac:dyDescent="0.3">
      <c r="A353" s="164" t="str">
        <f>IF(OR(F269=5,F269=6),"- - -","Elektro-Trinkwasserwärmepumpe Kellerluft")</f>
        <v>Elektro-Trinkwasserwärmepumpe Kellerluft</v>
      </c>
      <c r="B353" s="165"/>
      <c r="C353" s="165"/>
      <c r="D353" s="165"/>
      <c r="E353" s="706">
        <f>1/(3.4*1*0.9)</f>
        <v>0.32679738562091504</v>
      </c>
      <c r="F353" s="706">
        <v>0</v>
      </c>
      <c r="G353" s="707">
        <v>-0.4</v>
      </c>
      <c r="AA353" s="164"/>
      <c r="AB353" s="165"/>
      <c r="AC353" s="165"/>
      <c r="AD353" s="715"/>
      <c r="AE353" s="165"/>
      <c r="AF353" s="165"/>
      <c r="AG353" s="166"/>
    </row>
    <row r="354" spans="1:37" x14ac:dyDescent="0.3">
      <c r="A354" s="164" t="str">
        <f>IF(OR(F269=5,F269=6),"- - -","Anschluss an ein Wärmenetz")</f>
        <v>Anschluss an ein Wärmenetz</v>
      </c>
      <c r="B354" s="165"/>
      <c r="C354" s="165"/>
      <c r="D354" s="165"/>
      <c r="E354" s="706">
        <v>1.1399999999999999</v>
      </c>
      <c r="F354" s="706">
        <v>0.4</v>
      </c>
      <c r="G354" s="166"/>
      <c r="AA354" s="164"/>
      <c r="AB354" s="165"/>
      <c r="AC354" s="165"/>
      <c r="AD354" s="715"/>
      <c r="AE354" s="165"/>
      <c r="AF354" s="165"/>
      <c r="AG354" s="166"/>
    </row>
    <row r="355" spans="1:37" x14ac:dyDescent="0.3">
      <c r="A355" s="164" t="str">
        <f>IF(OR(F269=5,F269=6,F300=2),"- - -","Anschluss an ein bestehendes oder niedrig beheiztes Gebäude")</f>
        <v>Anschluss an ein bestehendes oder niedrig beheiztes Gebäude</v>
      </c>
      <c r="B355" s="165"/>
      <c r="C355" s="165"/>
      <c r="D355" s="165"/>
      <c r="E355" s="706">
        <v>1.1399999999999999</v>
      </c>
      <c r="F355" s="706">
        <v>0</v>
      </c>
      <c r="G355" s="166"/>
      <c r="AA355" s="164"/>
      <c r="AB355" s="165"/>
      <c r="AC355" s="165"/>
      <c r="AD355" s="715"/>
      <c r="AE355" s="165"/>
      <c r="AF355" s="165"/>
      <c r="AG355" s="166"/>
    </row>
    <row r="356" spans="1:37" x14ac:dyDescent="0.3">
      <c r="A356" s="164" t="str">
        <f>IF(OR(F269=6),"- - -","Holzkessel der Heizung (ganzjährig)")</f>
        <v>Holzkessel der Heizung (ganzjährig)</v>
      </c>
      <c r="B356" s="165"/>
      <c r="C356" s="165"/>
      <c r="D356" s="165"/>
      <c r="E356" s="706">
        <f>'TW-05'!E62</f>
        <v>0</v>
      </c>
      <c r="F356" s="706">
        <f>'TW-05'!F62</f>
        <v>0</v>
      </c>
      <c r="G356" s="166"/>
      <c r="AA356" s="164"/>
      <c r="AB356" s="165"/>
      <c r="AC356" s="165"/>
      <c r="AD356" s="715"/>
      <c r="AE356" s="165"/>
      <c r="AF356" s="165"/>
      <c r="AG356" s="166"/>
    </row>
    <row r="357" spans="1:37" x14ac:dyDescent="0.3">
      <c r="A357" s="164" t="str">
        <f>IF(OR(F269=6,F300=1),"- - -","Holzkessel der Heizung (im Winter) und im Sommer nur solar")</f>
        <v>- - -</v>
      </c>
      <c r="B357" s="165"/>
      <c r="C357" s="165"/>
      <c r="D357" s="165"/>
      <c r="E357" s="706">
        <f>'TW-05'!E67</f>
        <v>0</v>
      </c>
      <c r="F357" s="706">
        <f>'TW-05'!F67</f>
        <v>0</v>
      </c>
      <c r="G357" s="166"/>
      <c r="AA357" s="164"/>
      <c r="AB357" s="165"/>
      <c r="AC357" s="165"/>
      <c r="AD357" s="715"/>
      <c r="AE357" s="165"/>
      <c r="AF357" s="165"/>
      <c r="AG357" s="166"/>
    </row>
    <row r="358" spans="1:37" x14ac:dyDescent="0.3">
      <c r="A358" s="164"/>
      <c r="B358" s="165"/>
      <c r="C358" s="165"/>
      <c r="D358" s="165"/>
      <c r="E358" s="171" t="s">
        <v>483</v>
      </c>
      <c r="F358" s="171" t="s">
        <v>485</v>
      </c>
      <c r="G358" s="176" t="s">
        <v>348</v>
      </c>
      <c r="AA358" s="164"/>
      <c r="AB358" s="165"/>
      <c r="AC358" s="165"/>
      <c r="AD358" s="715"/>
      <c r="AE358" s="766" t="s">
        <v>483</v>
      </c>
      <c r="AF358" s="766" t="s">
        <v>485</v>
      </c>
      <c r="AG358" s="769" t="s">
        <v>348</v>
      </c>
    </row>
    <row r="359" spans="1:37" ht="14.5" thickBot="1" x14ac:dyDescent="0.35">
      <c r="A359" s="167"/>
      <c r="B359" s="168"/>
      <c r="C359" s="168"/>
      <c r="D359" s="168"/>
      <c r="E359" s="712">
        <f>ROUND(CHOOSE(F330,E332,E333,E334,E335,E336,E337,E338,E339,E340,E341,E342,E343,E344,E345,E346,E347,E348,E349,E350,E351,E352,E353,E354,E355,E356,E357),2)</f>
        <v>1.54</v>
      </c>
      <c r="F359" s="712">
        <f>ROUND(CHOOSE(F330,F332,F333,F334,F335,F336,F337,F338,F339,F340,F341,F342,F343,F344,F345,F346,F347,F348,F349,F350,F351,F352,F353,F354,F355,F356,F357),2)</f>
        <v>0.17</v>
      </c>
      <c r="G359" s="710">
        <f>ROUND(CHOOSE(F330,G332,G333,G334,G335,G336,G337,G338,G339,G340,G341,G342,G343,G344,G345,G346,G347,G348,G349,G350,G351,G352,G353,G354,G355,G356,G357),2)</f>
        <v>0</v>
      </c>
      <c r="AA359" s="167"/>
      <c r="AB359" s="168"/>
      <c r="AC359" s="168"/>
      <c r="AD359" s="808"/>
      <c r="AE359" s="771">
        <f>ROUND(AB333*AE333+AB334*AE334,2)</f>
        <v>1.1200000000000001</v>
      </c>
      <c r="AF359" s="771">
        <f>ROUND(AB333*AF333+AB334*AF334,2)</f>
        <v>0.17</v>
      </c>
      <c r="AG359" s="772">
        <v>0</v>
      </c>
    </row>
    <row r="360" spans="1:37" ht="14.5" thickBot="1" x14ac:dyDescent="0.35">
      <c r="A360" s="175"/>
      <c r="B360" s="175"/>
      <c r="C360" s="175"/>
      <c r="D360" s="175"/>
      <c r="E360" s="175"/>
      <c r="F360" s="175"/>
      <c r="G360" s="175"/>
      <c r="H360" s="175"/>
    </row>
    <row r="361" spans="1:37" x14ac:dyDescent="0.3">
      <c r="A361" s="160" t="s">
        <v>424</v>
      </c>
      <c r="B361" s="165"/>
      <c r="C361" s="165"/>
      <c r="D361" s="165"/>
      <c r="E361" s="289" t="s">
        <v>391</v>
      </c>
      <c r="F361" s="289">
        <v>1</v>
      </c>
      <c r="G361" s="165"/>
      <c r="H361" s="166"/>
      <c r="K361" s="291" t="s">
        <v>595</v>
      </c>
      <c r="L361" s="162"/>
      <c r="M361" s="162"/>
      <c r="N361" s="162"/>
      <c r="O361" s="162"/>
      <c r="P361" s="162"/>
      <c r="Q361" s="162"/>
      <c r="R361" s="162"/>
      <c r="S361" s="162"/>
      <c r="T361" s="173"/>
      <c r="AA361" s="160" t="s">
        <v>424</v>
      </c>
      <c r="AB361" s="161"/>
      <c r="AC361" s="161"/>
      <c r="AD361" s="807"/>
      <c r="AE361" s="161"/>
      <c r="AF361" s="161"/>
      <c r="AG361" s="161"/>
      <c r="AH361" s="163"/>
      <c r="AK361" s="291" t="s">
        <v>595</v>
      </c>
    </row>
    <row r="362" spans="1:37" ht="14.5" thickBot="1" x14ac:dyDescent="0.35">
      <c r="A362" s="164"/>
      <c r="B362" s="165"/>
      <c r="C362" s="165"/>
      <c r="D362" s="165"/>
      <c r="E362" s="165" t="s">
        <v>478</v>
      </c>
      <c r="F362" s="165" t="s">
        <v>400</v>
      </c>
      <c r="G362" s="165" t="s">
        <v>433</v>
      </c>
      <c r="H362" s="166"/>
      <c r="K362" s="292" t="str">
        <f>CHOOSE(F361,A363,A364)</f>
        <v>kein weiterer Erzeuger vorhanden</v>
      </c>
      <c r="L362" s="293"/>
      <c r="M362" s="293"/>
      <c r="N362" s="293"/>
      <c r="O362" s="293"/>
      <c r="P362" s="293"/>
      <c r="Q362" s="293"/>
      <c r="R362" s="293"/>
      <c r="S362" s="293"/>
      <c r="T362" s="294"/>
      <c r="AA362" s="164"/>
      <c r="AB362" s="165"/>
      <c r="AC362" s="165"/>
      <c r="AD362" s="715"/>
      <c r="AE362" s="165"/>
      <c r="AF362" s="165"/>
      <c r="AG362" s="165"/>
      <c r="AH362" s="166"/>
      <c r="AK362" s="292" t="str">
        <f>AA364</f>
        <v>kein weiterer Erzeuger</v>
      </c>
    </row>
    <row r="363" spans="1:37" x14ac:dyDescent="0.3">
      <c r="A363" s="164" t="str">
        <f>IF(OR(F330=18,F330=19,F330=20,F330=21,F330=22),"- - -","kein weiterer Erzeuger vorhanden")</f>
        <v>kein weiterer Erzeuger vorhanden</v>
      </c>
      <c r="B363" s="165"/>
      <c r="C363" s="165"/>
      <c r="D363" s="165"/>
      <c r="E363" s="706">
        <v>0</v>
      </c>
      <c r="F363" s="706">
        <v>0</v>
      </c>
      <c r="G363" s="706">
        <v>1</v>
      </c>
      <c r="H363" s="166"/>
      <c r="AA363" s="164"/>
      <c r="AB363" s="165"/>
      <c r="AC363" s="165"/>
      <c r="AD363" s="715"/>
      <c r="AE363" s="165"/>
      <c r="AF363" s="165"/>
      <c r="AG363" s="165"/>
      <c r="AH363" s="166"/>
    </row>
    <row r="364" spans="1:37" x14ac:dyDescent="0.3">
      <c r="A364" s="164" t="str">
        <f>IF(OR(F330=14,F330=15,F330=16,F330=17,F330=18,F330=19,F330=20,F330=21,F330=22),"elektrische Nachheizung","- - -")</f>
        <v>- - -</v>
      </c>
      <c r="B364" s="165"/>
      <c r="C364" s="165"/>
      <c r="D364" s="165"/>
      <c r="E364" s="706">
        <v>1</v>
      </c>
      <c r="F364" s="706">
        <v>0</v>
      </c>
      <c r="G364" s="706">
        <v>0.95</v>
      </c>
      <c r="H364" s="166"/>
      <c r="AA364" s="164" t="s">
        <v>874</v>
      </c>
      <c r="AB364" s="165"/>
      <c r="AC364" s="165"/>
      <c r="AD364" s="715"/>
      <c r="AE364" s="165"/>
      <c r="AF364" s="165"/>
      <c r="AG364" s="165"/>
      <c r="AH364" s="166"/>
    </row>
    <row r="365" spans="1:37" x14ac:dyDescent="0.3">
      <c r="A365" s="164"/>
      <c r="B365" s="165"/>
      <c r="C365" s="165"/>
      <c r="D365" s="165"/>
      <c r="E365" s="165"/>
      <c r="F365" s="165"/>
      <c r="G365" s="165"/>
      <c r="H365" s="166"/>
      <c r="AA365" s="164"/>
      <c r="AB365" s="165"/>
      <c r="AC365" s="165"/>
      <c r="AD365" s="715"/>
      <c r="AE365" s="165"/>
      <c r="AF365" s="165"/>
      <c r="AG365" s="165"/>
      <c r="AH365" s="166"/>
    </row>
    <row r="366" spans="1:37" x14ac:dyDescent="0.3">
      <c r="A366" s="164"/>
      <c r="B366" s="165"/>
      <c r="C366" s="165"/>
      <c r="D366" s="165"/>
      <c r="E366" s="165"/>
      <c r="F366" s="165"/>
      <c r="G366" s="165"/>
      <c r="H366" s="166"/>
      <c r="AA366" s="164"/>
      <c r="AB366" s="165"/>
      <c r="AC366" s="165"/>
      <c r="AD366" s="715"/>
      <c r="AE366" s="165"/>
      <c r="AF366" s="165"/>
      <c r="AG366" s="165"/>
      <c r="AH366" s="166"/>
    </row>
    <row r="367" spans="1:37" x14ac:dyDescent="0.3">
      <c r="A367" s="164"/>
      <c r="B367" s="165"/>
      <c r="C367" s="165"/>
      <c r="D367" s="165"/>
      <c r="E367" s="165"/>
      <c r="F367" s="165"/>
      <c r="G367" s="165"/>
      <c r="H367" s="166"/>
      <c r="AA367" s="164"/>
      <c r="AB367" s="165"/>
      <c r="AC367" s="165"/>
      <c r="AD367" s="715"/>
      <c r="AE367" s="165"/>
      <c r="AF367" s="165"/>
      <c r="AG367" s="165"/>
      <c r="AH367" s="166"/>
    </row>
    <row r="368" spans="1:37" x14ac:dyDescent="0.3">
      <c r="A368" s="164"/>
      <c r="B368" s="165"/>
      <c r="C368" s="165"/>
      <c r="D368" s="165"/>
      <c r="E368" s="165"/>
      <c r="F368" s="165"/>
      <c r="G368" s="165"/>
      <c r="H368" s="166"/>
      <c r="AA368" s="164"/>
      <c r="AB368" s="165"/>
      <c r="AC368" s="165"/>
      <c r="AD368" s="715"/>
      <c r="AE368" s="165"/>
      <c r="AF368" s="165"/>
      <c r="AG368" s="165"/>
      <c r="AH368" s="166"/>
    </row>
    <row r="369" spans="1:34" x14ac:dyDescent="0.3">
      <c r="A369" s="164"/>
      <c r="B369" s="165"/>
      <c r="C369" s="165"/>
      <c r="D369" s="165"/>
      <c r="E369" s="165"/>
      <c r="F369" s="165"/>
      <c r="G369" s="165"/>
      <c r="H369" s="166"/>
      <c r="AA369" s="164"/>
      <c r="AB369" s="165"/>
      <c r="AC369" s="165"/>
      <c r="AD369" s="715"/>
      <c r="AE369" s="165"/>
      <c r="AF369" s="165"/>
      <c r="AG369" s="165"/>
      <c r="AH369" s="166"/>
    </row>
    <row r="370" spans="1:34" x14ac:dyDescent="0.3">
      <c r="A370" s="164"/>
      <c r="B370" s="165"/>
      <c r="C370" s="165"/>
      <c r="D370" s="165"/>
      <c r="E370" s="165"/>
      <c r="F370" s="165"/>
      <c r="G370" s="165"/>
      <c r="H370" s="166"/>
      <c r="AA370" s="164"/>
      <c r="AB370" s="165"/>
      <c r="AC370" s="165"/>
      <c r="AD370" s="715"/>
      <c r="AE370" s="165"/>
      <c r="AF370" s="165"/>
      <c r="AG370" s="165"/>
      <c r="AH370" s="166"/>
    </row>
    <row r="371" spans="1:34" x14ac:dyDescent="0.3">
      <c r="A371" s="164"/>
      <c r="B371" s="165"/>
      <c r="C371" s="165"/>
      <c r="D371" s="165"/>
      <c r="E371" s="165"/>
      <c r="F371" s="165"/>
      <c r="G371" s="165"/>
      <c r="H371" s="166"/>
      <c r="AA371" s="164"/>
      <c r="AB371" s="165"/>
      <c r="AC371" s="165"/>
      <c r="AD371" s="715"/>
      <c r="AE371" s="165"/>
      <c r="AF371" s="165"/>
      <c r="AG371" s="165"/>
      <c r="AH371" s="166"/>
    </row>
    <row r="372" spans="1:34" x14ac:dyDescent="0.3">
      <c r="A372" s="164"/>
      <c r="B372" s="165"/>
      <c r="C372" s="165"/>
      <c r="D372" s="165"/>
      <c r="E372" s="165"/>
      <c r="F372" s="165"/>
      <c r="G372" s="165"/>
      <c r="H372" s="166"/>
      <c r="AA372" s="164"/>
      <c r="AB372" s="165"/>
      <c r="AC372" s="165"/>
      <c r="AD372" s="715"/>
      <c r="AE372" s="165"/>
      <c r="AF372" s="165"/>
      <c r="AG372" s="165"/>
      <c r="AH372" s="166"/>
    </row>
    <row r="373" spans="1:34" x14ac:dyDescent="0.3">
      <c r="A373" s="164"/>
      <c r="B373" s="165"/>
      <c r="C373" s="165"/>
      <c r="D373" s="165"/>
      <c r="E373" s="165"/>
      <c r="F373" s="165"/>
      <c r="G373" s="165"/>
      <c r="H373" s="166"/>
      <c r="AA373" s="164"/>
      <c r="AB373" s="165"/>
      <c r="AC373" s="165"/>
      <c r="AD373" s="715"/>
      <c r="AE373" s="165"/>
      <c r="AF373" s="165"/>
      <c r="AG373" s="165"/>
      <c r="AH373" s="166"/>
    </row>
    <row r="374" spans="1:34" x14ac:dyDescent="0.3">
      <c r="A374" s="164"/>
      <c r="B374" s="165"/>
      <c r="C374" s="165"/>
      <c r="D374" s="165"/>
      <c r="E374" s="165"/>
      <c r="F374" s="165"/>
      <c r="G374" s="165"/>
      <c r="H374" s="166"/>
      <c r="AA374" s="164"/>
      <c r="AB374" s="165"/>
      <c r="AC374" s="165"/>
      <c r="AD374" s="715"/>
      <c r="AE374" s="165"/>
      <c r="AF374" s="165"/>
      <c r="AG374" s="165"/>
      <c r="AH374" s="166"/>
    </row>
    <row r="375" spans="1:34" x14ac:dyDescent="0.3">
      <c r="A375" s="164"/>
      <c r="B375" s="165"/>
      <c r="C375" s="165"/>
      <c r="D375" s="165"/>
      <c r="E375" s="171" t="s">
        <v>484</v>
      </c>
      <c r="F375" s="171" t="s">
        <v>486</v>
      </c>
      <c r="G375" s="165"/>
      <c r="H375" s="166"/>
      <c r="AA375" s="164"/>
      <c r="AB375" s="165"/>
      <c r="AC375" s="165"/>
      <c r="AD375" s="715"/>
      <c r="AE375" s="766" t="s">
        <v>484</v>
      </c>
      <c r="AF375" s="766" t="s">
        <v>486</v>
      </c>
      <c r="AG375" s="165"/>
      <c r="AH375" s="166"/>
    </row>
    <row r="376" spans="1:34" x14ac:dyDescent="0.3">
      <c r="A376" s="164"/>
      <c r="B376" s="165"/>
      <c r="C376" s="165"/>
      <c r="D376" s="165"/>
      <c r="E376" s="717">
        <f>ROUND(CHOOSE(F361,E363,E364),2)</f>
        <v>0</v>
      </c>
      <c r="F376" s="717">
        <f>ROUND(CHOOSE(F361,F363,F364),2)</f>
        <v>0</v>
      </c>
      <c r="G376" s="165">
        <f>ROUND(CHOOSE(F361,G363,G364),2)</f>
        <v>1</v>
      </c>
      <c r="H376" s="166"/>
      <c r="AA376" s="164"/>
      <c r="AB376" s="165"/>
      <c r="AC376" s="165"/>
      <c r="AD376" s="715"/>
      <c r="AE376" s="785">
        <v>0</v>
      </c>
      <c r="AF376" s="785">
        <v>0</v>
      </c>
      <c r="AG376" s="165"/>
      <c r="AH376" s="166"/>
    </row>
    <row r="377" spans="1:34" x14ac:dyDescent="0.3">
      <c r="A377" s="164"/>
      <c r="B377" s="165"/>
      <c r="C377" s="165"/>
      <c r="D377" s="165"/>
      <c r="E377" s="165"/>
      <c r="F377" s="165"/>
      <c r="G377" s="717">
        <f>ROUND((1-F305)*G376,2)</f>
        <v>1</v>
      </c>
      <c r="H377" s="176" t="s">
        <v>431</v>
      </c>
      <c r="AA377" s="164"/>
      <c r="AB377" s="165"/>
      <c r="AC377" s="165"/>
      <c r="AD377" s="715"/>
      <c r="AE377" s="165"/>
      <c r="AF377" s="165"/>
      <c r="AG377" s="767">
        <f>ROUND(1-AF305,2)</f>
        <v>0.5</v>
      </c>
      <c r="AH377" s="769" t="s">
        <v>431</v>
      </c>
    </row>
    <row r="378" spans="1:34" ht="14.5" thickBot="1" x14ac:dyDescent="0.35">
      <c r="A378" s="167"/>
      <c r="B378" s="168"/>
      <c r="C378" s="168"/>
      <c r="D378" s="168"/>
      <c r="E378" s="168"/>
      <c r="F378" s="168"/>
      <c r="G378" s="712">
        <f>1-G377-F305</f>
        <v>0</v>
      </c>
      <c r="H378" s="170" t="s">
        <v>434</v>
      </c>
      <c r="AA378" s="167"/>
      <c r="AB378" s="168"/>
      <c r="AC378" s="168"/>
      <c r="AD378" s="808"/>
      <c r="AE378" s="168"/>
      <c r="AF378" s="168"/>
      <c r="AG378" s="770">
        <v>0</v>
      </c>
      <c r="AH378" s="768" t="s">
        <v>434</v>
      </c>
    </row>
    <row r="379" spans="1:34" ht="14.5" thickBot="1" x14ac:dyDescent="0.35"/>
    <row r="380" spans="1:34" x14ac:dyDescent="0.3">
      <c r="K380" s="160" t="s">
        <v>599</v>
      </c>
      <c r="L380" s="287"/>
      <c r="M380" s="287"/>
      <c r="N380" s="287"/>
      <c r="O380" s="287"/>
      <c r="P380" s="287"/>
      <c r="Q380" s="287"/>
      <c r="R380" s="287"/>
      <c r="S380" s="287"/>
      <c r="T380" s="288"/>
    </row>
    <row r="381" spans="1:34" ht="14.5" thickBot="1" x14ac:dyDescent="0.35">
      <c r="K381" s="295" t="str">
        <f>IF(AND(K270&lt;&gt;"- - -",K284&lt;&gt;"- - -",K301&lt;&gt;"- - -",K311&lt;&gt;"- - -",K326&lt;&gt;"- - -",K331&lt;&gt;"- - -",K362&lt;&gt;"- - -"),"OK","FEHLER")</f>
        <v>OK</v>
      </c>
      <c r="L381" s="296"/>
      <c r="M381" s="296"/>
      <c r="N381" s="296"/>
      <c r="O381" s="296"/>
      <c r="P381" s="296"/>
      <c r="Q381" s="296"/>
      <c r="R381" s="296"/>
      <c r="S381" s="296"/>
      <c r="T381" s="297"/>
    </row>
    <row r="383" spans="1:34" s="154" customFormat="1" x14ac:dyDescent="0.3">
      <c r="A383" s="154" t="s">
        <v>519</v>
      </c>
      <c r="AA383" s="154" t="s">
        <v>884</v>
      </c>
      <c r="AD383" s="806"/>
    </row>
    <row r="384" spans="1:34" ht="14.5" thickBot="1" x14ac:dyDescent="0.35"/>
    <row r="385" spans="1:37" x14ac:dyDescent="0.3">
      <c r="A385" s="160" t="s">
        <v>877</v>
      </c>
      <c r="B385" s="177"/>
      <c r="C385" s="287" t="s">
        <v>495</v>
      </c>
      <c r="D385" s="287">
        <v>1</v>
      </c>
      <c r="E385" s="177"/>
      <c r="F385" s="181"/>
      <c r="K385" s="291" t="s">
        <v>880</v>
      </c>
      <c r="AA385" s="160" t="s">
        <v>877</v>
      </c>
      <c r="AB385" s="177"/>
      <c r="AC385" s="177"/>
      <c r="AD385" s="809"/>
      <c r="AE385" s="177"/>
      <c r="AF385" s="181"/>
      <c r="AK385" s="291" t="s">
        <v>880</v>
      </c>
    </row>
    <row r="386" spans="1:37" ht="14.5" thickBot="1" x14ac:dyDescent="0.35">
      <c r="A386" s="8" t="str">
        <f>"keine Lüftungsanlage"</f>
        <v>keine Lüftungsanlage</v>
      </c>
      <c r="B386" s="178"/>
      <c r="C386" s="178">
        <v>0</v>
      </c>
      <c r="D386" s="178"/>
      <c r="E386" s="178">
        <v>0</v>
      </c>
      <c r="F386" s="179"/>
      <c r="K386" s="292" t="str">
        <f>CHOOSE(D385,A386,A387,A388)</f>
        <v>keine Lüftungsanlage</v>
      </c>
      <c r="AA386" s="8"/>
      <c r="AB386" s="178"/>
      <c r="AC386" s="178"/>
      <c r="AD386" s="325"/>
      <c r="AE386" s="178"/>
      <c r="AF386" s="179"/>
      <c r="AK386" s="292" t="str">
        <f>AA387</f>
        <v>verminderter Restluftwechsel</v>
      </c>
    </row>
    <row r="387" spans="1:37" x14ac:dyDescent="0.3">
      <c r="A387" s="8" t="str">
        <f>IF(H414=1,"- - -","bedarfsgeführte Anlage (Feuchte, CO2 o.ä.)")</f>
        <v>- - -</v>
      </c>
      <c r="B387" s="178"/>
      <c r="C387" s="178">
        <f>0.34*2.5*69.6*(0.35-0.4)</f>
        <v>-2.9580000000000028</v>
      </c>
      <c r="D387" s="178"/>
      <c r="E387" s="178">
        <v>-0.05</v>
      </c>
      <c r="F387" s="179"/>
      <c r="AA387" s="8" t="s">
        <v>1305</v>
      </c>
      <c r="AB387" s="178"/>
      <c r="AC387" s="178"/>
      <c r="AD387" s="325"/>
      <c r="AE387" s="178"/>
      <c r="AF387" s="179"/>
    </row>
    <row r="388" spans="1:37" x14ac:dyDescent="0.3">
      <c r="A388" s="8" t="str">
        <f>IF(H414=1,"- - -","Anlage ohne Bedarfsführung")</f>
        <v>- - -</v>
      </c>
      <c r="B388" s="178"/>
      <c r="C388" s="178">
        <v>0</v>
      </c>
      <c r="D388" s="178"/>
      <c r="E388" s="178">
        <v>0</v>
      </c>
      <c r="F388" s="179"/>
      <c r="AA388" s="8"/>
      <c r="AB388" s="178"/>
      <c r="AC388" s="178"/>
      <c r="AD388" s="325"/>
      <c r="AE388" s="178"/>
      <c r="AF388" s="179"/>
    </row>
    <row r="389" spans="1:37" ht="14.5" thickBot="1" x14ac:dyDescent="0.35">
      <c r="A389" s="11"/>
      <c r="B389" s="180"/>
      <c r="C389" s="169">
        <f>ROUND(CHOOSE(D385,C386,C387,C388),2)</f>
        <v>0</v>
      </c>
      <c r="D389" s="169" t="s">
        <v>879</v>
      </c>
      <c r="E389" s="169">
        <f>ROUND(CHOOSE(D385,E386,E387,E388),2)</f>
        <v>0</v>
      </c>
      <c r="F389" s="170" t="s">
        <v>878</v>
      </c>
      <c r="AA389" s="11"/>
      <c r="AB389" s="180"/>
      <c r="AC389" s="771">
        <v>0</v>
      </c>
      <c r="AD389" s="763" t="s">
        <v>879</v>
      </c>
      <c r="AE389" s="765">
        <v>0</v>
      </c>
      <c r="AF389" s="768" t="s">
        <v>878</v>
      </c>
    </row>
    <row r="390" spans="1:37" ht="14.5" thickBot="1" x14ac:dyDescent="0.35"/>
    <row r="391" spans="1:37" x14ac:dyDescent="0.3">
      <c r="A391" s="160" t="s">
        <v>605</v>
      </c>
      <c r="B391" s="177"/>
      <c r="C391" s="287" t="s">
        <v>560</v>
      </c>
      <c r="D391" s="287">
        <v>2</v>
      </c>
      <c r="E391" s="177"/>
      <c r="F391" s="181"/>
      <c r="K391" s="291" t="s">
        <v>605</v>
      </c>
      <c r="L391" s="162"/>
      <c r="M391" s="162"/>
      <c r="N391" s="162"/>
      <c r="O391" s="162"/>
      <c r="P391" s="162"/>
      <c r="Q391" s="162"/>
      <c r="R391" s="162"/>
      <c r="S391" s="162"/>
      <c r="T391" s="173"/>
      <c r="AA391" s="160" t="s">
        <v>605</v>
      </c>
      <c r="AB391" s="177"/>
      <c r="AC391" s="177"/>
      <c r="AD391" s="809"/>
      <c r="AE391" s="177"/>
      <c r="AF391" s="181"/>
      <c r="AK391" s="291" t="s">
        <v>605</v>
      </c>
    </row>
    <row r="392" spans="1:37" ht="14.5" thickBot="1" x14ac:dyDescent="0.35">
      <c r="A392" s="8" t="str">
        <f>IF(OR(F330=17,F330=18,F330=19,F330=20,F330=21,G536=16),"- - -","keine Lüftungsanlage")</f>
        <v>keine Lüftungsanlage</v>
      </c>
      <c r="B392" s="178"/>
      <c r="C392" s="322">
        <v>0</v>
      </c>
      <c r="D392" s="178"/>
      <c r="E392" s="718">
        <v>0</v>
      </c>
      <c r="F392" s="179"/>
      <c r="K392" s="292" t="str">
        <f>CHOOSE(D391,A392,A393,A394,A395,A396,A397,A398,A399)</f>
        <v>Anlagenluftwechsel nA=0,4 h-1 (Standardfall)</v>
      </c>
      <c r="L392" s="293"/>
      <c r="M392" s="293"/>
      <c r="N392" s="293"/>
      <c r="O392" s="293"/>
      <c r="P392" s="293"/>
      <c r="Q392" s="293"/>
      <c r="R392" s="293"/>
      <c r="S392" s="293"/>
      <c r="T392" s="294"/>
      <c r="AA392" s="8"/>
      <c r="AB392" s="178"/>
      <c r="AC392" s="178"/>
      <c r="AD392" s="325"/>
      <c r="AE392" s="178"/>
      <c r="AF392" s="179"/>
      <c r="AK392" s="292" t="str">
        <f>AA393</f>
        <v>Luftwechsel der Anlage nA=0,40 h-1</v>
      </c>
    </row>
    <row r="393" spans="1:37" ht="16" x14ac:dyDescent="0.3">
      <c r="A393" s="8" t="str">
        <f>IF(D385&lt;&gt;2,"Anlagenluftwechsel nA=0,4 h-1 (Standardfall)","Anlagenluftwechsel bei Bedarfsführung nA=0,35 h-1 (Standardfall)")</f>
        <v>Anlagenluftwechsel nA=0,4 h-1 (Standardfall)</v>
      </c>
      <c r="B393" s="178"/>
      <c r="C393" s="322">
        <f>0.34*2.5*69.6*(0.4-0.4)</f>
        <v>0</v>
      </c>
      <c r="D393" s="178"/>
      <c r="E393" s="178">
        <v>0.4</v>
      </c>
      <c r="F393" s="179"/>
      <c r="AA393" s="8" t="s">
        <v>1304</v>
      </c>
      <c r="AB393" s="178"/>
      <c r="AC393" s="178"/>
      <c r="AD393" s="325"/>
      <c r="AE393" s="178"/>
      <c r="AF393" s="179"/>
    </row>
    <row r="394" spans="1:37" x14ac:dyDescent="0.3">
      <c r="A394" s="8" t="str">
        <f>IF(D385&lt;&gt;2,"Anlagenluftwechsel nA=0,5 h-1","Anlagenluftwechsel bei Bedarfsführung nA=0,45 h-1")</f>
        <v>Anlagenluftwechsel nA=0,5 h-1</v>
      </c>
      <c r="B394" s="178"/>
      <c r="C394" s="322">
        <f>0.34*2.5*69.6*(0.5-0.4)</f>
        <v>5.9159999999999995</v>
      </c>
      <c r="D394" s="178"/>
      <c r="E394" s="178">
        <v>0.5</v>
      </c>
      <c r="F394" s="179"/>
      <c r="AA394" s="8"/>
      <c r="AB394" s="178"/>
      <c r="AC394" s="178"/>
      <c r="AD394" s="325"/>
      <c r="AE394" s="178"/>
      <c r="AF394" s="179"/>
    </row>
    <row r="395" spans="1:37" x14ac:dyDescent="0.3">
      <c r="A395" s="8" t="str">
        <f>IF(D385&lt;&gt;2,"Anlagenluftwechsel nA=0,6 h-1","Anlagenluftwechsel bei Bedarfsführung nA=0,55 h-1")</f>
        <v>Anlagenluftwechsel nA=0,6 h-1</v>
      </c>
      <c r="B395" s="178"/>
      <c r="C395" s="322">
        <f>0.34*2.5*69.6*(0.6-0.4)</f>
        <v>11.831999999999999</v>
      </c>
      <c r="D395" s="178"/>
      <c r="E395" s="178">
        <v>0.6</v>
      </c>
      <c r="F395" s="179"/>
      <c r="AA395" s="8"/>
      <c r="AB395" s="178"/>
      <c r="AC395" s="178"/>
      <c r="AD395" s="325"/>
      <c r="AE395" s="178"/>
      <c r="AF395" s="179"/>
    </row>
    <row r="396" spans="1:37" x14ac:dyDescent="0.3">
      <c r="A396" s="8" t="str">
        <f>IF(D385&lt;&gt;2,"Anlagenluftwechsel nA=0,7 h-1","Anlagenluftwechsel bei Bedarfsführung nA=0,65 h-1")</f>
        <v>Anlagenluftwechsel nA=0,7 h-1</v>
      </c>
      <c r="B396" s="178"/>
      <c r="C396" s="322">
        <f>0.34*2.5*69.6*(0.7-0.4)</f>
        <v>17.747999999999998</v>
      </c>
      <c r="D396" s="178"/>
      <c r="E396" s="178">
        <v>0.7</v>
      </c>
      <c r="F396" s="179"/>
      <c r="AA396" s="8"/>
      <c r="AB396" s="178"/>
      <c r="AC396" s="178"/>
      <c r="AD396" s="325"/>
      <c r="AE396" s="178"/>
      <c r="AF396" s="179"/>
    </row>
    <row r="397" spans="1:37" x14ac:dyDescent="0.3">
      <c r="A397" s="8" t="str">
        <f>IF(D385&lt;&gt;2,"Anlagenluftwechsel nA=0,8 h-1","Anlagenluftwechsel bei Bedarfsführung nA=0,75 h-1")</f>
        <v>Anlagenluftwechsel nA=0,8 h-1</v>
      </c>
      <c r="B397" s="178"/>
      <c r="C397" s="322">
        <f>0.34*2.5*69.6*(0.8-0.4)</f>
        <v>23.664000000000001</v>
      </c>
      <c r="D397" s="178"/>
      <c r="E397" s="178">
        <v>0.8</v>
      </c>
      <c r="F397" s="179"/>
      <c r="AA397" s="8"/>
      <c r="AB397" s="178"/>
      <c r="AC397" s="178"/>
      <c r="AD397" s="325"/>
      <c r="AE397" s="178"/>
      <c r="AF397" s="179"/>
    </row>
    <row r="398" spans="1:37" x14ac:dyDescent="0.3">
      <c r="A398" s="8" t="str">
        <f>IF(D385&lt;&gt;2,"Anlagenluftwechsel nA=0,9 h-1","Anlagenluftwechsel bei Bedarfsführung nA=0,85 h-1")</f>
        <v>Anlagenluftwechsel nA=0,9 h-1</v>
      </c>
      <c r="B398" s="178"/>
      <c r="C398" s="322">
        <f>0.34*2.5*69.6*(0.9-0.4)</f>
        <v>29.580000000000002</v>
      </c>
      <c r="D398" s="178"/>
      <c r="E398" s="178">
        <v>0.9</v>
      </c>
      <c r="F398" s="179"/>
      <c r="AA398" s="8"/>
      <c r="AB398" s="178"/>
      <c r="AC398" s="178"/>
      <c r="AD398" s="325"/>
      <c r="AE398" s="178"/>
      <c r="AF398" s="179"/>
    </row>
    <row r="399" spans="1:37" x14ac:dyDescent="0.3">
      <c r="A399" s="8" t="str">
        <f>IF(D385&lt;&gt;2,"Anlagenluftwechsel nA=1,0 h-1","Anlagenluftwechsel bei Bedarfsführung nA=0,95 h-1")</f>
        <v>Anlagenluftwechsel nA=1,0 h-1</v>
      </c>
      <c r="B399" s="178"/>
      <c r="C399" s="322">
        <f>0.34*2.5*69.6*(1-0.4)</f>
        <v>35.496000000000002</v>
      </c>
      <c r="D399" s="178"/>
      <c r="E399" s="718">
        <v>1</v>
      </c>
      <c r="F399" s="179"/>
      <c r="AA399" s="8"/>
      <c r="AB399" s="178"/>
      <c r="AC399" s="178"/>
      <c r="AD399" s="325"/>
      <c r="AE399" s="178"/>
      <c r="AF399" s="179"/>
    </row>
    <row r="400" spans="1:37" ht="14.5" thickBot="1" x14ac:dyDescent="0.35">
      <c r="A400" s="11"/>
      <c r="B400" s="180"/>
      <c r="C400" s="712">
        <f>ROUND(CHOOSE(D391,C392,C393,C394,C395,C396,C397,C398,C399)+C389,2)</f>
        <v>0</v>
      </c>
      <c r="D400" s="169" t="s">
        <v>561</v>
      </c>
      <c r="E400" s="758">
        <f>ROUND(CHOOSE(D391,E392,E393,E394,E395,E396,E397,E398,E399)+E389,2)</f>
        <v>0.4</v>
      </c>
      <c r="F400" s="170" t="s">
        <v>579</v>
      </c>
      <c r="AA400" s="11"/>
      <c r="AB400" s="180"/>
      <c r="AC400" s="771">
        <f>ROUND(AC389,2)</f>
        <v>0</v>
      </c>
      <c r="AD400" s="763" t="s">
        <v>561</v>
      </c>
      <c r="AE400" s="771">
        <f>0.4+AE389</f>
        <v>0.4</v>
      </c>
      <c r="AF400" s="768" t="s">
        <v>579</v>
      </c>
    </row>
    <row r="401" spans="1:37" ht="14.5" thickBot="1" x14ac:dyDescent="0.35"/>
    <row r="402" spans="1:37" x14ac:dyDescent="0.3">
      <c r="A402" s="160" t="s">
        <v>439</v>
      </c>
      <c r="B402" s="177"/>
      <c r="C402" s="177"/>
      <c r="D402" s="177"/>
      <c r="E402" s="177"/>
      <c r="F402" s="181"/>
      <c r="K402" s="291" t="s">
        <v>439</v>
      </c>
      <c r="L402" s="162"/>
      <c r="M402" s="162"/>
      <c r="N402" s="162"/>
      <c r="O402" s="162"/>
      <c r="P402" s="162"/>
      <c r="Q402" s="162"/>
      <c r="R402" s="162"/>
      <c r="S402" s="162"/>
      <c r="T402" s="173"/>
      <c r="AA402" s="160" t="s">
        <v>439</v>
      </c>
      <c r="AB402" s="177"/>
      <c r="AC402" s="177"/>
      <c r="AD402" s="809"/>
      <c r="AE402" s="177"/>
      <c r="AF402" s="181"/>
      <c r="AK402" s="291" t="s">
        <v>439</v>
      </c>
    </row>
    <row r="403" spans="1:37" ht="14.5" thickBot="1" x14ac:dyDescent="0.35">
      <c r="A403" s="8"/>
      <c r="B403" s="178"/>
      <c r="C403" s="178"/>
      <c r="D403" s="178"/>
      <c r="E403" s="289" t="s">
        <v>495</v>
      </c>
      <c r="F403" s="290">
        <v>1</v>
      </c>
      <c r="K403" s="292" t="str">
        <f>CHOOSE(F403,A404,A405,A406,A407,A408,A409,A410,A411)</f>
        <v>keine Lüftungsanlage</v>
      </c>
      <c r="L403" s="293"/>
      <c r="M403" s="293"/>
      <c r="N403" s="293"/>
      <c r="O403" s="293"/>
      <c r="P403" s="293"/>
      <c r="Q403" s="293"/>
      <c r="R403" s="293"/>
      <c r="S403" s="293"/>
      <c r="T403" s="294"/>
      <c r="AA403" s="8"/>
      <c r="AB403" s="178"/>
      <c r="AC403" s="178"/>
      <c r="AD403" s="325"/>
      <c r="AE403" s="178"/>
      <c r="AF403" s="179"/>
      <c r="AK403" s="292" t="str">
        <f>AA404</f>
        <v>Anlage mit Temperaturen unter 20°C</v>
      </c>
    </row>
    <row r="404" spans="1:37" x14ac:dyDescent="0.3">
      <c r="A404" s="8" t="str">
        <f>IF(H414&lt;&gt;1,"- - -","keine Lüftungsanlage")</f>
        <v>keine Lüftungsanlage</v>
      </c>
      <c r="B404" s="178"/>
      <c r="C404" s="178"/>
      <c r="D404" s="178"/>
      <c r="E404" s="178"/>
      <c r="F404" s="719">
        <v>0</v>
      </c>
      <c r="AA404" s="8" t="s">
        <v>47</v>
      </c>
      <c r="AB404" s="178"/>
      <c r="AC404" s="178"/>
      <c r="AD404" s="325"/>
      <c r="AE404" s="178"/>
      <c r="AF404" s="179"/>
    </row>
    <row r="405" spans="1:37" x14ac:dyDescent="0.3">
      <c r="A405" s="8" t="str">
        <f>IF(OR(D14&gt;500,H414=1,),"- - -","Anlage mit Temperaturen unter 20°C")</f>
        <v>- - -</v>
      </c>
      <c r="B405" s="178"/>
      <c r="C405" s="178"/>
      <c r="D405" s="178"/>
      <c r="E405" s="178"/>
      <c r="F405" s="719">
        <v>0</v>
      </c>
      <c r="AA405" s="8"/>
      <c r="AB405" s="178"/>
      <c r="AC405" s="178"/>
      <c r="AD405" s="325"/>
      <c r="AE405" s="178"/>
      <c r="AF405" s="179"/>
    </row>
    <row r="406" spans="1:37" x14ac:dyDescent="0.3">
      <c r="A406" s="8" t="str">
        <f>IF(OR(D14&gt;500,H414=1,H414=2,H414=3),"- - -","Zulufttemperatur über 20°C; Luftauslässe im Außenwandbereich; Einzelraumregelung")</f>
        <v>- - -</v>
      </c>
      <c r="B406" s="178"/>
      <c r="C406" s="178"/>
      <c r="D406" s="178"/>
      <c r="E406" s="178"/>
      <c r="F406" s="719">
        <v>2.2000000000000002</v>
      </c>
      <c r="AA406" s="8"/>
      <c r="AB406" s="178"/>
      <c r="AC406" s="178"/>
      <c r="AD406" s="325"/>
      <c r="AE406" s="178"/>
      <c r="AF406" s="179"/>
    </row>
    <row r="407" spans="1:37" x14ac:dyDescent="0.3">
      <c r="A407" s="8" t="str">
        <f>IF(OR(D14&gt;500,H414=1,H414=2,H414=3),"- - -","Zulufttemperatur über 20°C; Luftauslässe im Außenwandbereich; ohne Einzelraumregelung, zentrale Vorregelung")</f>
        <v>- - -</v>
      </c>
      <c r="B407" s="178"/>
      <c r="C407" s="178"/>
      <c r="D407" s="178"/>
      <c r="E407" s="178"/>
      <c r="F407" s="719">
        <v>3.7</v>
      </c>
      <c r="AA407" s="8"/>
      <c r="AB407" s="178"/>
      <c r="AC407" s="178"/>
      <c r="AD407" s="325"/>
      <c r="AE407" s="178"/>
      <c r="AF407" s="179"/>
    </row>
    <row r="408" spans="1:37" x14ac:dyDescent="0.3">
      <c r="A408" s="8" t="str">
        <f>IF(OR(D14&gt;500,H414=1,H414=2,H414=3),"- - -","Zulufttemperatur über 20°C; Luftauslässe im Außenwandbereich; ohne Einzelraumregelung, ohne zentr. Vorregelung")</f>
        <v>- - -</v>
      </c>
      <c r="B408" s="178"/>
      <c r="C408" s="178"/>
      <c r="D408" s="178"/>
      <c r="E408" s="178"/>
      <c r="F408" s="719">
        <v>8.5</v>
      </c>
      <c r="AA408" s="8"/>
      <c r="AB408" s="178"/>
      <c r="AC408" s="178"/>
      <c r="AD408" s="325"/>
      <c r="AE408" s="178"/>
      <c r="AF408" s="179"/>
    </row>
    <row r="409" spans="1:37" x14ac:dyDescent="0.3">
      <c r="A409" s="8" t="str">
        <f>IF(OR(D14&gt;500,H414=1,H414=2,H414=3),"- - -","Zulufttemperatur über 20°C; Luftauslässe im Innenwandbereich; Einzelraumregelung")</f>
        <v>- - -</v>
      </c>
      <c r="B409" s="178"/>
      <c r="C409" s="178"/>
      <c r="D409" s="178"/>
      <c r="E409" s="178"/>
      <c r="F409" s="719">
        <v>3.3</v>
      </c>
      <c r="AA409" s="8"/>
      <c r="AB409" s="178"/>
      <c r="AC409" s="178"/>
      <c r="AD409" s="325"/>
      <c r="AE409" s="178"/>
      <c r="AF409" s="179"/>
    </row>
    <row r="410" spans="1:37" x14ac:dyDescent="0.3">
      <c r="A410" s="8" t="str">
        <f>IF(OR(D14&gt;500,H414=1,H414=2,H414=3),"- - -","Zulufttemperatur über 20°C; Luftauslässe im Innenwandbereich; ohne Einzelraumregelung, zentrale Vorregelung")</f>
        <v>- - -</v>
      </c>
      <c r="B410" s="178"/>
      <c r="C410" s="178"/>
      <c r="D410" s="178"/>
      <c r="E410" s="178"/>
      <c r="F410" s="719">
        <v>4.8</v>
      </c>
      <c r="AA410" s="8"/>
      <c r="AB410" s="178"/>
      <c r="AC410" s="178"/>
      <c r="AD410" s="325"/>
      <c r="AE410" s="178"/>
      <c r="AF410" s="179"/>
    </row>
    <row r="411" spans="1:37" x14ac:dyDescent="0.3">
      <c r="A411" s="8" t="str">
        <f>IF(OR(D14&gt;500,H414=1,H414=2,H414=3),"- - -","Zulufttemperatur über 20°C; Luftauslässe im Innenwandbereich; ohne Einzelraumregelung, ohne zentrale Vorregelung")</f>
        <v>- - -</v>
      </c>
      <c r="B411" s="178"/>
      <c r="C411" s="178"/>
      <c r="D411" s="178"/>
      <c r="E411" s="178"/>
      <c r="F411" s="719">
        <v>9.6</v>
      </c>
      <c r="AA411" s="8"/>
      <c r="AB411" s="178"/>
      <c r="AC411" s="178"/>
      <c r="AD411" s="325"/>
      <c r="AE411" s="178"/>
      <c r="AF411" s="179"/>
    </row>
    <row r="412" spans="1:37" ht="14.5" thickBot="1" x14ac:dyDescent="0.35">
      <c r="A412" s="11"/>
      <c r="B412" s="180"/>
      <c r="C412" s="180"/>
      <c r="D412" s="180"/>
      <c r="E412" s="169" t="s">
        <v>387</v>
      </c>
      <c r="F412" s="710">
        <f>ROUND(CHOOSE(F403,F404,F405,F406,F407,F408,F409,F410,F411),2)</f>
        <v>0</v>
      </c>
      <c r="AA412" s="11"/>
      <c r="AB412" s="180"/>
      <c r="AC412" s="180"/>
      <c r="AD412" s="810"/>
      <c r="AE412" s="765" t="s">
        <v>387</v>
      </c>
      <c r="AF412" s="772">
        <v>0</v>
      </c>
    </row>
    <row r="413" spans="1:37" ht="14.5" thickBot="1" x14ac:dyDescent="0.35"/>
    <row r="414" spans="1:37" x14ac:dyDescent="0.3">
      <c r="A414" s="160" t="s">
        <v>875</v>
      </c>
      <c r="B414" s="177"/>
      <c r="C414" s="177"/>
      <c r="D414" s="177"/>
      <c r="E414" s="177"/>
      <c r="F414" s="177"/>
      <c r="G414" s="287" t="s">
        <v>495</v>
      </c>
      <c r="H414" s="288">
        <v>1</v>
      </c>
      <c r="K414" s="291" t="s">
        <v>367</v>
      </c>
      <c r="L414" s="162"/>
      <c r="M414" s="162"/>
      <c r="N414" s="162"/>
      <c r="O414" s="162"/>
      <c r="P414" s="162"/>
      <c r="Q414" s="162"/>
      <c r="R414" s="162"/>
      <c r="S414" s="162"/>
      <c r="T414" s="173"/>
      <c r="AA414" s="160" t="s">
        <v>875</v>
      </c>
      <c r="AB414" s="177"/>
      <c r="AC414" s="177"/>
      <c r="AD414" s="809"/>
      <c r="AE414" s="177"/>
      <c r="AF414" s="177"/>
      <c r="AG414" s="177"/>
      <c r="AH414" s="181"/>
      <c r="AK414" s="291" t="s">
        <v>367</v>
      </c>
    </row>
    <row r="415" spans="1:37" ht="14.5" thickBot="1" x14ac:dyDescent="0.35">
      <c r="A415" s="8" t="s">
        <v>1266</v>
      </c>
      <c r="B415" s="178"/>
      <c r="C415" s="178"/>
      <c r="D415" s="178"/>
      <c r="E415" s="178"/>
      <c r="F415" s="325"/>
      <c r="G415" s="178"/>
      <c r="H415" s="179"/>
      <c r="K415" s="292" t="str">
        <f>CHOOSE(H414,A415,A416,A417,A418,A419,A420)</f>
        <v>keine Lüftungsanlage</v>
      </c>
      <c r="L415" s="293"/>
      <c r="M415" s="293"/>
      <c r="N415" s="293"/>
      <c r="O415" s="293"/>
      <c r="P415" s="293"/>
      <c r="Q415" s="293"/>
      <c r="R415" s="293"/>
      <c r="S415" s="293"/>
      <c r="T415" s="294"/>
      <c r="AA415" s="8"/>
      <c r="AB415" s="178"/>
      <c r="AC415" s="178"/>
      <c r="AD415" s="325"/>
      <c r="AE415" s="178"/>
      <c r="AF415" s="178"/>
      <c r="AG415" s="178"/>
      <c r="AH415" s="179"/>
      <c r="AK415" s="292" t="str">
        <f>AA416</f>
        <v>zentrale Abluftanlage</v>
      </c>
    </row>
    <row r="416" spans="1:37" x14ac:dyDescent="0.3">
      <c r="A416" s="8" t="str">
        <f>IF(OR(D14&gt;500,F330=19,F330=20,F330=21),"- - -","dezentrale Lüftungsanlage")</f>
        <v>dezentrale Lüftungsanlage</v>
      </c>
      <c r="B416" s="178"/>
      <c r="C416" s="178"/>
      <c r="D416" s="178"/>
      <c r="E416" s="178"/>
      <c r="F416" s="325"/>
      <c r="G416" s="178"/>
      <c r="H416" s="179"/>
      <c r="AA416" s="8" t="s">
        <v>46</v>
      </c>
      <c r="AB416" s="178"/>
      <c r="AC416" s="178"/>
      <c r="AD416" s="325"/>
      <c r="AE416" s="178"/>
      <c r="AF416" s="178"/>
      <c r="AG416" s="178"/>
      <c r="AH416" s="179"/>
    </row>
    <row r="417" spans="1:37" x14ac:dyDescent="0.3">
      <c r="A417" s="8" t="str">
        <f>IF(OR(F330=19,F330=20,F330=21),"- - -","zentrale Abluftanlage")</f>
        <v>zentrale Abluftanlage</v>
      </c>
      <c r="B417" s="178"/>
      <c r="C417" s="178"/>
      <c r="D417" s="178"/>
      <c r="E417" s="178"/>
      <c r="F417" s="325"/>
      <c r="G417" s="178"/>
      <c r="H417" s="179"/>
      <c r="AA417" s="8"/>
      <c r="AB417" s="178"/>
      <c r="AC417" s="178"/>
      <c r="AD417" s="325"/>
      <c r="AE417" s="178"/>
      <c r="AF417" s="178"/>
      <c r="AG417" s="178"/>
      <c r="AH417" s="179"/>
    </row>
    <row r="418" spans="1:37" x14ac:dyDescent="0.3">
      <c r="A418" s="8" t="str">
        <f>IF(OR(D14&gt;500),"- - -","zentrale Zu/Abluftanlage mit Verteilleitungen im unbeheizten Dach")</f>
        <v>zentrale Zu/Abluftanlage mit Verteilleitungen im unbeheizten Dach</v>
      </c>
      <c r="B418" s="178"/>
      <c r="C418" s="178"/>
      <c r="D418" s="178"/>
      <c r="E418" s="178"/>
      <c r="F418" s="325"/>
      <c r="G418" s="178"/>
      <c r="H418" s="179"/>
      <c r="AA418" s="8"/>
      <c r="AB418" s="178"/>
      <c r="AC418" s="178"/>
      <c r="AD418" s="325"/>
      <c r="AE418" s="178"/>
      <c r="AF418" s="178"/>
      <c r="AG418" s="178"/>
      <c r="AH418" s="179"/>
    </row>
    <row r="419" spans="1:37" x14ac:dyDescent="0.3">
      <c r="A419" s="8" t="str">
        <f>IF(OR(D14&gt;500),"- - -","zentrale Zu/Abluftanlage mit Verteilleitungen im beheizten Bereich")</f>
        <v>zentrale Zu/Abluftanlage mit Verteilleitungen im beheizten Bereich</v>
      </c>
      <c r="B419" s="178"/>
      <c r="C419" s="178"/>
      <c r="D419" s="178"/>
      <c r="E419" s="178"/>
      <c r="F419" s="325"/>
      <c r="G419" s="178"/>
      <c r="H419" s="179"/>
      <c r="AA419" s="8"/>
      <c r="AB419" s="178"/>
      <c r="AC419" s="178"/>
      <c r="AD419" s="325"/>
      <c r="AE419" s="178"/>
      <c r="AF419" s="178"/>
      <c r="AG419" s="178"/>
      <c r="AH419" s="179"/>
    </row>
    <row r="420" spans="1:37" x14ac:dyDescent="0.3">
      <c r="A420" s="8" t="str">
        <f>IF(OR(D14&gt;500),"- - -","zentrale Zu/Abluftanlage mit Verteilleitungen im unbeheizten Keller")</f>
        <v>zentrale Zu/Abluftanlage mit Verteilleitungen im unbeheizten Keller</v>
      </c>
      <c r="B420" s="178"/>
      <c r="C420" s="178"/>
      <c r="D420" s="178"/>
      <c r="E420" s="178"/>
      <c r="F420" s="325"/>
      <c r="G420" s="178"/>
      <c r="H420" s="179"/>
      <c r="AA420" s="8"/>
      <c r="AB420" s="178"/>
      <c r="AC420" s="178"/>
      <c r="AD420" s="325"/>
      <c r="AE420" s="178"/>
      <c r="AF420" s="178"/>
      <c r="AG420" s="178"/>
      <c r="AH420" s="179"/>
    </row>
    <row r="421" spans="1:37" x14ac:dyDescent="0.3">
      <c r="A421" s="8"/>
      <c r="B421" s="178"/>
      <c r="C421" s="178"/>
      <c r="D421" s="178"/>
      <c r="E421" s="178"/>
      <c r="F421" s="178"/>
      <c r="G421" s="178"/>
      <c r="H421" s="714">
        <f>ROUND('L-01'!K21,2)</f>
        <v>0</v>
      </c>
      <c r="AA421" s="8"/>
      <c r="AB421" s="178"/>
      <c r="AC421" s="178"/>
      <c r="AD421" s="325"/>
      <c r="AE421" s="178"/>
      <c r="AF421" s="178"/>
      <c r="AG421" s="178"/>
      <c r="AH421" s="784">
        <v>0</v>
      </c>
    </row>
    <row r="422" spans="1:37" ht="14.5" thickBot="1" x14ac:dyDescent="0.35">
      <c r="A422" s="11"/>
      <c r="B422" s="180"/>
      <c r="C422" s="180"/>
      <c r="D422" s="180"/>
      <c r="E422" s="180"/>
      <c r="F422" s="180"/>
      <c r="G422" s="180"/>
      <c r="H422" s="170" t="s">
        <v>387</v>
      </c>
      <c r="AA422" s="11"/>
      <c r="AB422" s="180"/>
      <c r="AC422" s="180"/>
      <c r="AD422" s="810"/>
      <c r="AE422" s="180"/>
      <c r="AF422" s="180"/>
      <c r="AG422" s="180"/>
      <c r="AH422" s="768" t="s">
        <v>387</v>
      </c>
    </row>
    <row r="423" spans="1:37" ht="14.5" thickBot="1" x14ac:dyDescent="0.35"/>
    <row r="424" spans="1:37" x14ac:dyDescent="0.3">
      <c r="A424" s="160" t="s">
        <v>424</v>
      </c>
      <c r="B424" s="177"/>
      <c r="C424" s="177"/>
      <c r="D424" s="177"/>
      <c r="E424" s="177"/>
      <c r="F424" s="181"/>
      <c r="K424" s="291" t="s">
        <v>607</v>
      </c>
      <c r="L424" s="162"/>
      <c r="M424" s="162"/>
      <c r="N424" s="162"/>
      <c r="O424" s="162"/>
      <c r="P424" s="162"/>
      <c r="Q424" s="162"/>
      <c r="R424" s="162"/>
      <c r="S424" s="162"/>
      <c r="T424" s="173"/>
      <c r="AA424" s="160" t="s">
        <v>424</v>
      </c>
      <c r="AB424" s="177"/>
      <c r="AC424" s="177"/>
      <c r="AD424" s="809"/>
      <c r="AE424" s="177"/>
      <c r="AF424" s="181"/>
      <c r="AK424" s="291" t="s">
        <v>607</v>
      </c>
    </row>
    <row r="425" spans="1:37" ht="14.5" thickBot="1" x14ac:dyDescent="0.35">
      <c r="A425" s="182" t="s">
        <v>566</v>
      </c>
      <c r="B425" s="178"/>
      <c r="C425" s="289" t="s">
        <v>495</v>
      </c>
      <c r="D425" s="289">
        <v>1</v>
      </c>
      <c r="E425" s="178"/>
      <c r="F425" s="179"/>
      <c r="K425" s="292" t="str">
        <f>CHOOSE(D425,A426,A427,A428)</f>
        <v>keine Wärmerückgewinnung vorhanden</v>
      </c>
      <c r="L425" s="293"/>
      <c r="M425" s="293"/>
      <c r="N425" s="293"/>
      <c r="O425" s="293"/>
      <c r="P425" s="293"/>
      <c r="Q425" s="293"/>
      <c r="R425" s="293"/>
      <c r="S425" s="293"/>
      <c r="T425" s="294"/>
      <c r="AA425" s="182" t="s">
        <v>566</v>
      </c>
      <c r="AB425" s="178"/>
      <c r="AC425" s="178"/>
      <c r="AD425" s="325"/>
      <c r="AE425" s="178"/>
      <c r="AF425" s="179"/>
      <c r="AK425" s="292" t="str">
        <f>AA427</f>
        <v>keine Wärmerückgewinnung vorhanden</v>
      </c>
    </row>
    <row r="426" spans="1:37" x14ac:dyDescent="0.3">
      <c r="A426" s="8" t="str">
        <f>IF(OR(H414=2,F330=20,F330=21),"- - -","keine Wärmerückgewinnung vorhanden")</f>
        <v>keine Wärmerückgewinnung vorhanden</v>
      </c>
      <c r="B426" s="178"/>
      <c r="C426" s="720">
        <v>0</v>
      </c>
      <c r="D426" s="178"/>
      <c r="E426" s="178"/>
      <c r="F426" s="179"/>
      <c r="AA426" s="8"/>
      <c r="AB426" s="178"/>
      <c r="AC426" s="178"/>
      <c r="AD426" s="325"/>
      <c r="AE426" s="178"/>
      <c r="AF426" s="179"/>
    </row>
    <row r="427" spans="1:37" x14ac:dyDescent="0.3">
      <c r="A427" s="8" t="str">
        <f>IF(OR(D14&gt;500,H414=1,H414=3,G536=16,F330=17,F330=18,F330=19,F330=21),"- - -","Wärmeübertrager Zuluft/Abluft mit Wärmerückgewinnungsgrad 60% bis unter 80%")</f>
        <v>- - -</v>
      </c>
      <c r="B427" s="178"/>
      <c r="C427" s="325">
        <v>0.6</v>
      </c>
      <c r="D427" s="178"/>
      <c r="E427" s="178"/>
      <c r="F427" s="179"/>
      <c r="AA427" s="8" t="s">
        <v>48</v>
      </c>
      <c r="AB427" s="178"/>
      <c r="AC427" s="178"/>
      <c r="AD427" s="325"/>
      <c r="AE427" s="178"/>
      <c r="AF427" s="179"/>
    </row>
    <row r="428" spans="1:37" x14ac:dyDescent="0.3">
      <c r="A428" s="8" t="str">
        <f>IF(OR(D14&gt;500,H414=1,H414=3,G536=16,F330=17,F330=18,F330=19,F330=20),"- - -","Wärmeübertrager Zuluft/Abluft mit Wärmerückgewinnungsgrad 80% und mehr")</f>
        <v>- - -</v>
      </c>
      <c r="B428" s="178"/>
      <c r="C428" s="325">
        <v>0.8</v>
      </c>
      <c r="D428" s="178"/>
      <c r="E428" s="178"/>
      <c r="F428" s="179"/>
      <c r="AA428" s="8"/>
      <c r="AB428" s="178"/>
      <c r="AC428" s="178"/>
      <c r="AD428" s="325"/>
      <c r="AE428" s="178"/>
      <c r="AF428" s="179"/>
    </row>
    <row r="429" spans="1:37" x14ac:dyDescent="0.3">
      <c r="A429" s="8"/>
      <c r="B429" s="178"/>
      <c r="C429" s="721">
        <f>ROUND(CHOOSE(D425,C426,C427,C428),2)</f>
        <v>0</v>
      </c>
      <c r="D429" s="722">
        <f>ROUND(IF(D425=1,0,'L-02'!G12),2)</f>
        <v>0</v>
      </c>
      <c r="E429" s="722">
        <v>0</v>
      </c>
      <c r="F429" s="723">
        <v>0</v>
      </c>
      <c r="AA429" s="8"/>
      <c r="AB429" s="178"/>
      <c r="AC429" s="761">
        <v>0</v>
      </c>
      <c r="AD429" s="760">
        <v>0</v>
      </c>
      <c r="AE429" s="760">
        <v>0</v>
      </c>
      <c r="AF429" s="762">
        <v>0</v>
      </c>
    </row>
    <row r="430" spans="1:37" ht="14.5" thickBot="1" x14ac:dyDescent="0.35">
      <c r="A430" s="11"/>
      <c r="B430" s="180"/>
      <c r="C430" s="326" t="s">
        <v>562</v>
      </c>
      <c r="D430" s="326" t="s">
        <v>564</v>
      </c>
      <c r="E430" s="326" t="s">
        <v>563</v>
      </c>
      <c r="F430" s="497" t="s">
        <v>430</v>
      </c>
      <c r="AA430" s="11"/>
      <c r="AB430" s="180"/>
      <c r="AC430" s="763" t="s">
        <v>562</v>
      </c>
      <c r="AD430" s="763" t="s">
        <v>564</v>
      </c>
      <c r="AE430" s="763" t="s">
        <v>563</v>
      </c>
      <c r="AF430" s="764" t="s">
        <v>430</v>
      </c>
    </row>
    <row r="431" spans="1:37" ht="14.5" thickBot="1" x14ac:dyDescent="0.35"/>
    <row r="432" spans="1:37" x14ac:dyDescent="0.3">
      <c r="A432" s="160" t="s">
        <v>400</v>
      </c>
      <c r="B432" s="177"/>
      <c r="C432" s="177"/>
      <c r="D432" s="177"/>
      <c r="E432" s="287" t="s">
        <v>495</v>
      </c>
      <c r="F432" s="288">
        <v>1</v>
      </c>
      <c r="K432" s="291" t="s">
        <v>400</v>
      </c>
      <c r="L432" s="162"/>
      <c r="M432" s="162"/>
      <c r="N432" s="162"/>
      <c r="O432" s="162"/>
      <c r="P432" s="162"/>
      <c r="Q432" s="162"/>
      <c r="R432" s="162"/>
      <c r="S432" s="162"/>
      <c r="T432" s="173"/>
      <c r="AA432" s="160" t="s">
        <v>400</v>
      </c>
      <c r="AB432" s="177"/>
      <c r="AC432" s="177"/>
      <c r="AD432" s="809"/>
      <c r="AE432" s="177"/>
      <c r="AF432" s="181"/>
      <c r="AK432" s="291" t="s">
        <v>400</v>
      </c>
    </row>
    <row r="433" spans="1:37" ht="14.5" thickBot="1" x14ac:dyDescent="0.35">
      <c r="A433" s="8" t="str">
        <f>IF(H414&lt;&gt;1,"- - -","keine Lüftungsanlage vorhanden")</f>
        <v>keine Lüftungsanlage vorhanden</v>
      </c>
      <c r="B433" s="178"/>
      <c r="C433" s="178"/>
      <c r="D433" s="178" t="s">
        <v>111</v>
      </c>
      <c r="E433" s="178"/>
      <c r="F433" s="179"/>
      <c r="K433" s="292" t="str">
        <f>CHOOSE(F432,A433,A434,A435)</f>
        <v>keine Lüftungsanlage vorhanden</v>
      </c>
      <c r="L433" s="293"/>
      <c r="M433" s="293"/>
      <c r="N433" s="293"/>
      <c r="O433" s="293"/>
      <c r="P433" s="293"/>
      <c r="Q433" s="293"/>
      <c r="R433" s="293"/>
      <c r="S433" s="293"/>
      <c r="T433" s="294"/>
      <c r="AA433" s="8"/>
      <c r="AB433" s="178"/>
      <c r="AC433" s="178"/>
      <c r="AD433" s="325"/>
      <c r="AE433" s="178"/>
      <c r="AF433" s="179"/>
      <c r="AK433" s="292" t="str">
        <f>AA434</f>
        <v>Gleichstromventilator (DC)</v>
      </c>
    </row>
    <row r="434" spans="1:37" x14ac:dyDescent="0.3">
      <c r="A434" s="8" t="str">
        <f>IF(OR(D14&gt;500,H414=1,AND(F438=1,D425=3)),"- - -","Wechselstromventilator (AC)")</f>
        <v>- - -</v>
      </c>
      <c r="B434" s="178"/>
      <c r="C434" s="178"/>
      <c r="D434" s="178" t="s">
        <v>96</v>
      </c>
      <c r="E434" s="178"/>
      <c r="F434" s="179"/>
      <c r="AA434" s="8" t="s">
        <v>49</v>
      </c>
      <c r="AB434" s="178"/>
      <c r="AC434" s="178"/>
      <c r="AD434" s="325"/>
      <c r="AE434" s="178"/>
      <c r="AF434" s="179"/>
    </row>
    <row r="435" spans="1:37" x14ac:dyDescent="0.3">
      <c r="A435" s="8" t="str">
        <f>IF(OR(D14&gt;500,H414=1),"- - -","Gleichstromventilator (DC)")</f>
        <v>- - -</v>
      </c>
      <c r="B435" s="178"/>
      <c r="C435" s="178"/>
      <c r="D435" s="178" t="s">
        <v>97</v>
      </c>
      <c r="E435" s="178"/>
      <c r="F435" s="179"/>
      <c r="AA435" s="8"/>
      <c r="AB435" s="178"/>
      <c r="AC435" s="178"/>
      <c r="AD435" s="325"/>
      <c r="AE435" s="178"/>
      <c r="AF435" s="179"/>
    </row>
    <row r="436" spans="1:37" ht="14.5" thickBot="1" x14ac:dyDescent="0.35">
      <c r="A436" s="11"/>
      <c r="B436" s="180"/>
      <c r="C436" s="318" t="s">
        <v>94</v>
      </c>
      <c r="D436" s="169" t="str">
        <f>CHOOSE(F432,D433,D434,D435)</f>
        <v>O</v>
      </c>
      <c r="E436" s="318" t="s">
        <v>565</v>
      </c>
      <c r="F436" s="710">
        <f>ROUND('L-05'!D44,2)</f>
        <v>0</v>
      </c>
      <c r="AA436" s="11"/>
      <c r="AB436" s="180"/>
      <c r="AC436" s="791" t="s">
        <v>94</v>
      </c>
      <c r="AD436" s="763" t="s">
        <v>97</v>
      </c>
      <c r="AE436" s="791" t="s">
        <v>565</v>
      </c>
      <c r="AF436" s="772">
        <f>ROUND('L-05'!I34,2)</f>
        <v>1.1100000000000001</v>
      </c>
    </row>
    <row r="437" spans="1:37" ht="14.5" thickBot="1" x14ac:dyDescent="0.35"/>
    <row r="438" spans="1:37" x14ac:dyDescent="0.3">
      <c r="A438" s="160" t="s">
        <v>92</v>
      </c>
      <c r="B438" s="177"/>
      <c r="C438" s="177"/>
      <c r="D438" s="177"/>
      <c r="E438" s="287" t="s">
        <v>495</v>
      </c>
      <c r="F438" s="287">
        <v>1</v>
      </c>
      <c r="G438" s="177"/>
      <c r="H438" s="181"/>
      <c r="K438" s="291" t="s">
        <v>608</v>
      </c>
      <c r="L438" s="162"/>
      <c r="M438" s="162"/>
      <c r="N438" s="162"/>
      <c r="O438" s="162"/>
      <c r="P438" s="162"/>
      <c r="Q438" s="162"/>
      <c r="R438" s="162"/>
      <c r="S438" s="162"/>
      <c r="T438" s="173"/>
      <c r="AA438" s="160" t="s">
        <v>92</v>
      </c>
      <c r="AB438" s="177"/>
      <c r="AC438" s="177"/>
      <c r="AD438" s="809"/>
      <c r="AE438" s="177"/>
      <c r="AF438" s="177"/>
      <c r="AG438" s="177"/>
      <c r="AH438" s="181"/>
      <c r="AK438" s="291" t="s">
        <v>608</v>
      </c>
    </row>
    <row r="439" spans="1:37" ht="14.5" thickBot="1" x14ac:dyDescent="0.35">
      <c r="A439" s="8" t="str">
        <f>IF(OR(F330=17,F330=18,F330=19,F330=20,F330=21),"- - -","keine Wärmepumpe vorhanden")</f>
        <v>keine Wärmepumpe vorhanden</v>
      </c>
      <c r="B439" s="178"/>
      <c r="C439" s="178"/>
      <c r="D439" s="327" t="s">
        <v>111</v>
      </c>
      <c r="E439" s="178"/>
      <c r="F439" s="178"/>
      <c r="G439" s="322">
        <v>0</v>
      </c>
      <c r="H439" s="179"/>
      <c r="K439" s="292" t="str">
        <f>CHOOSE(F438,A439,A440,A441)</f>
        <v>keine Wärmepumpe vorhanden</v>
      </c>
      <c r="L439" s="293"/>
      <c r="M439" s="293"/>
      <c r="N439" s="293"/>
      <c r="O439" s="293"/>
      <c r="P439" s="293"/>
      <c r="Q439" s="293"/>
      <c r="R439" s="293"/>
      <c r="S439" s="293"/>
      <c r="T439" s="294"/>
      <c r="AA439" s="8"/>
      <c r="AB439" s="178"/>
      <c r="AC439" s="178"/>
      <c r="AD439" s="325"/>
      <c r="AE439" s="178"/>
      <c r="AF439" s="178"/>
      <c r="AG439" s="178"/>
      <c r="AH439" s="179"/>
      <c r="AK439" s="292" t="str">
        <f>AA440</f>
        <v>keine Wärmepumpe vorhanden</v>
      </c>
    </row>
    <row r="440" spans="1:37" x14ac:dyDescent="0.3">
      <c r="A440" s="8" t="str">
        <f>IF(OR(D14&gt;500,H414=2,H414=3,H414=1,D425=3),"- - -","Luft/Luft-Wärmepumpe mit/ohne TW-Bereitung")</f>
        <v>- - -</v>
      </c>
      <c r="B440" s="178"/>
      <c r="C440" s="178"/>
      <c r="D440" s="327" t="s">
        <v>110</v>
      </c>
      <c r="E440" s="178"/>
      <c r="F440" s="178"/>
      <c r="G440" s="322">
        <f>IF(D425=1,'L-03'!C45,'L-03'!B45)</f>
        <v>0.28296547821165818</v>
      </c>
      <c r="H440" s="179"/>
      <c r="AA440" s="8" t="s">
        <v>50</v>
      </c>
      <c r="AB440" s="178"/>
      <c r="AC440" s="178"/>
      <c r="AD440" s="325"/>
      <c r="AE440" s="178"/>
      <c r="AF440" s="178"/>
      <c r="AG440" s="178"/>
      <c r="AH440" s="179"/>
    </row>
    <row r="441" spans="1:37" x14ac:dyDescent="0.3">
      <c r="A441" s="8" t="str">
        <f>IF(OR(D14&gt;500,H414&lt;&gt;3,H414=1,D425=3),"- - -","Abluftwärmepumpe zur Trinkwarmwasserbereitung")</f>
        <v>- - -</v>
      </c>
      <c r="B441" s="178"/>
      <c r="C441" s="178"/>
      <c r="D441" s="327" t="s">
        <v>98</v>
      </c>
      <c r="E441" s="178"/>
      <c r="F441" s="178"/>
      <c r="G441" s="322">
        <v>0</v>
      </c>
      <c r="H441" s="179"/>
      <c r="AA441" s="8"/>
      <c r="AB441" s="178"/>
      <c r="AC441" s="178"/>
      <c r="AD441" s="325"/>
      <c r="AE441" s="178"/>
      <c r="AF441" s="178"/>
      <c r="AG441" s="178"/>
      <c r="AH441" s="179"/>
    </row>
    <row r="442" spans="1:37" x14ac:dyDescent="0.3">
      <c r="A442" s="8"/>
      <c r="B442" s="178"/>
      <c r="C442" s="178"/>
      <c r="D442" s="328" t="str">
        <f>CHOOSE(F438,D439,D440,D441)</f>
        <v>O</v>
      </c>
      <c r="E442" s="716">
        <f>ROUND(FP!B12,2)</f>
        <v>1.8</v>
      </c>
      <c r="F442" s="725">
        <f>ROUND(IF(F438=2,'L-03'!D42,0),2)</f>
        <v>0</v>
      </c>
      <c r="G442" s="725">
        <f>ROUND(CHOOSE(F438,G439,G440,G441),2)</f>
        <v>0</v>
      </c>
      <c r="H442" s="726">
        <v>0</v>
      </c>
      <c r="AA442" s="8"/>
      <c r="AB442" s="178"/>
      <c r="AC442" s="178"/>
      <c r="AD442" s="811" t="s">
        <v>111</v>
      </c>
      <c r="AE442" s="785">
        <v>0</v>
      </c>
      <c r="AF442" s="792">
        <v>0</v>
      </c>
      <c r="AG442" s="792">
        <v>0</v>
      </c>
      <c r="AH442" s="793">
        <v>0</v>
      </c>
    </row>
    <row r="443" spans="1:37" ht="14.5" thickBot="1" x14ac:dyDescent="0.35">
      <c r="A443" s="11"/>
      <c r="B443" s="180"/>
      <c r="C443" s="180"/>
      <c r="D443" s="329" t="s">
        <v>92</v>
      </c>
      <c r="E443" s="318" t="s">
        <v>430</v>
      </c>
      <c r="F443" s="318" t="s">
        <v>567</v>
      </c>
      <c r="G443" s="318" t="s">
        <v>568</v>
      </c>
      <c r="H443" s="319" t="s">
        <v>569</v>
      </c>
      <c r="AA443" s="11"/>
      <c r="AB443" s="180"/>
      <c r="AC443" s="180"/>
      <c r="AD443" s="763" t="s">
        <v>92</v>
      </c>
      <c r="AE443" s="791" t="s">
        <v>430</v>
      </c>
      <c r="AF443" s="791" t="s">
        <v>567</v>
      </c>
      <c r="AG443" s="791" t="s">
        <v>568</v>
      </c>
      <c r="AH443" s="794" t="s">
        <v>569</v>
      </c>
    </row>
    <row r="444" spans="1:37" ht="14.5" thickBot="1" x14ac:dyDescent="0.35"/>
    <row r="445" spans="1:37" x14ac:dyDescent="0.3">
      <c r="A445" s="160" t="s">
        <v>93</v>
      </c>
      <c r="B445" s="177"/>
      <c r="C445" s="177"/>
      <c r="D445" s="177"/>
      <c r="E445" s="287" t="s">
        <v>495</v>
      </c>
      <c r="F445" s="288">
        <v>1</v>
      </c>
      <c r="K445" s="291" t="s">
        <v>609</v>
      </c>
      <c r="L445" s="162"/>
      <c r="M445" s="162"/>
      <c r="N445" s="162"/>
      <c r="O445" s="162"/>
      <c r="P445" s="162"/>
      <c r="Q445" s="162"/>
      <c r="R445" s="162"/>
      <c r="S445" s="162"/>
      <c r="T445" s="173"/>
      <c r="AA445" s="160" t="s">
        <v>93</v>
      </c>
      <c r="AB445" s="177"/>
      <c r="AC445" s="177"/>
      <c r="AD445" s="809"/>
      <c r="AE445" s="177"/>
      <c r="AF445" s="181"/>
      <c r="AK445" s="291" t="s">
        <v>609</v>
      </c>
    </row>
    <row r="446" spans="1:37" ht="14.5" thickBot="1" x14ac:dyDescent="0.35">
      <c r="A446" s="8" t="str">
        <f>IF(OR(,),"- - -","kein Heizregister vorhanden")</f>
        <v>kein Heizregister vorhanden</v>
      </c>
      <c r="B446" s="178"/>
      <c r="C446" s="178"/>
      <c r="D446" s="327">
        <v>0</v>
      </c>
      <c r="E446" s="178"/>
      <c r="F446" s="179"/>
      <c r="K446" s="292" t="str">
        <f>CHOOSE(F445,A446,A447,A448)</f>
        <v>kein Heizregister vorhanden</v>
      </c>
      <c r="L446" s="293"/>
      <c r="M446" s="293"/>
      <c r="N446" s="293"/>
      <c r="O446" s="293"/>
      <c r="P446" s="293"/>
      <c r="Q446" s="293"/>
      <c r="R446" s="293"/>
      <c r="S446" s="293"/>
      <c r="T446" s="294"/>
      <c r="AA446" s="8"/>
      <c r="AB446" s="178"/>
      <c r="AC446" s="178"/>
      <c r="AD446" s="325"/>
      <c r="AE446" s="178"/>
      <c r="AF446" s="179"/>
      <c r="AK446" s="292" t="str">
        <f>AA447</f>
        <v>kein Heizregister vorhanden</v>
      </c>
    </row>
    <row r="447" spans="1:37" x14ac:dyDescent="0.3">
      <c r="A447" s="8" t="str">
        <f>IF(OR(D14&gt;500,D391=1,H414=2,H414=3),"- - -","Heizregister mit 35°C Auslegung")</f>
        <v>Heizregister mit 35°C Auslegung</v>
      </c>
      <c r="B447" s="178"/>
      <c r="C447" s="178"/>
      <c r="D447" s="327">
        <v>35</v>
      </c>
      <c r="E447" s="178"/>
      <c r="F447" s="179"/>
      <c r="AA447" s="8" t="s">
        <v>51</v>
      </c>
      <c r="AB447" s="178"/>
      <c r="AC447" s="178"/>
      <c r="AD447" s="325"/>
      <c r="AE447" s="178"/>
      <c r="AF447" s="179"/>
    </row>
    <row r="448" spans="1:37" x14ac:dyDescent="0.3">
      <c r="A448" s="8" t="str">
        <f>IF(OR(D14&gt;500,D391=1,H414=2,H414=3),"- - -","Heizregister mit 45°C Auslegung")</f>
        <v>Heizregister mit 45°C Auslegung</v>
      </c>
      <c r="B448" s="178"/>
      <c r="C448" s="178"/>
      <c r="D448" s="327">
        <v>45</v>
      </c>
      <c r="E448" s="178"/>
      <c r="F448" s="179"/>
      <c r="AA448" s="8"/>
      <c r="AB448" s="178"/>
      <c r="AC448" s="178"/>
      <c r="AD448" s="325"/>
      <c r="AE448" s="178"/>
      <c r="AF448" s="179"/>
    </row>
    <row r="449" spans="1:37" ht="14.5" thickBot="1" x14ac:dyDescent="0.35">
      <c r="A449" s="11"/>
      <c r="B449" s="180"/>
      <c r="C449" s="318" t="s">
        <v>93</v>
      </c>
      <c r="D449" s="727">
        <f>ROUND(CHOOSE(F445,D446,D447,D448),2)</f>
        <v>0</v>
      </c>
      <c r="E449" s="318" t="s">
        <v>570</v>
      </c>
      <c r="F449" s="728">
        <f>ROUND(IF(F445=1,0,'L-04'!F34),2)</f>
        <v>0</v>
      </c>
      <c r="AA449" s="11"/>
      <c r="AB449" s="180"/>
      <c r="AC449" s="791" t="s">
        <v>93</v>
      </c>
      <c r="AD449" s="812">
        <v>0</v>
      </c>
      <c r="AE449" s="791" t="s">
        <v>570</v>
      </c>
      <c r="AF449" s="795">
        <v>0</v>
      </c>
    </row>
    <row r="450" spans="1:37" ht="14.5" thickBot="1" x14ac:dyDescent="0.35"/>
    <row r="451" spans="1:37" x14ac:dyDescent="0.3">
      <c r="A451" s="160" t="s">
        <v>876</v>
      </c>
      <c r="B451" s="177"/>
      <c r="C451" s="177"/>
      <c r="D451" s="177"/>
      <c r="E451" s="287" t="s">
        <v>495</v>
      </c>
      <c r="F451" s="287">
        <v>1</v>
      </c>
      <c r="G451" s="181"/>
      <c r="K451" s="291" t="s">
        <v>606</v>
      </c>
      <c r="L451" s="162"/>
      <c r="M451" s="162"/>
      <c r="N451" s="162"/>
      <c r="O451" s="162"/>
      <c r="P451" s="162"/>
      <c r="Q451" s="162"/>
      <c r="R451" s="162"/>
      <c r="S451" s="162"/>
      <c r="T451" s="173"/>
      <c r="AA451" s="160" t="s">
        <v>876</v>
      </c>
      <c r="AB451" s="177"/>
      <c r="AC451" s="177"/>
      <c r="AD451" s="809"/>
      <c r="AE451" s="177"/>
      <c r="AF451" s="177"/>
      <c r="AG451" s="181"/>
      <c r="AK451" s="291" t="s">
        <v>606</v>
      </c>
    </row>
    <row r="452" spans="1:37" ht="14.5" thickBot="1" x14ac:dyDescent="0.35">
      <c r="A452" s="8" t="str">
        <f>IF(OR(D391=1,F445=1),"kein Heizregister vorhanden","- - -")</f>
        <v>kein Heizregister vorhanden</v>
      </c>
      <c r="B452" s="178"/>
      <c r="C452" s="178"/>
      <c r="D452" s="178"/>
      <c r="E452" s="718">
        <v>0</v>
      </c>
      <c r="F452" s="322">
        <v>0</v>
      </c>
      <c r="G452" s="179"/>
      <c r="K452" s="292" t="str">
        <f>CHOOSE(F451,A452,A453,A454)</f>
        <v>kein Heizregister vorhanden</v>
      </c>
      <c r="L452" s="293"/>
      <c r="M452" s="293"/>
      <c r="N452" s="293"/>
      <c r="O452" s="293"/>
      <c r="P452" s="293"/>
      <c r="Q452" s="293"/>
      <c r="R452" s="293"/>
      <c r="S452" s="293"/>
      <c r="T452" s="294"/>
      <c r="AA452" s="8"/>
      <c r="AB452" s="178"/>
      <c r="AC452" s="178"/>
      <c r="AD452" s="325"/>
      <c r="AE452" s="178"/>
      <c r="AF452" s="178"/>
      <c r="AG452" s="179"/>
      <c r="AK452" s="292" t="str">
        <f>AA453</f>
        <v>kein Heizregister vorhanden</v>
      </c>
    </row>
    <row r="453" spans="1:37" x14ac:dyDescent="0.3">
      <c r="A453" s="8" t="str">
        <f>IF(OR(D14&gt;500,D391=1,F445=1),"- - -","elektrischer Heizstab")</f>
        <v>- - -</v>
      </c>
      <c r="B453" s="178"/>
      <c r="C453" s="178"/>
      <c r="D453" s="178"/>
      <c r="E453" s="178">
        <f>FP!B12</f>
        <v>1.8</v>
      </c>
      <c r="F453" s="322">
        <v>1</v>
      </c>
      <c r="G453" s="179"/>
      <c r="AA453" s="8" t="s">
        <v>51</v>
      </c>
      <c r="AB453" s="178"/>
      <c r="AC453" s="178"/>
      <c r="AD453" s="325"/>
      <c r="AE453" s="178"/>
      <c r="AF453" s="178"/>
      <c r="AG453" s="179"/>
    </row>
    <row r="454" spans="1:37" x14ac:dyDescent="0.3">
      <c r="A454" s="8" t="str">
        <f>IF(OR(D14&gt;500,D391=1,F445=1),"- - -","Grundlasterzeuger der Heizung")</f>
        <v>- - -</v>
      </c>
      <c r="B454" s="178"/>
      <c r="C454" s="178"/>
      <c r="D454" s="178"/>
      <c r="E454" s="178">
        <f>F577</f>
        <v>1.1000000000000001</v>
      </c>
      <c r="F454" s="322">
        <f>1.2*F560</f>
        <v>1.4039999999999999</v>
      </c>
      <c r="G454" s="179"/>
      <c r="AA454" s="8"/>
      <c r="AB454" s="178"/>
      <c r="AC454" s="178"/>
      <c r="AD454" s="325"/>
      <c r="AE454" s="178"/>
      <c r="AF454" s="178"/>
      <c r="AG454" s="179"/>
    </row>
    <row r="455" spans="1:37" x14ac:dyDescent="0.3">
      <c r="A455" s="8"/>
      <c r="B455" s="178"/>
      <c r="C455" s="178"/>
      <c r="D455" s="178"/>
      <c r="E455" s="716">
        <f>ROUND(CHOOSE(F451,E452,E453,E454),2)</f>
        <v>0</v>
      </c>
      <c r="F455" s="717">
        <f>ROUND(CHOOSE(F451,F452,F453,F454),2)</f>
        <v>0</v>
      </c>
      <c r="G455" s="179"/>
      <c r="AA455" s="8"/>
      <c r="AB455" s="178"/>
      <c r="AC455" s="178"/>
      <c r="AD455" s="325"/>
      <c r="AE455" s="785">
        <v>0</v>
      </c>
      <c r="AF455" s="785">
        <v>0</v>
      </c>
      <c r="AG455" s="179"/>
    </row>
    <row r="456" spans="1:37" ht="14.5" thickBot="1" x14ac:dyDescent="0.35">
      <c r="A456" s="11"/>
      <c r="B456" s="180"/>
      <c r="C456" s="180"/>
      <c r="D456" s="180"/>
      <c r="E456" s="318" t="s">
        <v>430</v>
      </c>
      <c r="F456" s="318" t="s">
        <v>571</v>
      </c>
      <c r="G456" s="183"/>
      <c r="AA456" s="11"/>
      <c r="AB456" s="180"/>
      <c r="AC456" s="180"/>
      <c r="AD456" s="810"/>
      <c r="AE456" s="791" t="s">
        <v>430</v>
      </c>
      <c r="AF456" s="791" t="s">
        <v>571</v>
      </c>
      <c r="AG456" s="183"/>
    </row>
    <row r="457" spans="1:37" ht="14.5" thickBot="1" x14ac:dyDescent="0.35"/>
    <row r="458" spans="1:37" x14ac:dyDescent="0.3">
      <c r="K458" s="160" t="s">
        <v>599</v>
      </c>
      <c r="L458" s="287"/>
      <c r="M458" s="287"/>
      <c r="N458" s="287"/>
      <c r="O458" s="287"/>
      <c r="P458" s="287"/>
      <c r="Q458" s="287"/>
      <c r="R458" s="287"/>
      <c r="S458" s="287"/>
      <c r="T458" s="288"/>
    </row>
    <row r="459" spans="1:37" ht="14.5" thickBot="1" x14ac:dyDescent="0.35">
      <c r="K459" s="295" t="str">
        <f>IF(AND(K386&lt;&gt;"- - -",K392&lt;&gt;"- - -",K403&lt;&gt;"- - -",K415&lt;&gt;"- - -",K425&lt;&gt;"- - -",K433&lt;&gt;"- - -",K439&lt;&gt;"- - -",K446&lt;&gt;"- - -",K452&lt;&gt;"- - -"),"OK","FEHLER")</f>
        <v>OK</v>
      </c>
      <c r="L459" s="296"/>
      <c r="M459" s="296"/>
      <c r="N459" s="296"/>
      <c r="O459" s="296"/>
      <c r="P459" s="296"/>
      <c r="Q459" s="296"/>
      <c r="R459" s="296"/>
      <c r="S459" s="296"/>
      <c r="T459" s="297"/>
    </row>
    <row r="461" spans="1:37" s="154" customFormat="1" x14ac:dyDescent="0.3">
      <c r="A461" s="154" t="s">
        <v>402</v>
      </c>
      <c r="AA461" s="154" t="s">
        <v>884</v>
      </c>
      <c r="AD461" s="806"/>
    </row>
    <row r="462" spans="1:37" ht="14.5" thickBot="1" x14ac:dyDescent="0.35"/>
    <row r="463" spans="1:37" x14ac:dyDescent="0.3">
      <c r="A463" s="160" t="s">
        <v>439</v>
      </c>
      <c r="B463" s="184"/>
      <c r="C463" s="184"/>
      <c r="D463" s="184"/>
      <c r="E463" s="287" t="s">
        <v>495</v>
      </c>
      <c r="F463" s="288">
        <v>2</v>
      </c>
      <c r="K463" s="291" t="s">
        <v>439</v>
      </c>
      <c r="L463" s="162"/>
      <c r="M463" s="162"/>
      <c r="N463" s="162"/>
      <c r="O463" s="162"/>
      <c r="P463" s="162"/>
      <c r="Q463" s="162"/>
      <c r="R463" s="162"/>
      <c r="S463" s="162"/>
      <c r="T463" s="173"/>
      <c r="AA463" s="160" t="s">
        <v>439</v>
      </c>
      <c r="AB463" s="184"/>
      <c r="AC463" s="184"/>
      <c r="AD463" s="813"/>
      <c r="AE463" s="184"/>
      <c r="AF463" s="191"/>
      <c r="AK463" s="291" t="s">
        <v>439</v>
      </c>
    </row>
    <row r="464" spans="1:37" ht="14.5" thickBot="1" x14ac:dyDescent="0.35">
      <c r="A464" s="185"/>
      <c r="B464" s="186"/>
      <c r="C464" s="186"/>
      <c r="D464" s="186"/>
      <c r="E464" s="186"/>
      <c r="F464" s="187" t="s">
        <v>385</v>
      </c>
      <c r="K464" s="292" t="str">
        <f>CHOOSE(F463,A465,A466,A467,A468,A469,A470,A471,A472,A473,A474,A475,A476,A477,A478,A479,A480,A481,A482)</f>
        <v>Wasserheizung; freie Heizflächen; Anordnung Außenwandbereich; Xp=2K</v>
      </c>
      <c r="L464" s="293"/>
      <c r="M464" s="293"/>
      <c r="N464" s="293"/>
      <c r="O464" s="293"/>
      <c r="P464" s="293"/>
      <c r="Q464" s="293"/>
      <c r="R464" s="293"/>
      <c r="S464" s="293"/>
      <c r="T464" s="294"/>
      <c r="AA464" s="185"/>
      <c r="AB464" s="186"/>
      <c r="AC464" s="186"/>
      <c r="AD464" s="495"/>
      <c r="AE464" s="186"/>
      <c r="AF464" s="187"/>
      <c r="AK464" s="292" t="str">
        <f>AA466</f>
        <v>Wasserheizung; freie Heizflächen; Anordnung Außenwandbereich; Xp=1K</v>
      </c>
    </row>
    <row r="465" spans="1:32" x14ac:dyDescent="0.3">
      <c r="A465" s="185" t="s">
        <v>91</v>
      </c>
      <c r="B465" s="186"/>
      <c r="C465" s="186"/>
      <c r="D465" s="186"/>
      <c r="E465" s="186"/>
      <c r="F465" s="729">
        <v>0</v>
      </c>
      <c r="AA465" s="185"/>
      <c r="AB465" s="186"/>
      <c r="AC465" s="186"/>
      <c r="AD465" s="495"/>
      <c r="AE465" s="186"/>
      <c r="AF465" s="187"/>
    </row>
    <row r="466" spans="1:32" x14ac:dyDescent="0.3">
      <c r="A466" s="185" t="s">
        <v>703</v>
      </c>
      <c r="B466" s="186"/>
      <c r="C466" s="186"/>
      <c r="D466" s="186"/>
      <c r="E466" s="186"/>
      <c r="F466" s="187">
        <v>3.3</v>
      </c>
      <c r="AA466" s="185" t="s">
        <v>691</v>
      </c>
      <c r="AB466" s="186"/>
      <c r="AC466" s="186"/>
      <c r="AD466" s="495"/>
      <c r="AE466" s="186"/>
      <c r="AF466" s="187"/>
    </row>
    <row r="467" spans="1:32" x14ac:dyDescent="0.3">
      <c r="A467" s="185" t="s">
        <v>691</v>
      </c>
      <c r="B467" s="186"/>
      <c r="C467" s="186"/>
      <c r="D467" s="186"/>
      <c r="E467" s="186"/>
      <c r="F467" s="187">
        <v>1.1000000000000001</v>
      </c>
      <c r="AA467" s="185"/>
      <c r="AB467" s="186"/>
      <c r="AC467" s="186"/>
      <c r="AD467" s="495"/>
      <c r="AE467" s="186"/>
      <c r="AF467" s="187"/>
    </row>
    <row r="468" spans="1:32" x14ac:dyDescent="0.3">
      <c r="A468" s="185" t="s">
        <v>692</v>
      </c>
      <c r="B468" s="186"/>
      <c r="C468" s="186"/>
      <c r="D468" s="186"/>
      <c r="E468" s="186"/>
      <c r="F468" s="187">
        <v>0.7</v>
      </c>
      <c r="AA468" s="185"/>
      <c r="AB468" s="186"/>
      <c r="AC468" s="186"/>
      <c r="AD468" s="495"/>
      <c r="AE468" s="186"/>
      <c r="AF468" s="187"/>
    </row>
    <row r="469" spans="1:32" x14ac:dyDescent="0.3">
      <c r="A469" s="185" t="s">
        <v>693</v>
      </c>
      <c r="B469" s="186"/>
      <c r="C469" s="186"/>
      <c r="D469" s="186"/>
      <c r="E469" s="186"/>
      <c r="F469" s="187">
        <v>0.4</v>
      </c>
      <c r="AA469" s="185"/>
      <c r="AB469" s="186"/>
      <c r="AC469" s="186"/>
      <c r="AD469" s="495"/>
      <c r="AE469" s="186"/>
      <c r="AF469" s="187"/>
    </row>
    <row r="470" spans="1:32" x14ac:dyDescent="0.3">
      <c r="A470" s="185" t="s">
        <v>694</v>
      </c>
      <c r="B470" s="186"/>
      <c r="C470" s="186"/>
      <c r="D470" s="186"/>
      <c r="E470" s="186"/>
      <c r="F470" s="187">
        <v>4.4000000000000004</v>
      </c>
      <c r="AA470" s="185"/>
      <c r="AB470" s="186"/>
      <c r="AC470" s="186"/>
      <c r="AD470" s="495"/>
      <c r="AE470" s="186"/>
      <c r="AF470" s="187"/>
    </row>
    <row r="471" spans="1:32" x14ac:dyDescent="0.3">
      <c r="A471" s="185" t="s">
        <v>695</v>
      </c>
      <c r="B471" s="186"/>
      <c r="C471" s="186"/>
      <c r="D471" s="186"/>
      <c r="E471" s="186"/>
      <c r="F471" s="187">
        <v>2.2000000000000002</v>
      </c>
      <c r="AA471" s="185"/>
      <c r="AB471" s="186"/>
      <c r="AC471" s="186"/>
      <c r="AD471" s="495"/>
      <c r="AE471" s="186"/>
      <c r="AF471" s="187"/>
    </row>
    <row r="472" spans="1:32" x14ac:dyDescent="0.3">
      <c r="A472" s="185" t="s">
        <v>696</v>
      </c>
      <c r="B472" s="186"/>
      <c r="C472" s="186"/>
      <c r="D472" s="186"/>
      <c r="E472" s="186"/>
      <c r="F472" s="187">
        <v>1.8</v>
      </c>
      <c r="AA472" s="185"/>
      <c r="AB472" s="186"/>
      <c r="AC472" s="186"/>
      <c r="AD472" s="495"/>
      <c r="AE472" s="186"/>
      <c r="AF472" s="187"/>
    </row>
    <row r="473" spans="1:32" x14ac:dyDescent="0.3">
      <c r="A473" s="185" t="s">
        <v>697</v>
      </c>
      <c r="B473" s="186"/>
      <c r="C473" s="186"/>
      <c r="D473" s="186"/>
      <c r="E473" s="186"/>
      <c r="F473" s="187">
        <v>1.5</v>
      </c>
      <c r="AA473" s="185"/>
      <c r="AB473" s="186"/>
      <c r="AC473" s="186"/>
      <c r="AD473" s="495"/>
      <c r="AE473" s="186"/>
      <c r="AF473" s="187"/>
    </row>
    <row r="474" spans="1:32" x14ac:dyDescent="0.3">
      <c r="A474" s="185" t="s">
        <v>698</v>
      </c>
      <c r="B474" s="186"/>
      <c r="C474" s="186"/>
      <c r="D474" s="186"/>
      <c r="E474" s="186"/>
      <c r="F474" s="187">
        <v>3.3</v>
      </c>
      <c r="AA474" s="185"/>
      <c r="AB474" s="186"/>
      <c r="AC474" s="186"/>
      <c r="AD474" s="495"/>
      <c r="AE474" s="186"/>
      <c r="AF474" s="187"/>
    </row>
    <row r="475" spans="1:32" x14ac:dyDescent="0.3">
      <c r="A475" s="185" t="s">
        <v>347</v>
      </c>
      <c r="B475" s="186"/>
      <c r="C475" s="186"/>
      <c r="D475" s="186"/>
      <c r="E475" s="186"/>
      <c r="F475" s="187">
        <v>1.1000000000000001</v>
      </c>
      <c r="AA475" s="185"/>
      <c r="AB475" s="186"/>
      <c r="AC475" s="186"/>
      <c r="AD475" s="495"/>
      <c r="AE475" s="186"/>
      <c r="AF475" s="187"/>
    </row>
    <row r="476" spans="1:32" x14ac:dyDescent="0.3">
      <c r="A476" s="185" t="s">
        <v>213</v>
      </c>
      <c r="B476" s="186"/>
      <c r="C476" s="186"/>
      <c r="D476" s="186"/>
      <c r="E476" s="186"/>
      <c r="F476" s="187">
        <v>0.7</v>
      </c>
      <c r="AA476" s="185"/>
      <c r="AB476" s="186"/>
      <c r="AC476" s="186"/>
      <c r="AD476" s="495"/>
      <c r="AE476" s="186"/>
      <c r="AF476" s="187"/>
    </row>
    <row r="477" spans="1:32" x14ac:dyDescent="0.3">
      <c r="A477" s="185" t="s">
        <v>214</v>
      </c>
      <c r="B477" s="186"/>
      <c r="C477" s="186"/>
      <c r="D477" s="186"/>
      <c r="E477" s="186"/>
      <c r="F477" s="187">
        <v>0.4</v>
      </c>
      <c r="AA477" s="185"/>
      <c r="AB477" s="186"/>
      <c r="AC477" s="186"/>
      <c r="AD477" s="495"/>
      <c r="AE477" s="186"/>
      <c r="AF477" s="187"/>
    </row>
    <row r="478" spans="1:32" x14ac:dyDescent="0.3">
      <c r="A478" s="185" t="s">
        <v>699</v>
      </c>
      <c r="B478" s="186"/>
      <c r="C478" s="186"/>
      <c r="D478" s="186"/>
      <c r="E478" s="186"/>
      <c r="F478" s="187">
        <v>0.7</v>
      </c>
      <c r="AA478" s="185"/>
      <c r="AB478" s="186"/>
      <c r="AC478" s="186"/>
      <c r="AD478" s="495"/>
      <c r="AE478" s="186"/>
      <c r="AF478" s="187"/>
    </row>
    <row r="479" spans="1:32" x14ac:dyDescent="0.3">
      <c r="A479" s="185" t="s">
        <v>700</v>
      </c>
      <c r="B479" s="186"/>
      <c r="C479" s="186"/>
      <c r="D479" s="186"/>
      <c r="E479" s="186"/>
      <c r="F479" s="187">
        <v>4.4000000000000004</v>
      </c>
      <c r="AA479" s="185"/>
      <c r="AB479" s="186"/>
      <c r="AC479" s="186"/>
      <c r="AD479" s="495"/>
      <c r="AE479" s="186"/>
      <c r="AF479" s="187"/>
    </row>
    <row r="480" spans="1:32" x14ac:dyDescent="0.3">
      <c r="A480" s="185" t="s">
        <v>701</v>
      </c>
      <c r="B480" s="186"/>
      <c r="C480" s="186"/>
      <c r="D480" s="186"/>
      <c r="E480" s="186"/>
      <c r="F480" s="187">
        <v>1.8</v>
      </c>
      <c r="AA480" s="185"/>
      <c r="AB480" s="186"/>
      <c r="AC480" s="186"/>
      <c r="AD480" s="495"/>
      <c r="AE480" s="186"/>
      <c r="AF480" s="187"/>
    </row>
    <row r="481" spans="1:37" x14ac:dyDescent="0.3">
      <c r="A481" s="185" t="s">
        <v>702</v>
      </c>
      <c r="B481" s="186"/>
      <c r="C481" s="186"/>
      <c r="D481" s="186"/>
      <c r="E481" s="186"/>
      <c r="F481" s="187">
        <v>5.5</v>
      </c>
      <c r="AA481" s="185"/>
      <c r="AB481" s="186"/>
      <c r="AC481" s="186"/>
      <c r="AD481" s="495"/>
      <c r="AE481" s="186"/>
      <c r="AF481" s="187"/>
    </row>
    <row r="482" spans="1:37" x14ac:dyDescent="0.3">
      <c r="A482" s="186" t="s">
        <v>319</v>
      </c>
      <c r="B482" s="186"/>
      <c r="C482" s="186"/>
      <c r="D482" s="186"/>
      <c r="E482" s="186"/>
      <c r="F482" s="187">
        <v>9.6</v>
      </c>
      <c r="AA482" s="185"/>
      <c r="AB482" s="186"/>
      <c r="AC482" s="186"/>
      <c r="AD482" s="495"/>
      <c r="AE482" s="186"/>
      <c r="AF482" s="187"/>
    </row>
    <row r="483" spans="1:37" ht="14.5" thickBot="1" x14ac:dyDescent="0.35">
      <c r="A483" s="188"/>
      <c r="B483" s="189"/>
      <c r="C483" s="189"/>
      <c r="D483" s="189"/>
      <c r="E483" s="169" t="s">
        <v>387</v>
      </c>
      <c r="F483" s="170">
        <f>ROUND(CHOOSE(F463,F465,F466,F467,F468,F469,F470,F471,F472,F473,F474,F475,F476,F477,F478,F479,F480,F481,F482),2)</f>
        <v>3.3</v>
      </c>
      <c r="AA483" s="188"/>
      <c r="AB483" s="189"/>
      <c r="AC483" s="189"/>
      <c r="AD483" s="814"/>
      <c r="AE483" s="765" t="s">
        <v>387</v>
      </c>
      <c r="AF483" s="768">
        <f>F467</f>
        <v>1.1000000000000001</v>
      </c>
    </row>
    <row r="484" spans="1:37" ht="14.5" thickBot="1" x14ac:dyDescent="0.35">
      <c r="A484" s="633"/>
    </row>
    <row r="485" spans="1:37" x14ac:dyDescent="0.3">
      <c r="A485" s="160" t="s">
        <v>614</v>
      </c>
      <c r="B485" s="287" t="s">
        <v>495</v>
      </c>
      <c r="C485" s="288">
        <v>1</v>
      </c>
      <c r="K485" s="291" t="s">
        <v>614</v>
      </c>
      <c r="L485" s="162"/>
      <c r="M485" s="162"/>
      <c r="N485" s="162"/>
      <c r="O485" s="162"/>
      <c r="P485" s="162"/>
      <c r="Q485" s="162"/>
      <c r="R485" s="162"/>
      <c r="S485" s="162"/>
      <c r="T485" s="173"/>
      <c r="AA485" s="160" t="s">
        <v>614</v>
      </c>
      <c r="AB485" s="184"/>
      <c r="AC485" s="191"/>
      <c r="AK485" s="291" t="s">
        <v>614</v>
      </c>
    </row>
    <row r="486" spans="1:37" ht="14.5" thickBot="1" x14ac:dyDescent="0.35">
      <c r="A486" s="185" t="str">
        <f>IF(OR(F463=1,F463=12,F463=13,F463=14,F463=15,F463=16,F463=17,F463=10,F463=11,F463=18),"- - -","90/70°C")</f>
        <v>90/70°C</v>
      </c>
      <c r="B486" s="186"/>
      <c r="C486" s="187">
        <v>1</v>
      </c>
      <c r="K486" s="292" t="str">
        <f>CHOOSE(C485,A486,A487,A488,A489,A490)</f>
        <v>90/70°C</v>
      </c>
      <c r="L486" s="293"/>
      <c r="M486" s="293"/>
      <c r="N486" s="293"/>
      <c r="O486" s="293"/>
      <c r="P486" s="293"/>
      <c r="Q486" s="293"/>
      <c r="R486" s="293"/>
      <c r="S486" s="293"/>
      <c r="T486" s="294"/>
      <c r="AA486" s="185"/>
      <c r="AB486" s="186"/>
      <c r="AC486" s="187"/>
      <c r="AK486" s="292" t="str">
        <f>AA487</f>
        <v>55/45°C</v>
      </c>
    </row>
    <row r="487" spans="1:37" x14ac:dyDescent="0.3">
      <c r="A487" s="185" t="str">
        <f>IF(OR(F463=1,F463=12,F463=13,F463=14,F463=15,F463=16,F463=17,F463=10,F463=11,F463=18),"- - -","70/55°C")</f>
        <v>70/55°C</v>
      </c>
      <c r="B487" s="186"/>
      <c r="C487" s="187">
        <v>2</v>
      </c>
      <c r="AA487" s="185" t="s">
        <v>881</v>
      </c>
      <c r="AB487" s="186"/>
      <c r="AC487" s="187"/>
    </row>
    <row r="488" spans="1:37" x14ac:dyDescent="0.3">
      <c r="A488" s="185" t="str">
        <f>IF(OR(F463=1,F463=12,F463=13,F463=14,F463=15,F463=16,F463=17,F463=10,F463=11,F463=18),"- - -","55/45°C")</f>
        <v>55/45°C</v>
      </c>
      <c r="B488" s="186"/>
      <c r="C488" s="187">
        <v>3</v>
      </c>
      <c r="AA488" s="185"/>
      <c r="AB488" s="186"/>
      <c r="AC488" s="187"/>
    </row>
    <row r="489" spans="1:37" x14ac:dyDescent="0.3">
      <c r="A489" s="185" t="str">
        <f>IF(OR(F463=1,F463=14,F463=15,F463=16,F463=17,F463=2,F463=3,F463=4,F463=5,F463=6,F463=7,F463=8,F463=9,F463=18),"- - -","35/28°C")</f>
        <v>- - -</v>
      </c>
      <c r="B489" s="186"/>
      <c r="C489" s="187">
        <v>4</v>
      </c>
      <c r="AA489" s="185"/>
      <c r="AB489" s="186"/>
      <c r="AC489" s="187"/>
    </row>
    <row r="490" spans="1:37" ht="14.5" thickBot="1" x14ac:dyDescent="0.35">
      <c r="A490" s="188" t="str">
        <f>IF(OR(F463=12,F463=13,F463=14,F463=15,F463=16,F463=17,F463=1,F463=18),"keine Wasserheizung vorhanden","- - -")</f>
        <v>- - -</v>
      </c>
      <c r="B490" s="189"/>
      <c r="C490" s="190">
        <v>5</v>
      </c>
      <c r="AA490" s="188"/>
      <c r="AB490" s="189"/>
      <c r="AC490" s="190"/>
    </row>
    <row r="491" spans="1:37" ht="14.5" thickBot="1" x14ac:dyDescent="0.35"/>
    <row r="492" spans="1:37" x14ac:dyDescent="0.3">
      <c r="A492" s="160" t="s">
        <v>367</v>
      </c>
      <c r="B492" s="184"/>
      <c r="C492" s="184"/>
      <c r="D492" s="184"/>
      <c r="E492" s="184"/>
      <c r="F492" s="184"/>
      <c r="G492" s="184"/>
      <c r="H492" s="191"/>
      <c r="K492" s="291" t="s">
        <v>367</v>
      </c>
      <c r="L492" s="162"/>
      <c r="M492" s="162"/>
      <c r="N492" s="162"/>
      <c r="O492" s="162"/>
      <c r="P492" s="162"/>
      <c r="Q492" s="162"/>
      <c r="R492" s="162"/>
      <c r="S492" s="162"/>
      <c r="T492" s="173"/>
      <c r="AA492" s="160" t="s">
        <v>367</v>
      </c>
      <c r="AB492" s="184"/>
      <c r="AC492" s="184"/>
      <c r="AD492" s="813"/>
      <c r="AE492" s="184"/>
      <c r="AF492" s="184"/>
      <c r="AG492" s="184"/>
      <c r="AH492" s="191"/>
      <c r="AK492" s="291" t="s">
        <v>367</v>
      </c>
    </row>
    <row r="493" spans="1:37" ht="14.5" thickBot="1" x14ac:dyDescent="0.35">
      <c r="A493" s="185"/>
      <c r="B493" s="186"/>
      <c r="C493" s="186"/>
      <c r="D493" s="186"/>
      <c r="E493" s="289" t="s">
        <v>495</v>
      </c>
      <c r="F493" s="289">
        <v>3</v>
      </c>
      <c r="G493" s="186"/>
      <c r="H493" s="187"/>
      <c r="K493" s="292" t="str">
        <f>CHOOSE(F493,A495,A496,A497,A498,A499,A500)</f>
        <v>Verteilung im unbeheizten Keller; Steigestränge außenliegend</v>
      </c>
      <c r="L493" s="293"/>
      <c r="M493" s="293"/>
      <c r="N493" s="293"/>
      <c r="O493" s="293"/>
      <c r="P493" s="293"/>
      <c r="Q493" s="293"/>
      <c r="R493" s="293"/>
      <c r="S493" s="293"/>
      <c r="T493" s="294"/>
      <c r="AA493" s="185"/>
      <c r="AB493" s="186"/>
      <c r="AC493" s="186"/>
      <c r="AD493" s="495"/>
      <c r="AE493" s="186"/>
      <c r="AF493" s="186"/>
      <c r="AG493" s="186"/>
      <c r="AH493" s="187"/>
      <c r="AK493" s="292" t="str">
        <f>AC495</f>
        <v>Verteilung im beheizten Bereich; Steigestränge innenliegend</v>
      </c>
    </row>
    <row r="494" spans="1:37" x14ac:dyDescent="0.3">
      <c r="A494" s="185"/>
      <c r="B494" s="186"/>
      <c r="C494" s="186"/>
      <c r="D494" s="186"/>
      <c r="E494" s="186"/>
      <c r="F494" s="186" t="s">
        <v>387</v>
      </c>
      <c r="G494" s="186" t="s">
        <v>556</v>
      </c>
      <c r="H494" s="187" t="s">
        <v>557</v>
      </c>
      <c r="AA494" s="185"/>
      <c r="AB494" s="186"/>
      <c r="AC494" s="186"/>
      <c r="AD494" s="495"/>
      <c r="AE494" s="186"/>
      <c r="AF494" s="186"/>
      <c r="AG494" s="186"/>
      <c r="AH494" s="187"/>
    </row>
    <row r="495" spans="1:37" x14ac:dyDescent="0.3">
      <c r="A495" s="185" t="str">
        <f>IF(,"- - -","keine Wasserheizung vorhanden")</f>
        <v>keine Wasserheizung vorhanden</v>
      </c>
      <c r="B495" s="186"/>
      <c r="C495" s="186"/>
      <c r="D495" s="186"/>
      <c r="E495" s="186"/>
      <c r="F495" s="730">
        <v>0</v>
      </c>
      <c r="G495" s="730">
        <v>0</v>
      </c>
      <c r="H495" s="731">
        <v>0</v>
      </c>
      <c r="AA495" s="185"/>
      <c r="AB495" s="186"/>
      <c r="AC495" s="186" t="s">
        <v>52</v>
      </c>
      <c r="AD495" s="495"/>
      <c r="AE495" s="186"/>
      <c r="AF495" s="759">
        <f>'H-01'!F41</f>
        <v>1.4790170260493862</v>
      </c>
      <c r="AG495" s="186"/>
      <c r="AH495" s="187"/>
    </row>
    <row r="496" spans="1:37" x14ac:dyDescent="0.3">
      <c r="A496" s="185" t="str">
        <f>IF(F463=18,"- - -","dezentrales System")</f>
        <v>dezentrales System</v>
      </c>
      <c r="B496" s="186"/>
      <c r="C496" s="186"/>
      <c r="D496" s="186"/>
      <c r="E496" s="186"/>
      <c r="F496" s="730">
        <v>0</v>
      </c>
      <c r="G496" s="730">
        <v>0</v>
      </c>
      <c r="H496" s="731">
        <v>0</v>
      </c>
      <c r="AA496" s="185"/>
      <c r="AB496" s="186"/>
      <c r="AC496" s="186"/>
      <c r="AD496" s="495"/>
      <c r="AE496" s="186"/>
      <c r="AF496" s="759"/>
      <c r="AG496" s="186"/>
      <c r="AH496" s="187"/>
    </row>
    <row r="497" spans="1:37" x14ac:dyDescent="0.3">
      <c r="A497" s="185" t="str">
        <f>IF(OR(F463=1,F463=14,F463=15,F463=16,F463=17,F463=18),"- - -","Verteilung im unbeheizten Keller; Steigestränge außenliegend")</f>
        <v>Verteilung im unbeheizten Keller; Steigestränge außenliegend</v>
      </c>
      <c r="B497" s="186"/>
      <c r="C497" s="186"/>
      <c r="D497" s="186"/>
      <c r="E497" s="186"/>
      <c r="F497" s="730">
        <f>'H-01'!I51</f>
        <v>7.6255179347368927</v>
      </c>
      <c r="G497" s="730">
        <f>'H-01'!D63</f>
        <v>0.5780299065420561</v>
      </c>
      <c r="H497" s="731">
        <f>'H-01'!E63</f>
        <v>0.773115</v>
      </c>
      <c r="AA497" s="185"/>
      <c r="AB497" s="186"/>
      <c r="AC497" s="186"/>
      <c r="AD497" s="495"/>
      <c r="AE497" s="186"/>
      <c r="AF497" s="186"/>
      <c r="AG497" s="186"/>
      <c r="AH497" s="187"/>
    </row>
    <row r="498" spans="1:37" x14ac:dyDescent="0.3">
      <c r="A498" s="185" t="str">
        <f>IF(OR(F463=1,F463=14,F463=15,F463=16,F463=17,F463=18),"- - -","Verteilung im unbeheizten Keller; Steigestränge innenliegend")</f>
        <v>Verteilung im unbeheizten Keller; Steigestränge innenliegend</v>
      </c>
      <c r="B498" s="186"/>
      <c r="C498" s="186"/>
      <c r="D498" s="186"/>
      <c r="E498" s="186"/>
      <c r="F498" s="730">
        <f>'H-01'!L51</f>
        <v>6.5430537098833383</v>
      </c>
      <c r="G498" s="730">
        <f>'H-01'!D63</f>
        <v>0.5780299065420561</v>
      </c>
      <c r="H498" s="731">
        <f>'H-01'!E63</f>
        <v>0.773115</v>
      </c>
      <c r="AA498" s="185"/>
      <c r="AB498" s="186"/>
      <c r="AC498" s="186"/>
      <c r="AD498" s="495"/>
      <c r="AE498" s="186"/>
      <c r="AF498" s="186"/>
      <c r="AG498" s="186"/>
      <c r="AH498" s="187"/>
    </row>
    <row r="499" spans="1:37" x14ac:dyDescent="0.3">
      <c r="A499" s="185" t="str">
        <f>IF(OR(F463=1,F463=14,F463=15,F463=16,F463=17,F463=18),"- - -","Verteilung im beheizten Bereich; Steigestränge außenliegend")</f>
        <v>Verteilung im beheizten Bereich; Steigestränge außenliegend</v>
      </c>
      <c r="B499" s="186"/>
      <c r="C499" s="186"/>
      <c r="D499" s="186"/>
      <c r="E499" s="186"/>
      <c r="F499" s="730">
        <f>'H-01'!C51</f>
        <v>3.1316200538520134</v>
      </c>
      <c r="G499" s="730">
        <f>'H-01'!D63</f>
        <v>0.5780299065420561</v>
      </c>
      <c r="H499" s="731">
        <f>'H-01'!E63</f>
        <v>0.773115</v>
      </c>
      <c r="AA499" s="185"/>
      <c r="AB499" s="186"/>
      <c r="AC499" s="186"/>
      <c r="AD499" s="495"/>
      <c r="AE499" s="186"/>
      <c r="AF499" s="186"/>
      <c r="AG499" s="186"/>
      <c r="AH499" s="187"/>
    </row>
    <row r="500" spans="1:37" x14ac:dyDescent="0.3">
      <c r="A500" s="185" t="str">
        <f>IF(OR(F463=1,F463=14,F463=15,F463=16,F463=17,F463=18),"- - -","Verteilung im beheizten Bereich; Steigestränge innenliegend")</f>
        <v>Verteilung im beheizten Bereich; Steigestränge innenliegend</v>
      </c>
      <c r="B500" s="186"/>
      <c r="C500" s="186"/>
      <c r="D500" s="186"/>
      <c r="E500" s="186"/>
      <c r="F500" s="730">
        <f>'H-01'!F51</f>
        <v>2.9580340520987716</v>
      </c>
      <c r="G500" s="730">
        <f>'H-01'!D63</f>
        <v>0.5780299065420561</v>
      </c>
      <c r="H500" s="731">
        <f>'H-01'!E63</f>
        <v>0.773115</v>
      </c>
      <c r="AA500" s="185"/>
      <c r="AB500" s="186"/>
      <c r="AC500" s="186"/>
      <c r="AD500" s="495"/>
      <c r="AE500" s="186"/>
      <c r="AF500" s="186"/>
      <c r="AG500" s="186"/>
      <c r="AH500" s="187"/>
    </row>
    <row r="501" spans="1:37" x14ac:dyDescent="0.3">
      <c r="A501" s="185"/>
      <c r="B501" s="186"/>
      <c r="C501" s="186"/>
      <c r="D501" s="186"/>
      <c r="E501" s="171" t="s">
        <v>387</v>
      </c>
      <c r="F501" s="717">
        <f>ROUND(CHOOSE(F493,F495,F496,F497,F498,F499,F500),2)</f>
        <v>7.63</v>
      </c>
      <c r="G501" s="730">
        <f>ROUND(CHOOSE(F493,G495,G496,G497,G498,G499,G500),2)</f>
        <v>0.57999999999999996</v>
      </c>
      <c r="H501" s="731">
        <f>ROUND(CHOOSE(F493,H495,H496,H497,H498,H499,H500),2)</f>
        <v>0.77</v>
      </c>
      <c r="AA501" s="185"/>
      <c r="AB501" s="186"/>
      <c r="AC501" s="186"/>
      <c r="AD501" s="495"/>
      <c r="AE501" s="766" t="s">
        <v>387</v>
      </c>
      <c r="AF501" s="785">
        <f>ROUND(AF495,2)</f>
        <v>1.48</v>
      </c>
      <c r="AG501" s="730"/>
      <c r="AH501" s="731"/>
    </row>
    <row r="502" spans="1:37" ht="14.5" thickBot="1" x14ac:dyDescent="0.35">
      <c r="A502" s="188"/>
      <c r="B502" s="189"/>
      <c r="C502" s="189"/>
      <c r="D502" s="189"/>
      <c r="E502" s="189"/>
      <c r="F502" s="189"/>
      <c r="G502" s="189" t="s">
        <v>556</v>
      </c>
      <c r="H502" s="190" t="s">
        <v>557</v>
      </c>
      <c r="AA502" s="188"/>
      <c r="AB502" s="189"/>
      <c r="AC502" s="189"/>
      <c r="AD502" s="814"/>
      <c r="AE502" s="189"/>
      <c r="AF502" s="189"/>
      <c r="AG502" s="189"/>
      <c r="AH502" s="190"/>
    </row>
    <row r="503" spans="1:37" ht="14.5" thickBot="1" x14ac:dyDescent="0.35"/>
    <row r="504" spans="1:37" x14ac:dyDescent="0.3">
      <c r="A504" s="160" t="s">
        <v>400</v>
      </c>
      <c r="B504" s="184"/>
      <c r="C504" s="184"/>
      <c r="D504" s="184"/>
      <c r="E504" s="287" t="s">
        <v>555</v>
      </c>
      <c r="F504" s="288">
        <v>3</v>
      </c>
      <c r="K504" s="291" t="s">
        <v>622</v>
      </c>
      <c r="L504" s="162"/>
      <c r="M504" s="162"/>
      <c r="N504" s="162"/>
      <c r="O504" s="162"/>
      <c r="P504" s="162"/>
      <c r="Q504" s="162"/>
      <c r="R504" s="162"/>
      <c r="S504" s="162"/>
      <c r="T504" s="173"/>
      <c r="AA504" s="160" t="s">
        <v>400</v>
      </c>
      <c r="AB504" s="184"/>
      <c r="AC504" s="184"/>
      <c r="AD504" s="813"/>
      <c r="AE504" s="184"/>
      <c r="AF504" s="191"/>
      <c r="AK504" s="291" t="s">
        <v>622</v>
      </c>
    </row>
    <row r="505" spans="1:37" ht="14.5" thickBot="1" x14ac:dyDescent="0.35">
      <c r="A505" s="185" t="str">
        <f>IF(OR(F493=3,F493=4,F493=5,F493=6),"- - -","keine Umwälzpumpe vorhanden")</f>
        <v>- - -</v>
      </c>
      <c r="B505" s="186"/>
      <c r="C505" s="186"/>
      <c r="D505" s="186"/>
      <c r="E505" s="186"/>
      <c r="F505" s="187"/>
      <c r="K505" s="292" t="str">
        <f>CHOOSE(F504,A505,A506,A507)</f>
        <v>ungeregelte Pumpe</v>
      </c>
      <c r="L505" s="293"/>
      <c r="M505" s="293"/>
      <c r="N505" s="293"/>
      <c r="O505" s="293"/>
      <c r="P505" s="293"/>
      <c r="Q505" s="293"/>
      <c r="R505" s="293"/>
      <c r="S505" s="293"/>
      <c r="T505" s="294"/>
      <c r="AA505" s="185"/>
      <c r="AB505" s="186"/>
      <c r="AC505" s="186"/>
      <c r="AD505" s="495"/>
      <c r="AE505" s="186"/>
      <c r="AF505" s="187"/>
      <c r="AK505" s="292" t="str">
        <f>AA506</f>
        <v>geregelte Pumpe</v>
      </c>
    </row>
    <row r="506" spans="1:37" x14ac:dyDescent="0.3">
      <c r="A506" s="185" t="str">
        <f>IF(OR(F463=1,F493=2,F463=18),"- - -","geregelte Pumpe")</f>
        <v>geregelte Pumpe</v>
      </c>
      <c r="B506" s="186"/>
      <c r="C506" s="186"/>
      <c r="D506" s="186"/>
      <c r="E506" s="186"/>
      <c r="F506" s="187"/>
      <c r="AA506" s="185" t="s">
        <v>53</v>
      </c>
      <c r="AB506" s="186"/>
      <c r="AC506" s="186"/>
      <c r="AD506" s="495"/>
      <c r="AE506" s="186"/>
      <c r="AF506" s="187"/>
    </row>
    <row r="507" spans="1:37" x14ac:dyDescent="0.3">
      <c r="A507" s="185" t="str">
        <f>IF(OR(F463=1,F493=2,F463=18),"- - -","ungeregelte Pumpe")</f>
        <v>ungeregelte Pumpe</v>
      </c>
      <c r="B507" s="186"/>
      <c r="C507" s="186"/>
      <c r="D507" s="186"/>
      <c r="E507" s="186"/>
      <c r="F507" s="187"/>
      <c r="AA507" s="185"/>
      <c r="AB507" s="186"/>
      <c r="AC507" s="186"/>
      <c r="AD507" s="495"/>
      <c r="AE507" s="186"/>
      <c r="AF507" s="187"/>
    </row>
    <row r="508" spans="1:37" ht="14.5" thickBot="1" x14ac:dyDescent="0.35">
      <c r="A508" s="188"/>
      <c r="B508" s="189"/>
      <c r="C508" s="189"/>
      <c r="D508" s="189"/>
      <c r="E508" s="169" t="s">
        <v>499</v>
      </c>
      <c r="F508" s="710">
        <f>ROUND(IF(F504=1,0,IF(F504=2,G501,IF(F504=3,H501))),2)</f>
        <v>0.77</v>
      </c>
      <c r="AA508" s="188"/>
      <c r="AB508" s="189"/>
      <c r="AC508" s="189"/>
      <c r="AD508" s="814"/>
      <c r="AE508" s="765" t="s">
        <v>499</v>
      </c>
      <c r="AF508" s="772">
        <f>ROUND('H-01'!D61,2)</f>
        <v>0.75</v>
      </c>
    </row>
    <row r="509" spans="1:37" ht="14.5" thickBot="1" x14ac:dyDescent="0.35"/>
    <row r="510" spans="1:37" x14ac:dyDescent="0.3">
      <c r="A510" s="160" t="s">
        <v>399</v>
      </c>
      <c r="B510" s="184"/>
      <c r="C510" s="184"/>
      <c r="D510" s="184"/>
      <c r="E510" s="287" t="s">
        <v>495</v>
      </c>
      <c r="F510" s="288">
        <v>1</v>
      </c>
      <c r="K510" s="291" t="s">
        <v>399</v>
      </c>
      <c r="L510" s="162"/>
      <c r="M510" s="162"/>
      <c r="N510" s="162"/>
      <c r="O510" s="162"/>
      <c r="P510" s="162"/>
      <c r="Q510" s="162"/>
      <c r="R510" s="162"/>
      <c r="S510" s="162"/>
      <c r="T510" s="173"/>
      <c r="AA510" s="160" t="s">
        <v>399</v>
      </c>
      <c r="AB510" s="184"/>
      <c r="AC510" s="184"/>
      <c r="AD510" s="813"/>
      <c r="AE510" s="184"/>
      <c r="AF510" s="191"/>
      <c r="AK510" s="291" t="s">
        <v>399</v>
      </c>
    </row>
    <row r="511" spans="1:37" ht="14.5" thickBot="1" x14ac:dyDescent="0.35">
      <c r="A511" s="185"/>
      <c r="B511" s="186"/>
      <c r="C511" s="186"/>
      <c r="D511" s="186"/>
      <c r="E511" s="186" t="s">
        <v>387</v>
      </c>
      <c r="F511" s="187"/>
      <c r="K511" s="292" t="str">
        <f>CHOOSE(F510,A512,A513,A514,A515,A516)</f>
        <v>kein Pufferspeicher vorhanden</v>
      </c>
      <c r="L511" s="293"/>
      <c r="M511" s="293"/>
      <c r="N511" s="293"/>
      <c r="O511" s="293"/>
      <c r="P511" s="293"/>
      <c r="Q511" s="293"/>
      <c r="R511" s="293"/>
      <c r="S511" s="293"/>
      <c r="T511" s="294"/>
      <c r="AA511" s="185"/>
      <c r="AB511" s="186"/>
      <c r="AC511" s="186"/>
      <c r="AD511" s="495"/>
      <c r="AE511" s="186"/>
      <c r="AF511" s="187"/>
      <c r="AK511" s="292" t="str">
        <f>AA512</f>
        <v>kein Pufferspeicher vorhanden</v>
      </c>
    </row>
    <row r="512" spans="1:37" x14ac:dyDescent="0.3">
      <c r="A512" s="185" t="s">
        <v>212</v>
      </c>
      <c r="B512" s="186"/>
      <c r="C512" s="186"/>
      <c r="D512" s="186"/>
      <c r="E512" s="730">
        <f>0</f>
        <v>0</v>
      </c>
      <c r="F512" s="731">
        <v>0</v>
      </c>
      <c r="AA512" s="185" t="s">
        <v>212</v>
      </c>
      <c r="AB512" s="186"/>
      <c r="AC512" s="186"/>
      <c r="AD512" s="495"/>
      <c r="AE512" s="186"/>
      <c r="AF512" s="187"/>
    </row>
    <row r="513" spans="1:37" x14ac:dyDescent="0.3">
      <c r="A513" s="185" t="str">
        <f>IF(OR(F463=1,C485=1,C485=2,F493=2,F463=18),"- - -","normaler Heizungspufferspeicher vorhanden; Aufstellung im beheizten Bereich")</f>
        <v>- - -</v>
      </c>
      <c r="B513" s="186"/>
      <c r="C513" s="186"/>
      <c r="D513" s="186"/>
      <c r="E513" s="730">
        <f>'H-02'!C17</f>
        <v>0</v>
      </c>
      <c r="F513" s="731">
        <f>'H-02'!B42</f>
        <v>0.22710599999999997</v>
      </c>
      <c r="AA513" s="185"/>
      <c r="AB513" s="186"/>
      <c r="AC513" s="186"/>
      <c r="AD513" s="495"/>
      <c r="AE513" s="186"/>
      <c r="AF513" s="187"/>
    </row>
    <row r="514" spans="1:37" x14ac:dyDescent="0.3">
      <c r="A514" s="185" t="str">
        <f>IF(OR(F463=1,C485=1,C485=2,F493=2,F463=18),"- - -","normaler Heizungspufferspeicher vorhanden; Aufstellung im unbeheizten Keller")</f>
        <v>- - -</v>
      </c>
      <c r="B514" s="186"/>
      <c r="C514" s="186"/>
      <c r="D514" s="186"/>
      <c r="E514" s="730">
        <f>'H-02'!D17</f>
        <v>0</v>
      </c>
      <c r="F514" s="731">
        <f>'H-02'!B42</f>
        <v>0.22710599999999997</v>
      </c>
      <c r="AA514" s="185"/>
      <c r="AB514" s="186"/>
      <c r="AC514" s="186"/>
      <c r="AD514" s="495"/>
      <c r="AE514" s="186"/>
      <c r="AF514" s="187"/>
    </row>
    <row r="515" spans="1:37" x14ac:dyDescent="0.3">
      <c r="A515" s="185" t="s">
        <v>337</v>
      </c>
      <c r="B515" s="186"/>
      <c r="C515" s="186"/>
      <c r="D515" s="186"/>
      <c r="E515" s="730">
        <f>'H-02'!C36</f>
        <v>0</v>
      </c>
      <c r="F515" s="731">
        <f>'H-02'!B42</f>
        <v>0.22710599999999997</v>
      </c>
      <c r="AA515" s="185"/>
      <c r="AB515" s="186"/>
      <c r="AC515" s="186"/>
      <c r="AD515" s="495"/>
      <c r="AE515" s="186"/>
      <c r="AF515" s="187"/>
    </row>
    <row r="516" spans="1:37" x14ac:dyDescent="0.3">
      <c r="A516" s="185" t="s">
        <v>338</v>
      </c>
      <c r="B516" s="186"/>
      <c r="C516" s="186"/>
      <c r="D516" s="186"/>
      <c r="E516" s="730">
        <f>'H-02'!D36</f>
        <v>0</v>
      </c>
      <c r="F516" s="731">
        <f>'H-02'!B42</f>
        <v>0.22710599999999997</v>
      </c>
      <c r="AA516" s="185"/>
      <c r="AB516" s="186"/>
      <c r="AC516" s="186"/>
      <c r="AD516" s="495"/>
      <c r="AE516" s="186"/>
      <c r="AF516" s="187"/>
    </row>
    <row r="517" spans="1:37" x14ac:dyDescent="0.3">
      <c r="A517" s="185"/>
      <c r="B517" s="186"/>
      <c r="C517" s="186"/>
      <c r="D517" s="186"/>
      <c r="E517" s="722">
        <f>ROUND(CHOOSE(F510,E512,E513,E514,E515,E516),2)</f>
        <v>0</v>
      </c>
      <c r="F517" s="724">
        <f>ROUND(CHOOSE(F510,F512,F513,F514,F515,F516),2)</f>
        <v>0</v>
      </c>
      <c r="AA517" s="185"/>
      <c r="AB517" s="186"/>
      <c r="AC517" s="186"/>
      <c r="AD517" s="495"/>
      <c r="AE517" s="798">
        <v>0</v>
      </c>
      <c r="AF517" s="799">
        <v>0</v>
      </c>
    </row>
    <row r="518" spans="1:37" ht="14.5" thickBot="1" x14ac:dyDescent="0.35">
      <c r="A518" s="188"/>
      <c r="B518" s="189"/>
      <c r="C518" s="189"/>
      <c r="D518" s="189"/>
      <c r="E518" s="326" t="s">
        <v>387</v>
      </c>
      <c r="F518" s="497" t="s">
        <v>499</v>
      </c>
      <c r="AA518" s="188"/>
      <c r="AB518" s="189"/>
      <c r="AC518" s="189"/>
      <c r="AD518" s="814"/>
      <c r="AE518" s="763" t="s">
        <v>387</v>
      </c>
      <c r="AF518" s="764" t="s">
        <v>499</v>
      </c>
    </row>
    <row r="519" spans="1:37" ht="14.5" thickBot="1" x14ac:dyDescent="0.35"/>
    <row r="520" spans="1:37" x14ac:dyDescent="0.3">
      <c r="A520" s="160" t="s">
        <v>424</v>
      </c>
      <c r="B520" s="184"/>
      <c r="C520" s="184"/>
      <c r="D520" s="184"/>
      <c r="E520" s="184"/>
      <c r="F520" s="184"/>
      <c r="G520" s="287" t="s">
        <v>495</v>
      </c>
      <c r="H520" s="288">
        <v>1</v>
      </c>
      <c r="K520" s="291" t="s">
        <v>610</v>
      </c>
      <c r="L520" s="162"/>
      <c r="M520" s="162"/>
      <c r="N520" s="162"/>
      <c r="O520" s="162"/>
      <c r="P520" s="162"/>
      <c r="Q520" s="162"/>
      <c r="R520" s="162"/>
      <c r="S520" s="162"/>
      <c r="T520" s="173"/>
      <c r="AA520" s="160" t="s">
        <v>424</v>
      </c>
      <c r="AB520" s="184"/>
      <c r="AC520" s="184"/>
      <c r="AD520" s="813"/>
      <c r="AE520" s="184"/>
      <c r="AF520" s="184"/>
      <c r="AG520" s="184"/>
      <c r="AH520" s="191"/>
      <c r="AK520" s="291" t="s">
        <v>610</v>
      </c>
    </row>
    <row r="521" spans="1:37" ht="14.5" thickBot="1" x14ac:dyDescent="0.35">
      <c r="A521" s="182" t="s">
        <v>80</v>
      </c>
      <c r="B521" s="186"/>
      <c r="C521" s="186"/>
      <c r="D521" s="186"/>
      <c r="E521" s="186"/>
      <c r="F521" s="186"/>
      <c r="G521" s="186"/>
      <c r="H521" s="187"/>
      <c r="K521" s="292" t="str">
        <f>CHOOSE(H520,A522,A523)</f>
        <v>keine Solaranlage vorhanden</v>
      </c>
      <c r="L521" s="293"/>
      <c r="M521" s="293"/>
      <c r="N521" s="293"/>
      <c r="O521" s="293"/>
      <c r="P521" s="293"/>
      <c r="Q521" s="293"/>
      <c r="R521" s="293"/>
      <c r="S521" s="293"/>
      <c r="T521" s="294"/>
      <c r="AA521" s="182" t="s">
        <v>80</v>
      </c>
      <c r="AB521" s="186"/>
      <c r="AC521" s="186"/>
      <c r="AD521" s="495"/>
      <c r="AE521" s="186"/>
      <c r="AF521" s="186"/>
      <c r="AG521" s="186"/>
      <c r="AH521" s="187"/>
      <c r="AK521" s="292" t="str">
        <f>AA523</f>
        <v>keine Solaranlage vorhanden</v>
      </c>
    </row>
    <row r="522" spans="1:37" x14ac:dyDescent="0.3">
      <c r="A522" s="186" t="s">
        <v>581</v>
      </c>
      <c r="B522" s="186"/>
      <c r="C522" s="186"/>
      <c r="D522" s="186"/>
      <c r="E522" s="186"/>
      <c r="F522" s="186"/>
      <c r="G522" s="186"/>
      <c r="H522" s="187"/>
      <c r="J522" s="320"/>
      <c r="K522" s="320"/>
      <c r="L522" s="320"/>
      <c r="M522" s="320"/>
      <c r="N522" s="320"/>
      <c r="O522" s="320"/>
      <c r="P522" s="320"/>
      <c r="Q522" s="320"/>
      <c r="R522" s="320"/>
      <c r="S522" s="320"/>
      <c r="T522" s="320"/>
      <c r="AA522" s="185"/>
      <c r="AB522" s="186"/>
      <c r="AC522" s="186"/>
      <c r="AD522" s="495"/>
      <c r="AE522" s="186"/>
      <c r="AF522" s="186"/>
      <c r="AG522" s="186"/>
      <c r="AH522" s="187"/>
      <c r="AK522" s="320"/>
    </row>
    <row r="523" spans="1:37" x14ac:dyDescent="0.3">
      <c r="A523" s="186" t="str">
        <f>IF(OR(F493=1,F493=2,D14&gt;3000),"- - -","Solaranlage vorhanden")</f>
        <v>Solaranlage vorhanden</v>
      </c>
      <c r="B523" s="186"/>
      <c r="C523" s="186"/>
      <c r="D523" s="186"/>
      <c r="E523" s="186"/>
      <c r="F523" s="186"/>
      <c r="G523" s="186"/>
      <c r="H523" s="187"/>
      <c r="J523" s="320"/>
      <c r="K523" s="320"/>
      <c r="L523" s="320"/>
      <c r="M523" s="320"/>
      <c r="N523" s="320"/>
      <c r="O523" s="320"/>
      <c r="P523" s="320"/>
      <c r="Q523" s="320"/>
      <c r="R523" s="320"/>
      <c r="S523" s="320"/>
      <c r="T523" s="320"/>
      <c r="AA523" s="185" t="s">
        <v>581</v>
      </c>
      <c r="AB523" s="186"/>
      <c r="AC523" s="186"/>
      <c r="AD523" s="495"/>
      <c r="AE523" s="186"/>
      <c r="AF523" s="186"/>
      <c r="AG523" s="186"/>
      <c r="AH523" s="187"/>
      <c r="AK523" s="320"/>
    </row>
    <row r="524" spans="1:37" x14ac:dyDescent="0.3">
      <c r="A524" s="186"/>
      <c r="B524" s="186"/>
      <c r="C524" s="186"/>
      <c r="D524" s="186"/>
      <c r="E524" s="186"/>
      <c r="F524" s="186"/>
      <c r="G524" s="186"/>
      <c r="H524" s="187"/>
      <c r="J524" s="320"/>
      <c r="K524" s="320"/>
      <c r="L524" s="320"/>
      <c r="M524" s="320"/>
      <c r="N524" s="320"/>
      <c r="O524" s="320"/>
      <c r="P524" s="320"/>
      <c r="Q524" s="320"/>
      <c r="R524" s="320"/>
      <c r="S524" s="320"/>
      <c r="T524" s="320"/>
      <c r="AA524" s="185"/>
      <c r="AB524" s="186"/>
      <c r="AC524" s="186"/>
      <c r="AD524" s="495"/>
      <c r="AE524" s="186"/>
      <c r="AF524" s="186"/>
      <c r="AG524" s="186"/>
      <c r="AH524" s="187"/>
      <c r="AK524" s="320"/>
    </row>
    <row r="525" spans="1:37" x14ac:dyDescent="0.3">
      <c r="A525" s="186"/>
      <c r="B525" s="186"/>
      <c r="C525" s="495" t="s">
        <v>616</v>
      </c>
      <c r="D525" s="495" t="s">
        <v>516</v>
      </c>
      <c r="E525" s="495" t="s">
        <v>431</v>
      </c>
      <c r="F525" s="495" t="s">
        <v>434</v>
      </c>
      <c r="G525" s="495" t="s">
        <v>517</v>
      </c>
      <c r="H525" s="496" t="s">
        <v>437</v>
      </c>
      <c r="J525" s="320"/>
      <c r="K525" s="320"/>
      <c r="L525" s="320"/>
      <c r="M525" s="320"/>
      <c r="N525" s="320"/>
      <c r="O525" s="320"/>
      <c r="P525" s="320"/>
      <c r="Q525" s="320"/>
      <c r="R525" s="320"/>
      <c r="S525" s="320"/>
      <c r="T525" s="320"/>
      <c r="AA525" s="185"/>
      <c r="AB525" s="186"/>
      <c r="AC525" s="186"/>
      <c r="AD525" s="495"/>
      <c r="AE525" s="186"/>
      <c r="AF525" s="186"/>
      <c r="AG525" s="186"/>
      <c r="AH525" s="187"/>
      <c r="AK525" s="320"/>
    </row>
    <row r="526" spans="1:37" x14ac:dyDescent="0.3">
      <c r="A526" s="185" t="str">
        <f>IF(F463&lt;&gt;1,"- - -","keine Wasserheizung vorhanden")</f>
        <v>- - -</v>
      </c>
      <c r="B526" s="186"/>
      <c r="C526" s="495">
        <f>IF(F493=1,1,0)</f>
        <v>0</v>
      </c>
      <c r="D526" s="733">
        <f>IF(C526=0,0,0)</f>
        <v>0</v>
      </c>
      <c r="E526" s="733">
        <f>IF(C526=0,0,0)</f>
        <v>0</v>
      </c>
      <c r="F526" s="733">
        <f>IF(C526=0,0,0)</f>
        <v>0</v>
      </c>
      <c r="G526" s="732">
        <v>0</v>
      </c>
      <c r="H526" s="734">
        <f>IF(C526=0,0,0)</f>
        <v>0</v>
      </c>
      <c r="AA526" s="185"/>
      <c r="AB526" s="186"/>
      <c r="AC526" s="186"/>
      <c r="AD526" s="495"/>
      <c r="AE526" s="186"/>
      <c r="AF526" s="186"/>
      <c r="AG526" s="186"/>
      <c r="AH526" s="187"/>
    </row>
    <row r="527" spans="1:37" x14ac:dyDescent="0.3">
      <c r="A527" s="185" t="s">
        <v>85</v>
      </c>
      <c r="B527" s="186"/>
      <c r="C527" s="495">
        <f>IF(AND(H520=1,G579=1),1,0)</f>
        <v>1</v>
      </c>
      <c r="D527" s="733">
        <f>IF(C527=0,0,0)</f>
        <v>0</v>
      </c>
      <c r="E527" s="733">
        <f>IF(C527=0,0,1)</f>
        <v>1</v>
      </c>
      <c r="F527" s="733">
        <f>IF(C527=0,0,0)</f>
        <v>0</v>
      </c>
      <c r="G527" s="732">
        <v>0</v>
      </c>
      <c r="H527" s="734">
        <f>IF(C527=0,0,0)</f>
        <v>0</v>
      </c>
      <c r="AA527" s="185"/>
      <c r="AB527" s="186"/>
      <c r="AC527" s="186"/>
      <c r="AD527" s="495"/>
      <c r="AE527" s="186"/>
      <c r="AF527" s="186"/>
      <c r="AG527" s="186"/>
      <c r="AH527" s="187"/>
    </row>
    <row r="528" spans="1:37" x14ac:dyDescent="0.3">
      <c r="A528" s="185" t="s">
        <v>86</v>
      </c>
      <c r="B528" s="186"/>
      <c r="C528" s="495">
        <f>IF(AND(H520=2,G579=1),1,0)</f>
        <v>0</v>
      </c>
      <c r="D528" s="733">
        <f>IF(C528=0,0,0.1)</f>
        <v>0</v>
      </c>
      <c r="E528" s="733">
        <f>IF(C528=0,0,0.9)</f>
        <v>0</v>
      </c>
      <c r="F528" s="733">
        <f>IF(C528=0,0,0)</f>
        <v>0</v>
      </c>
      <c r="G528" s="732">
        <v>0</v>
      </c>
      <c r="H528" s="734">
        <f>IF(C528=0,0,0)</f>
        <v>0</v>
      </c>
      <c r="AA528" s="185"/>
      <c r="AB528" s="186"/>
      <c r="AC528" s="186"/>
      <c r="AD528" s="495"/>
      <c r="AE528" s="186"/>
      <c r="AF528" s="186"/>
      <c r="AG528" s="186"/>
      <c r="AH528" s="187"/>
    </row>
    <row r="529" spans="1:37" x14ac:dyDescent="0.3">
      <c r="A529" s="185" t="s">
        <v>197</v>
      </c>
      <c r="B529" s="186"/>
      <c r="C529" s="495">
        <f>IF(AND(H520=1,OR(G579=2,G579=3)),1,0)</f>
        <v>0</v>
      </c>
      <c r="D529" s="733">
        <f>IF(C529=0,0,0)</f>
        <v>0</v>
      </c>
      <c r="E529" s="733">
        <f>IF(C529=0,0,'H-03'!E212)</f>
        <v>0</v>
      </c>
      <c r="F529" s="733">
        <f>IF(C529=0,0,'H-03'!F212)</f>
        <v>0</v>
      </c>
      <c r="G529" s="732">
        <v>0</v>
      </c>
      <c r="H529" s="734">
        <f>IF(C529=0,0,FP!B12)</f>
        <v>0</v>
      </c>
      <c r="AA529" s="185"/>
      <c r="AB529" s="186"/>
      <c r="AC529" s="186"/>
      <c r="AD529" s="495"/>
      <c r="AE529" s="186"/>
      <c r="AF529" s="186"/>
      <c r="AG529" s="186"/>
      <c r="AH529" s="187"/>
    </row>
    <row r="530" spans="1:37" x14ac:dyDescent="0.3">
      <c r="A530" s="185" t="s">
        <v>198</v>
      </c>
      <c r="B530" s="186"/>
      <c r="C530" s="495">
        <f>IF(AND(H520=2,OR(G579=2,G579=3)),1,0)</f>
        <v>0</v>
      </c>
      <c r="D530" s="733">
        <f>IF(C530=0,0,0.1)</f>
        <v>0</v>
      </c>
      <c r="E530" s="733">
        <f>IF(C530=0,0,'H-03'!E213)</f>
        <v>0</v>
      </c>
      <c r="F530" s="733">
        <f>IF(C530=0,0,'H-03'!F213)</f>
        <v>0</v>
      </c>
      <c r="G530" s="732">
        <v>0</v>
      </c>
      <c r="H530" s="734">
        <f>IF(C530=0,0,FP!B12)</f>
        <v>0</v>
      </c>
      <c r="AA530" s="185"/>
      <c r="AB530" s="186"/>
      <c r="AC530" s="186"/>
      <c r="AD530" s="495"/>
      <c r="AE530" s="186"/>
      <c r="AF530" s="186"/>
      <c r="AG530" s="186"/>
      <c r="AH530" s="187"/>
    </row>
    <row r="531" spans="1:37" x14ac:dyDescent="0.3">
      <c r="A531" s="185" t="s">
        <v>199</v>
      </c>
      <c r="B531" s="186"/>
      <c r="C531" s="495">
        <f>IF(AND(H520=1,OR(G579=4,G579=5,G579=6,G579=7,G579=8,G579=9)),1,0)</f>
        <v>0</v>
      </c>
      <c r="D531" s="733">
        <f>IF(C531=0,0,0)</f>
        <v>0</v>
      </c>
      <c r="E531" s="733">
        <f>IF(C531=0,0,0.83)</f>
        <v>0</v>
      </c>
      <c r="F531" s="733">
        <f>IF(C531=0,0,0.17)</f>
        <v>0</v>
      </c>
      <c r="G531" s="732">
        <v>0</v>
      </c>
      <c r="H531" s="734">
        <f>IF(C531=0,0,FP!B2)</f>
        <v>0</v>
      </c>
      <c r="AA531" s="185"/>
      <c r="AB531" s="186"/>
      <c r="AC531" s="186"/>
      <c r="AD531" s="495"/>
      <c r="AE531" s="186"/>
      <c r="AF531" s="186"/>
      <c r="AG531" s="186"/>
      <c r="AH531" s="187"/>
    </row>
    <row r="532" spans="1:37" x14ac:dyDescent="0.3">
      <c r="A532" s="185" t="s">
        <v>200</v>
      </c>
      <c r="B532" s="186"/>
      <c r="C532" s="495">
        <f>IF(AND(H520=2,OR(G579=4,G579=5,G579=6,G579=7,G579=8,G579=9)),1,0)</f>
        <v>0</v>
      </c>
      <c r="D532" s="733">
        <f>IF(C532=0,0,0.1)</f>
        <v>0</v>
      </c>
      <c r="E532" s="733">
        <f>IF(C532=0,0,0.75)</f>
        <v>0</v>
      </c>
      <c r="F532" s="733">
        <f>IF(C532=0,0,0.15)</f>
        <v>0</v>
      </c>
      <c r="G532" s="732">
        <v>0</v>
      </c>
      <c r="H532" s="734">
        <f>IF(C532=0,0,FP!B2)</f>
        <v>0</v>
      </c>
      <c r="AA532" s="185"/>
      <c r="AB532" s="186"/>
      <c r="AC532" s="186"/>
      <c r="AD532" s="495"/>
      <c r="AE532" s="186"/>
      <c r="AF532" s="186"/>
      <c r="AG532" s="186"/>
      <c r="AH532" s="187"/>
    </row>
    <row r="533" spans="1:37" x14ac:dyDescent="0.3">
      <c r="A533" s="185"/>
      <c r="B533" s="186"/>
      <c r="C533" s="186"/>
      <c r="D533" s="722">
        <f>ROUND(SUM(D526:D532),2)</f>
        <v>0</v>
      </c>
      <c r="E533" s="722">
        <f>ROUND(SUM(E526:E532),2)</f>
        <v>1</v>
      </c>
      <c r="F533" s="722">
        <f>ROUND(SUM(F526:F532),2)</f>
        <v>0</v>
      </c>
      <c r="G533" s="721">
        <f>SUM(G526:G532)</f>
        <v>0</v>
      </c>
      <c r="H533" s="721">
        <f>SUM(H526:H532)</f>
        <v>0</v>
      </c>
      <c r="AA533" s="185"/>
      <c r="AB533" s="186"/>
      <c r="AC533" s="186"/>
      <c r="AD533" s="798">
        <v>0</v>
      </c>
      <c r="AE533" s="798">
        <v>1</v>
      </c>
      <c r="AF533" s="798">
        <v>0</v>
      </c>
      <c r="AG533" s="798">
        <v>0</v>
      </c>
      <c r="AH533" s="799">
        <v>0</v>
      </c>
    </row>
    <row r="534" spans="1:37" ht="14.5" thickBot="1" x14ac:dyDescent="0.35">
      <c r="A534" s="188"/>
      <c r="B534" s="189"/>
      <c r="C534" s="189"/>
      <c r="D534" s="326" t="s">
        <v>440</v>
      </c>
      <c r="E534" s="326" t="s">
        <v>441</v>
      </c>
      <c r="F534" s="326" t="s">
        <v>442</v>
      </c>
      <c r="G534" s="326" t="s">
        <v>435</v>
      </c>
      <c r="H534" s="497" t="s">
        <v>437</v>
      </c>
      <c r="AA534" s="188"/>
      <c r="AB534" s="189"/>
      <c r="AC534" s="189"/>
      <c r="AD534" s="763" t="s">
        <v>440</v>
      </c>
      <c r="AE534" s="763" t="s">
        <v>441</v>
      </c>
      <c r="AF534" s="763" t="s">
        <v>442</v>
      </c>
      <c r="AG534" s="763" t="s">
        <v>435</v>
      </c>
      <c r="AH534" s="764" t="s">
        <v>437</v>
      </c>
    </row>
    <row r="535" spans="1:37" ht="14.5" thickBot="1" x14ac:dyDescent="0.35"/>
    <row r="536" spans="1:37" x14ac:dyDescent="0.3">
      <c r="A536" s="160" t="s">
        <v>612</v>
      </c>
      <c r="B536" s="184"/>
      <c r="C536" s="184"/>
      <c r="D536" s="184"/>
      <c r="E536" s="184"/>
      <c r="F536" s="287" t="s">
        <v>495</v>
      </c>
      <c r="G536" s="287">
        <v>5</v>
      </c>
      <c r="H536" s="191"/>
      <c r="K536" s="291" t="s">
        <v>612</v>
      </c>
      <c r="L536" s="162"/>
      <c r="M536" s="162"/>
      <c r="N536" s="162"/>
      <c r="O536" s="162"/>
      <c r="P536" s="162"/>
      <c r="Q536" s="162"/>
      <c r="R536" s="162"/>
      <c r="S536" s="162"/>
      <c r="T536" s="173"/>
      <c r="AA536" s="160" t="s">
        <v>612</v>
      </c>
      <c r="AB536" s="184"/>
      <c r="AC536" s="184"/>
      <c r="AD536" s="813"/>
      <c r="AE536" s="184"/>
      <c r="AF536" s="184"/>
      <c r="AG536" s="184"/>
      <c r="AH536" s="191"/>
      <c r="AK536" s="291" t="s">
        <v>612</v>
      </c>
    </row>
    <row r="537" spans="1:37" ht="14.5" thickBot="1" x14ac:dyDescent="0.35">
      <c r="A537" s="185"/>
      <c r="B537" s="186"/>
      <c r="C537" s="186"/>
      <c r="D537" s="186"/>
      <c r="E537" s="186"/>
      <c r="F537" s="186" t="s">
        <v>498</v>
      </c>
      <c r="G537" s="186" t="s">
        <v>499</v>
      </c>
      <c r="H537" s="187"/>
      <c r="K537" s="292" t="str">
        <f>CHOOSE(G536,A538,A539,A540,A541,A542,A543,A544,A545,A546,A547,A548,A549,A550,A551,A552,A553,A554,A555,A556,A557,A558,A559)</f>
        <v>Konstanttemperaturkessel; Aufstellung im beheizten Bereich</v>
      </c>
      <c r="L537" s="293"/>
      <c r="M537" s="293"/>
      <c r="N537" s="293"/>
      <c r="O537" s="293"/>
      <c r="P537" s="293"/>
      <c r="Q537" s="293"/>
      <c r="R537" s="293"/>
      <c r="S537" s="293"/>
      <c r="T537" s="294"/>
      <c r="AA537" s="185"/>
      <c r="AB537" s="186"/>
      <c r="AC537" s="186"/>
      <c r="AD537" s="495"/>
      <c r="AE537" s="186"/>
      <c r="AF537" s="186"/>
      <c r="AG537" s="186"/>
      <c r="AH537" s="187"/>
      <c r="AK537" s="292" t="str">
        <f>IF(AB550=1,AC550,AC551)</f>
        <v>Brennwertkessel; Aufstellung im beheizten Bereich, verbessert</v>
      </c>
    </row>
    <row r="538" spans="1:37" x14ac:dyDescent="0.3">
      <c r="A538" s="185" t="str">
        <f>IF(OR(H520&lt;&gt;1,F330=5,F330=6,F330=7,F330=8,F330=9,F330=10,F463=17,F463=18,F463=19,F463=20),"- - -","keine Wasserheizung vorhanden")</f>
        <v>keine Wasserheizung vorhanden</v>
      </c>
      <c r="B538" s="186"/>
      <c r="C538" s="186"/>
      <c r="D538" s="186"/>
      <c r="E538" s="186"/>
      <c r="F538" s="730">
        <v>1</v>
      </c>
      <c r="G538" s="730">
        <v>0</v>
      </c>
      <c r="H538" s="187"/>
      <c r="AA538" s="185"/>
      <c r="AB538" s="186"/>
      <c r="AC538" s="186"/>
      <c r="AD538" s="495"/>
      <c r="AE538" s="186"/>
      <c r="AF538" s="186"/>
      <c r="AG538" s="186"/>
      <c r="AH538" s="187"/>
    </row>
    <row r="539" spans="1:37" x14ac:dyDescent="0.3">
      <c r="A539" s="185" t="str">
        <f>IF(OR(C485=1,F463=1,F463=15,F463=17,F330=5,F330=6,F330=7,F330=8,F330=9,F330=10,F463=18,F330=25,F330=26),"- - -","Elektrodirektheizung")</f>
        <v>- - -</v>
      </c>
      <c r="B539" s="186"/>
      <c r="C539" s="186"/>
      <c r="D539" s="186"/>
      <c r="E539" s="186"/>
      <c r="F539" s="730">
        <v>1</v>
      </c>
      <c r="G539" s="730">
        <v>0</v>
      </c>
      <c r="H539" s="187"/>
      <c r="AA539" s="185"/>
      <c r="AB539" s="186"/>
      <c r="AC539" s="186"/>
      <c r="AD539" s="495"/>
      <c r="AE539" s="186"/>
      <c r="AF539" s="186"/>
      <c r="AG539" s="186"/>
      <c r="AH539" s="187"/>
    </row>
    <row r="540" spans="1:37" x14ac:dyDescent="0.3">
      <c r="A540" s="185" t="str">
        <f>IF(OR(C485=1,F463=1,F463=14,F463=16,F330=5,F330=6,F330=7,F330=8,F330=9,F330=10,F463=18,F330=25,F330=26),"- - -","Elektrospeicherheizung")</f>
        <v>- - -</v>
      </c>
      <c r="B540" s="186"/>
      <c r="C540" s="186"/>
      <c r="D540" s="186"/>
      <c r="E540" s="186"/>
      <c r="F540" s="730">
        <v>1</v>
      </c>
      <c r="G540" s="730">
        <v>0</v>
      </c>
      <c r="H540" s="187"/>
      <c r="AA540" s="185"/>
      <c r="AB540" s="186"/>
      <c r="AC540" s="186"/>
      <c r="AD540" s="495"/>
      <c r="AE540" s="186"/>
      <c r="AF540" s="186"/>
      <c r="AG540" s="186"/>
      <c r="AH540" s="187"/>
    </row>
    <row r="541" spans="1:37" x14ac:dyDescent="0.3">
      <c r="A541" s="185" t="str">
        <f>IF(OR(F463=1,F463=15,F463=17,F463=14,F463=16,F493=2,F330=5,F330=6,F330=7,F330=8,F330=9,F330=10,F463=18,F330=25,F330=26),"- - -","Anschluss an ein Wärmenetz")</f>
        <v>Anschluss an ein Wärmenetz</v>
      </c>
      <c r="B541" s="186"/>
      <c r="C541" s="186"/>
      <c r="D541" s="186"/>
      <c r="E541" s="186"/>
      <c r="F541" s="730">
        <v>1.01</v>
      </c>
      <c r="G541" s="730">
        <v>0</v>
      </c>
      <c r="H541" s="187"/>
      <c r="AA541" s="185"/>
      <c r="AB541" s="186"/>
      <c r="AC541" s="186"/>
      <c r="AD541" s="495"/>
      <c r="AE541" s="186"/>
      <c r="AF541" s="186"/>
      <c r="AG541" s="186"/>
      <c r="AH541" s="187"/>
    </row>
    <row r="542" spans="1:37" x14ac:dyDescent="0.3">
      <c r="A542" s="185" t="str">
        <f>IF(OR(F463=1,F463=15,F463=17,F463=14,F463=16,F463=18,Rechnungen!D14&gt;500,F493=2,F330=5,F330=6,F330=7,F330=8,F330=9,F330=10,F330=25,F330=26),"- - -","Konstanttemperaturkessel; Aufstellung im beheizten Bereich")</f>
        <v>Konstanttemperaturkessel; Aufstellung im beheizten Bereich</v>
      </c>
      <c r="B542" s="186"/>
      <c r="C542" s="186"/>
      <c r="D542" s="186"/>
      <c r="E542" s="186"/>
      <c r="F542" s="730">
        <f>'H-03'!B16</f>
        <v>1.1705061552332334</v>
      </c>
      <c r="G542" s="730">
        <f>'H-03'!L6</f>
        <v>0.46385464033903279</v>
      </c>
      <c r="H542" s="187"/>
      <c r="AA542" s="185"/>
      <c r="AB542" s="186"/>
      <c r="AC542" s="186"/>
      <c r="AD542" s="495"/>
      <c r="AE542" s="186"/>
      <c r="AF542" s="186"/>
      <c r="AG542" s="186"/>
      <c r="AH542" s="187"/>
    </row>
    <row r="543" spans="1:37" x14ac:dyDescent="0.3">
      <c r="A543" s="185" t="str">
        <f>IF(OR(F463=1,F463=15,F463=17,F463=14,F463=16,F463=18,F493=2,F330=5,F330=6,F330=7,F330=8,F330=9,F330=10,F330=25,F330=26),"- - -","Konstanttemperaturkessel; Aufstellung im unbeheizten Keller")</f>
        <v>Konstanttemperaturkessel; Aufstellung im unbeheizten Keller</v>
      </c>
      <c r="B543" s="186"/>
      <c r="C543" s="186"/>
      <c r="D543" s="186"/>
      <c r="E543" s="186"/>
      <c r="F543" s="730">
        <f>'H-03'!B17</f>
        <v>1.2606502102160175</v>
      </c>
      <c r="G543" s="730">
        <f>'H-03'!L6</f>
        <v>0.46385464033903279</v>
      </c>
      <c r="H543" s="187"/>
      <c r="AA543" s="185"/>
      <c r="AB543" s="186"/>
      <c r="AC543" s="186"/>
      <c r="AD543" s="495"/>
      <c r="AE543" s="186"/>
      <c r="AF543" s="186"/>
      <c r="AG543" s="186"/>
      <c r="AH543" s="187"/>
    </row>
    <row r="544" spans="1:37" x14ac:dyDescent="0.3">
      <c r="A544" s="185" t="str">
        <f>IF(OR(C485=1,F463=1,F463=15,F463=17,F463=14,F463=16,F463=18,Rechnungen!D14&gt;500,F493=2,F330=5,F330=6,F330=7,F330=8,F330=25,F330=26),"- - -","Niedertemperaturkessel; Aufstellung  im beheizten Bereich")</f>
        <v>- - -</v>
      </c>
      <c r="B544" s="186"/>
      <c r="C544" s="186"/>
      <c r="D544" s="186"/>
      <c r="E544" s="186"/>
      <c r="F544" s="730">
        <f>'H-03'!C16</f>
        <v>0</v>
      </c>
      <c r="G544" s="730">
        <f>'H-03'!L6</f>
        <v>0.46385464033903279</v>
      </c>
      <c r="H544" s="187"/>
      <c r="AA544" s="185"/>
      <c r="AB544" s="186"/>
      <c r="AC544" s="186"/>
      <c r="AD544" s="495"/>
      <c r="AE544" s="186"/>
      <c r="AF544" s="186"/>
      <c r="AG544" s="186"/>
      <c r="AH544" s="187"/>
    </row>
    <row r="545" spans="1:34" x14ac:dyDescent="0.3">
      <c r="A545" s="185" t="str">
        <f>IF(OR(C485=1,F463=1,F463=15,F463=17,F463=14,F463=16,F463=18,F493=2,F330=5,F330=6,F330=7,F330=8,F330=25,F330=26),"- - -","Niedertemperaturkessel; Aufstellung im unbeheizten Keller")</f>
        <v>- - -</v>
      </c>
      <c r="B545" s="186"/>
      <c r="C545" s="186"/>
      <c r="D545" s="186"/>
      <c r="E545" s="186"/>
      <c r="F545" s="730">
        <f>'H-03'!C17</f>
        <v>0</v>
      </c>
      <c r="G545" s="730">
        <f>'H-03'!L6</f>
        <v>0.46385464033903279</v>
      </c>
      <c r="H545" s="187"/>
      <c r="AA545" s="185"/>
      <c r="AB545" s="186"/>
      <c r="AC545" s="186"/>
      <c r="AD545" s="495"/>
      <c r="AE545" s="186"/>
      <c r="AF545" s="186"/>
      <c r="AG545" s="186"/>
      <c r="AH545" s="187"/>
    </row>
    <row r="546" spans="1:34" x14ac:dyDescent="0.3">
      <c r="A546" s="185" t="str">
        <f>IF(OR(C485=1,F463=1,F463=15,F463=17,F463=14,F463=16,F463=18,Rechnungen!D14&gt;500,F493=2,F330=9,F330=10,F330=25,F330=26),"- - -","Brennwertkessel; Aufstellung im beheizten Bereich")</f>
        <v>- - -</v>
      </c>
      <c r="B546" s="186"/>
      <c r="C546" s="186"/>
      <c r="D546" s="186"/>
      <c r="E546" s="186"/>
      <c r="F546" s="730">
        <f>'H-03'!F16</f>
        <v>0</v>
      </c>
      <c r="G546" s="730">
        <f>'H-03'!L6</f>
        <v>0.46385464033903279</v>
      </c>
      <c r="H546" s="187"/>
      <c r="AA546" s="185"/>
      <c r="AB546" s="186"/>
      <c r="AC546" s="186"/>
      <c r="AD546" s="495"/>
      <c r="AE546" s="186"/>
      <c r="AF546" s="186"/>
      <c r="AG546" s="186"/>
      <c r="AH546" s="187"/>
    </row>
    <row r="547" spans="1:34" x14ac:dyDescent="0.3">
      <c r="A547" s="185" t="str">
        <f>IF(OR(C485=1,F463=1,F463=15,F463=17,F463=14,F463=16,F463=18,Rechnungen!D14&gt;500,F493=2,F330=9,F330=10,F330=25,F330=26),"- - -","Brennwertkessel; Aufstellung im beheizten Bereich, verbessert")</f>
        <v>- - -</v>
      </c>
      <c r="B547" s="186"/>
      <c r="C547" s="186"/>
      <c r="D547" s="186"/>
      <c r="E547" s="186"/>
      <c r="F547" s="730">
        <f>'H-03'!G16</f>
        <v>0</v>
      </c>
      <c r="G547" s="730">
        <f>'H-03'!L6</f>
        <v>0.46385464033903279</v>
      </c>
      <c r="H547" s="187"/>
      <c r="AA547" s="185"/>
      <c r="AB547" s="186"/>
      <c r="AC547" s="186"/>
      <c r="AD547" s="495"/>
      <c r="AE547" s="186"/>
      <c r="AF547" s="186"/>
      <c r="AG547" s="186"/>
      <c r="AH547" s="187"/>
    </row>
    <row r="548" spans="1:34" x14ac:dyDescent="0.3">
      <c r="A548" s="185" t="str">
        <f>IF(OR(C485=1,F463=1,F463=15,F463=17,F463=14,F463=16,F463=18,F493=2,F330=9,F330=10,F330=25,F330=26),"- - -","Brennwertkessel; Aufstellung im unbeheizten Keller")</f>
        <v>- - -</v>
      </c>
      <c r="B548" s="186"/>
      <c r="C548" s="186"/>
      <c r="D548" s="186"/>
      <c r="E548" s="186"/>
      <c r="F548" s="730">
        <f>'H-03'!F17</f>
        <v>0</v>
      </c>
      <c r="G548" s="730">
        <f>'H-03'!L6</f>
        <v>0.46385464033903279</v>
      </c>
      <c r="H548" s="187"/>
      <c r="AA548" s="185"/>
      <c r="AB548" s="186"/>
      <c r="AC548" s="186"/>
      <c r="AD548" s="495"/>
      <c r="AE548" s="186"/>
      <c r="AF548" s="186"/>
      <c r="AG548" s="186"/>
      <c r="AH548" s="187"/>
    </row>
    <row r="549" spans="1:34" x14ac:dyDescent="0.3">
      <c r="A549" s="185" t="str">
        <f>IF(OR(C485=1,F463=1,F463=15,F463=17,F463=14,F463=16,F463=18,F493=2,F330=9,F330=10,F330=25,F330=26),"- - -","Brennwertkessel; Aufstellung im unbeheizten Keller, verbessert")</f>
        <v>- - -</v>
      </c>
      <c r="B549" s="186"/>
      <c r="C549" s="186"/>
      <c r="D549" s="186"/>
      <c r="E549" s="186"/>
      <c r="F549" s="730">
        <f>'H-03'!G17</f>
        <v>0</v>
      </c>
      <c r="G549" s="730">
        <f>'H-03'!L11</f>
        <v>0.46385464033903279</v>
      </c>
      <c r="H549" s="187"/>
      <c r="AA549" s="185"/>
      <c r="AB549" s="186"/>
      <c r="AC549" s="186"/>
      <c r="AD549" s="495"/>
      <c r="AE549" s="186"/>
      <c r="AF549" s="186"/>
      <c r="AG549" s="186"/>
      <c r="AH549" s="187"/>
    </row>
    <row r="550" spans="1:34" x14ac:dyDescent="0.3">
      <c r="A550" s="185" t="str">
        <f>IF(OR(C485=1,C485=2,F463=1,F463=15,F463=17,F463=14,F463=16,F463=18,F493=2,F330=5,F330=6,F330=7,F330=8,F330=9,F330=10,F330=25,F330=26),"- - -","Elektrowärmepumpen; Wasser/Wasser")</f>
        <v>- - -</v>
      </c>
      <c r="B550" s="186"/>
      <c r="C550" s="186"/>
      <c r="D550" s="186"/>
      <c r="E550" s="186"/>
      <c r="F550" s="730">
        <f>'H-03'!I188</f>
        <v>0</v>
      </c>
      <c r="G550" s="730">
        <f>'H-03'!J188</f>
        <v>0</v>
      </c>
      <c r="H550" s="187"/>
      <c r="AA550" s="185" t="s">
        <v>1302</v>
      </c>
      <c r="AB550" s="186">
        <f>AB289</f>
        <v>1</v>
      </c>
      <c r="AC550" s="186" t="s">
        <v>54</v>
      </c>
      <c r="AD550" s="495"/>
      <c r="AE550" s="186"/>
      <c r="AF550" s="759">
        <f>'H-03'!J11</f>
        <v>0.96359514690747361</v>
      </c>
      <c r="AG550" s="759">
        <f>'H-03'!L11</f>
        <v>0.46385464033903279</v>
      </c>
      <c r="AH550" s="187"/>
    </row>
    <row r="551" spans="1:34" x14ac:dyDescent="0.3">
      <c r="A551" s="185" t="str">
        <f>IF(OR(C485=1,C485=2,F463=1,F463=15,F463=17,F463=14,F463=16,F463=18,F493=2,F330=5,F330=6,F330=7,F330=8,F330=9,F330=10,F330=25,F330=26),"- - -","Elektrowärmepumpen; Erdreich/Wasser")</f>
        <v>- - -</v>
      </c>
      <c r="B551" s="186"/>
      <c r="C551" s="186"/>
      <c r="D551" s="186"/>
      <c r="E551" s="186"/>
      <c r="F551" s="730">
        <f>'H-03'!I190</f>
        <v>0</v>
      </c>
      <c r="G551" s="730">
        <f>'H-03'!J190</f>
        <v>0</v>
      </c>
      <c r="H551" s="187"/>
      <c r="AA551" s="185" t="s">
        <v>1303</v>
      </c>
      <c r="AB551" s="186">
        <f>AB290</f>
        <v>0</v>
      </c>
      <c r="AC551" s="186" t="s">
        <v>55</v>
      </c>
      <c r="AD551" s="495"/>
      <c r="AE551" s="186"/>
      <c r="AF551" s="759">
        <f>'H-03'!J6</f>
        <v>0.98469521349295464</v>
      </c>
      <c r="AG551" s="759">
        <f>'H-03'!L6</f>
        <v>0.46385464033903279</v>
      </c>
      <c r="AH551" s="187"/>
    </row>
    <row r="552" spans="1:34" x14ac:dyDescent="0.3">
      <c r="A552" s="185" t="str">
        <f>IF(OR(C485=1,C485=2,F463=1,F463=15,F463=17,F463=14,F463=16,F463=18,F493=2,F330=5,F330=6,F330=7,F330=8,F330=9,F330=10,F330=25,F330=26),"- - -","Elektrowärmepumpen; Luft/Wasser")</f>
        <v>- - -</v>
      </c>
      <c r="B552" s="186"/>
      <c r="C552" s="186"/>
      <c r="D552" s="186"/>
      <c r="E552" s="186"/>
      <c r="F552" s="730">
        <f>'H-03'!I192</f>
        <v>0</v>
      </c>
      <c r="G552" s="730">
        <f>'H-03'!J192</f>
        <v>0</v>
      </c>
      <c r="H552" s="187"/>
      <c r="AA552" s="185"/>
      <c r="AB552" s="186"/>
      <c r="AC552" s="186"/>
      <c r="AD552" s="495"/>
      <c r="AE552" s="186"/>
      <c r="AF552" s="186"/>
      <c r="AG552" s="186"/>
      <c r="AH552" s="187"/>
    </row>
    <row r="553" spans="1:34" x14ac:dyDescent="0.3">
      <c r="A553" s="185" t="str">
        <f>IF(OR(C485=1,C485=2,F463=1,F463=15,F463=17,F463=14,F463=16,F463=18,F493=2,F330=5,F330=6,F330=7,F330=8,F330=9,F330=10,F330=25,F330=26),"- - -","Elektrowärmepumpen; Abluft/Wasser (ohne WRG)")</f>
        <v>- - -</v>
      </c>
      <c r="B553" s="186"/>
      <c r="C553" s="186"/>
      <c r="D553" s="186"/>
      <c r="E553" s="186"/>
      <c r="F553" s="730">
        <f>'H-03'!I194</f>
        <v>0</v>
      </c>
      <c r="G553" s="730">
        <f>'H-03'!J194</f>
        <v>0</v>
      </c>
      <c r="H553" s="187"/>
      <c r="AA553" s="185"/>
      <c r="AB553" s="186"/>
      <c r="AC553" s="186"/>
      <c r="AD553" s="495"/>
      <c r="AE553" s="186"/>
      <c r="AF553" s="186"/>
      <c r="AG553" s="186"/>
      <c r="AH553" s="187"/>
    </row>
    <row r="554" spans="1:34" x14ac:dyDescent="0.3">
      <c r="A554" s="509" t="s">
        <v>211</v>
      </c>
      <c r="B554" s="186"/>
      <c r="C554" s="186"/>
      <c r="D554" s="186"/>
      <c r="E554" s="186"/>
      <c r="F554" s="730">
        <v>0</v>
      </c>
      <c r="G554" s="730">
        <v>0</v>
      </c>
      <c r="H554" s="187"/>
      <c r="AA554" s="185"/>
      <c r="AB554" s="186"/>
      <c r="AC554" s="186"/>
      <c r="AD554" s="495"/>
      <c r="AE554" s="186"/>
      <c r="AF554" s="186"/>
      <c r="AG554" s="186"/>
      <c r="AH554" s="187"/>
    </row>
    <row r="555" spans="1:34" x14ac:dyDescent="0.3">
      <c r="A555" s="185" t="str">
        <f>IF(AND(OR(F463=1,F463=18),C485=5,OR(F493=1,F493=2)),"Einzelfeuerstätte","- - -")</f>
        <v>- - -</v>
      </c>
      <c r="B555" s="186"/>
      <c r="C555" s="186"/>
      <c r="D555" s="186"/>
      <c r="E555" s="186"/>
      <c r="F555" s="730">
        <v>1.5</v>
      </c>
      <c r="G555" s="730">
        <v>0</v>
      </c>
      <c r="H555" s="187"/>
      <c r="AA555" s="185"/>
      <c r="AB555" s="186"/>
      <c r="AC555" s="186"/>
      <c r="AD555" s="495"/>
      <c r="AE555" s="186"/>
      <c r="AF555" s="186"/>
      <c r="AG555" s="186"/>
      <c r="AH555" s="187"/>
    </row>
    <row r="556" spans="1:34" x14ac:dyDescent="0.3">
      <c r="A556" s="185" t="str">
        <f>IF(OR(F463=1,H520&lt;&gt;1),"- - -","Anschluss an ein bestehendes oder niedrig beheiztes Gebäude")</f>
        <v>Anschluss an ein bestehendes oder niedrig beheiztes Gebäude</v>
      </c>
      <c r="B556" s="186"/>
      <c r="C556" s="186"/>
      <c r="D556" s="186"/>
      <c r="E556" s="186"/>
      <c r="F556" s="730">
        <v>1.01</v>
      </c>
      <c r="G556" s="730">
        <v>0</v>
      </c>
      <c r="H556" s="187"/>
      <c r="AA556" s="185"/>
      <c r="AB556" s="186"/>
      <c r="AC556" s="186"/>
      <c r="AD556" s="495"/>
      <c r="AE556" s="186"/>
      <c r="AF556" s="186"/>
      <c r="AG556" s="186"/>
      <c r="AH556" s="187"/>
    </row>
    <row r="557" spans="1:34" x14ac:dyDescent="0.3">
      <c r="A557" s="185" t="str">
        <f>IF(AND(F463&lt;&gt;1,F463&lt;&gt;14,F463&lt;&gt;15,F463&lt;&gt;16,F463&lt;&gt;17,F463&lt;&gt;18,C485&lt;&gt;5,F493&lt;&gt;1,F493&lt;&gt;2,OR(F510=4,F510=5)),"Stückgutholzkessel; Aufstellung im beheizten Bereich","- - -")</f>
        <v>- - -</v>
      </c>
      <c r="B557" s="186"/>
      <c r="C557" s="186"/>
      <c r="D557" s="186"/>
      <c r="E557" s="186"/>
      <c r="F557" s="730">
        <f>'H-05'!E12</f>
        <v>1.7718149224099951</v>
      </c>
      <c r="G557" s="730">
        <f>'H-05'!G28</f>
        <v>5.5321100204527698E-2</v>
      </c>
      <c r="H557" s="187"/>
      <c r="AA557" s="185"/>
      <c r="AB557" s="186"/>
      <c r="AC557" s="186"/>
      <c r="AD557" s="495"/>
      <c r="AE557" s="186"/>
      <c r="AF557" s="186"/>
      <c r="AG557" s="186"/>
      <c r="AH557" s="187"/>
    </row>
    <row r="558" spans="1:34" x14ac:dyDescent="0.3">
      <c r="A558" s="185" t="str">
        <f>IF(AND(F463&lt;&gt;1,F463&lt;&gt;14,F463&lt;&gt;15,F463&lt;&gt;16,F463&lt;&gt;17,F463&lt;&gt;18,C485&lt;&gt;5,F493&lt;&gt;1,F493&lt;&gt;2,OR(F510=4,F510=5)),"Pelletkessel mit direkter u. indirekter Wärmeabgabe; im beheizt. Bereich","- - -")</f>
        <v>- - -</v>
      </c>
      <c r="B558" s="186"/>
      <c r="C558" s="186"/>
      <c r="D558" s="186"/>
      <c r="E558" s="186"/>
      <c r="F558" s="730">
        <f>'H-05'!E35</f>
        <v>1.5058797202391254</v>
      </c>
      <c r="G558" s="730">
        <f>'H-05'!G51</f>
        <v>1.5698655053715442</v>
      </c>
      <c r="H558" s="187"/>
      <c r="AA558" s="185"/>
      <c r="AB558" s="186"/>
      <c r="AC558" s="186"/>
      <c r="AD558" s="495"/>
      <c r="AE558" s="186"/>
      <c r="AF558" s="186"/>
      <c r="AG558" s="186"/>
      <c r="AH558" s="187"/>
    </row>
    <row r="559" spans="1:34" x14ac:dyDescent="0.3">
      <c r="A559" s="185" t="str">
        <f>IF(AND(F463&lt;&gt;1,F463&lt;&gt;14,F463&lt;&gt;15,F463&lt;&gt;16,F463&lt;&gt;17,F463&lt;&gt;18,C485&lt;&gt;5,F493&lt;&gt;1,F493&lt;&gt;2,OR(F510=4,F510=5)),"Pelletkessel mit indirekter Wärmeabgabe an Heizwasser","- - -")</f>
        <v>- - -</v>
      </c>
      <c r="B559" s="186"/>
      <c r="C559" s="186"/>
      <c r="D559" s="186"/>
      <c r="E559" s="186"/>
      <c r="F559" s="730">
        <f>'H-05'!E58</f>
        <v>1.3768079336237629</v>
      </c>
      <c r="G559" s="730">
        <f>'H-05'!G74</f>
        <v>1.6456500339071973</v>
      </c>
      <c r="H559" s="187"/>
      <c r="AA559" s="185"/>
      <c r="AB559" s="186"/>
      <c r="AC559" s="186"/>
      <c r="AD559" s="495"/>
      <c r="AE559" s="186"/>
      <c r="AF559" s="186"/>
      <c r="AG559" s="186"/>
      <c r="AH559" s="187"/>
    </row>
    <row r="560" spans="1:34" x14ac:dyDescent="0.3">
      <c r="A560" s="185"/>
      <c r="B560" s="186"/>
      <c r="C560" s="186"/>
      <c r="D560" s="186"/>
      <c r="E560" s="186"/>
      <c r="F560" s="717">
        <f>ROUND(CHOOSE(G536,F538,F539,F540,F541,F542,F543,F544,F545,F546,F547,F548,F549,F550,F551,F552,F553,F554,F555,F556,F557,F558,F559),2)</f>
        <v>1.17</v>
      </c>
      <c r="G560" s="717">
        <f>ROUND(CHOOSE(G536,G538,G539,G540,G541,G542,G543,G544,G545,G546,G547,G548,G549,G550,G551,G552,G553,G554,G555,G556,G557,G558,G559),2)</f>
        <v>0.46</v>
      </c>
      <c r="H560" s="187"/>
      <c r="AA560" s="185"/>
      <c r="AB560" s="186"/>
      <c r="AC560" s="186"/>
      <c r="AD560" s="495"/>
      <c r="AE560" s="186"/>
      <c r="AF560" s="785">
        <f>ROUND(AB550*AF550+AB551*AF551,2)</f>
        <v>0.96</v>
      </c>
      <c r="AG560" s="785">
        <f>ROUND(AB550*AG550+AB551*AG551,2)</f>
        <v>0.46</v>
      </c>
      <c r="AH560" s="187"/>
    </row>
    <row r="561" spans="1:37" ht="14.5" thickBot="1" x14ac:dyDescent="0.35">
      <c r="A561" s="188"/>
      <c r="B561" s="189"/>
      <c r="C561" s="189"/>
      <c r="D561" s="189"/>
      <c r="E561" s="189"/>
      <c r="F561" s="169" t="s">
        <v>514</v>
      </c>
      <c r="G561" s="169" t="s">
        <v>485</v>
      </c>
      <c r="H561" s="190"/>
      <c r="AA561" s="188"/>
      <c r="AB561" s="189"/>
      <c r="AC561" s="189"/>
      <c r="AD561" s="814"/>
      <c r="AE561" s="189"/>
      <c r="AF561" s="765" t="s">
        <v>514</v>
      </c>
      <c r="AG561" s="765" t="s">
        <v>485</v>
      </c>
      <c r="AH561" s="190"/>
    </row>
    <row r="562" spans="1:37" ht="14.5" thickBot="1" x14ac:dyDescent="0.35"/>
    <row r="563" spans="1:37" x14ac:dyDescent="0.3">
      <c r="A563" s="160" t="s">
        <v>611</v>
      </c>
      <c r="B563" s="184"/>
      <c r="C563" s="184"/>
      <c r="D563" s="184"/>
      <c r="E563" s="287" t="s">
        <v>391</v>
      </c>
      <c r="F563" s="288">
        <v>3</v>
      </c>
      <c r="K563" s="291" t="s">
        <v>611</v>
      </c>
      <c r="L563" s="162"/>
      <c r="M563" s="162"/>
      <c r="N563" s="162"/>
      <c r="O563" s="162"/>
      <c r="P563" s="162"/>
      <c r="Q563" s="162"/>
      <c r="R563" s="162"/>
      <c r="S563" s="162"/>
      <c r="T563" s="173"/>
      <c r="AA563" s="160" t="s">
        <v>611</v>
      </c>
      <c r="AB563" s="184"/>
      <c r="AC563" s="184"/>
      <c r="AD563" s="813"/>
      <c r="AE563" s="184"/>
      <c r="AF563" s="191"/>
      <c r="AK563" s="291" t="s">
        <v>611</v>
      </c>
    </row>
    <row r="564" spans="1:37" ht="14.5" thickBot="1" x14ac:dyDescent="0.35">
      <c r="A564" s="185" t="str">
        <f>IF(OR(G536&lt;&gt;1),"- - -","keine Wasserheizung vorhanden")</f>
        <v>- - -</v>
      </c>
      <c r="B564" s="186"/>
      <c r="C564" s="186"/>
      <c r="D564" s="186"/>
      <c r="E564" s="186"/>
      <c r="F564" s="729">
        <f>F575</f>
        <v>1.8</v>
      </c>
      <c r="K564" s="292" t="str">
        <f>CHOOSE(F563,A564,A565,A566,A567,A568,A569,A570,A571,A572,A573,A574,A575,A576)</f>
        <v>Erdgas</v>
      </c>
      <c r="L564" s="293"/>
      <c r="M564" s="293"/>
      <c r="N564" s="293"/>
      <c r="O564" s="293"/>
      <c r="P564" s="293"/>
      <c r="Q564" s="293"/>
      <c r="R564" s="293"/>
      <c r="S564" s="293"/>
      <c r="T564" s="294"/>
      <c r="AA564" s="185"/>
      <c r="AB564" s="186"/>
      <c r="AC564" s="186"/>
      <c r="AD564" s="495"/>
      <c r="AE564" s="186"/>
      <c r="AF564" s="187"/>
      <c r="AK564" s="292" t="str">
        <f>AA565</f>
        <v>Erdgas H</v>
      </c>
    </row>
    <row r="565" spans="1:37" x14ac:dyDescent="0.3">
      <c r="A565" s="185" t="str">
        <f>IF(OR(F463=1,F493=2,G536=1,G536=2,G536=3,G536=4,G536=13,G536=14,G536=15,G536=16,G536=17,G536=19,G536=20,G536=21,G536=22),"- - -","Heizöl EL")</f>
        <v>Heizöl EL</v>
      </c>
      <c r="B565" s="186"/>
      <c r="C565" s="186"/>
      <c r="D565" s="186"/>
      <c r="E565" s="186"/>
      <c r="F565" s="187">
        <f>FP!B2</f>
        <v>1.1000000000000001</v>
      </c>
      <c r="AA565" s="185" t="s">
        <v>1396</v>
      </c>
      <c r="AB565" s="186"/>
      <c r="AC565" s="186"/>
      <c r="AD565" s="495"/>
      <c r="AE565" s="186"/>
      <c r="AF565" s="187"/>
    </row>
    <row r="566" spans="1:37" x14ac:dyDescent="0.3">
      <c r="A566" s="185" t="str">
        <f>IF(OR(F463=1,F493=2,G536=1,G536=2,G536=3,G536=4,G536=13,G536=14,G536=15,G536=16,G536=17,G536=19,G536=20,G536=21,G536=22),"- - -","Erdgas")</f>
        <v>Erdgas</v>
      </c>
      <c r="B566" s="186"/>
      <c r="C566" s="186"/>
      <c r="D566" s="186"/>
      <c r="E566" s="186"/>
      <c r="F566" s="187">
        <f>FP!B3</f>
        <v>1.1000000000000001</v>
      </c>
      <c r="AA566" s="185"/>
      <c r="AB566" s="186"/>
      <c r="AC566" s="186"/>
      <c r="AD566" s="495"/>
      <c r="AE566" s="186"/>
      <c r="AF566" s="187"/>
    </row>
    <row r="567" spans="1:37" x14ac:dyDescent="0.3">
      <c r="A567" s="185" t="str">
        <f>IF(OR(F463=1,F493=2,G536=1,G536=2,G536=3,G536=4,G536=13,G536=14,G536=15,G536=16,G536=17,G536=19,G536=20,G536=21,G536=22),"- - -","Flüssiggas")</f>
        <v>Flüssiggas</v>
      </c>
      <c r="B567" s="186"/>
      <c r="C567" s="186"/>
      <c r="D567" s="186"/>
      <c r="E567" s="186"/>
      <c r="F567" s="187">
        <f>FP!B4</f>
        <v>1.1000000000000001</v>
      </c>
      <c r="AA567" s="185"/>
      <c r="AB567" s="186"/>
      <c r="AC567" s="186"/>
      <c r="AD567" s="495"/>
      <c r="AE567" s="186"/>
      <c r="AF567" s="187"/>
    </row>
    <row r="568" spans="1:37" x14ac:dyDescent="0.3">
      <c r="A568" s="185" t="str">
        <f>IF(OR(G536=1,G536=2,G536=3,G536=4,G536=7,G536=8,G536=9,G536=10,G536=10,G536=11,G536=12,G536=13,G536=14,G536=15,G536=16,G536=17,G536=19,G536=20,G536=21,G536=22),"- - -","Steinkohle")</f>
        <v>Steinkohle</v>
      </c>
      <c r="B568" s="186"/>
      <c r="C568" s="186"/>
      <c r="D568" s="186"/>
      <c r="E568" s="186"/>
      <c r="F568" s="187">
        <f>FP!B5</f>
        <v>1.1000000000000001</v>
      </c>
      <c r="AA568" s="185"/>
      <c r="AB568" s="186"/>
      <c r="AC568" s="186"/>
      <c r="AD568" s="495"/>
      <c r="AE568" s="186"/>
      <c r="AF568" s="187"/>
    </row>
    <row r="569" spans="1:37" x14ac:dyDescent="0.3">
      <c r="A569" s="185" t="str">
        <f>IF(OR(G536=1,G536=2,G536=3,G536=4,G536=7,G536=8,G536=9,G536=10,G536=11,G536=12,G536=13,G536=14,G536=15,G536=16,G536=17,G536=19,G536=20,G536=21,G536=22),"- - -","Braunkohle")</f>
        <v>Braunkohle</v>
      </c>
      <c r="B569" s="186"/>
      <c r="C569" s="186"/>
      <c r="D569" s="186"/>
      <c r="E569" s="186"/>
      <c r="F569" s="187">
        <f>FP!B6</f>
        <v>1.2</v>
      </c>
      <c r="AA569" s="185"/>
      <c r="AB569" s="186"/>
      <c r="AC569" s="186"/>
      <c r="AD569" s="495"/>
      <c r="AE569" s="186"/>
      <c r="AF569" s="187"/>
    </row>
    <row r="570" spans="1:37" x14ac:dyDescent="0.3">
      <c r="A570" s="185" t="str">
        <f>IF(OR(F463=1,F493=2),"- - -",IF(G536=4,"Nah/ Fernwärme aus KWK; fossiler Brennstoff","- - -"))</f>
        <v>- - -</v>
      </c>
      <c r="B570" s="186"/>
      <c r="C570" s="186"/>
      <c r="D570" s="186"/>
      <c r="E570" s="186"/>
      <c r="F570" s="187">
        <f>FP!B7</f>
        <v>0.7</v>
      </c>
      <c r="AA570" s="185"/>
      <c r="AB570" s="186"/>
      <c r="AC570" s="186"/>
      <c r="AD570" s="495"/>
      <c r="AE570" s="186"/>
      <c r="AF570" s="187"/>
    </row>
    <row r="571" spans="1:37" x14ac:dyDescent="0.3">
      <c r="A571" s="185" t="str">
        <f>IF(OR(F463=1,F493=2),"- - -",IF(G536=4,"Nah/ Fernwärme aus KWK; erneuerbarer Brennstoff","- - -"))</f>
        <v>- - -</v>
      </c>
      <c r="B571" s="186"/>
      <c r="C571" s="186"/>
      <c r="D571" s="186"/>
      <c r="E571" s="186"/>
      <c r="F571" s="729">
        <f>FP!B8</f>
        <v>0</v>
      </c>
      <c r="AA571" s="185"/>
      <c r="AB571" s="186"/>
      <c r="AC571" s="186"/>
      <c r="AD571" s="495"/>
      <c r="AE571" s="186"/>
      <c r="AF571" s="187"/>
    </row>
    <row r="572" spans="1:37" x14ac:dyDescent="0.3">
      <c r="A572" s="185" t="str">
        <f>IF(OR(F463=1,F493=2),"- - -",IF(OR(G536=4,G536=19),"Nah/Fernwärme aus Heizwerken; fossiler Brennstoff","- - -"))</f>
        <v>- - -</v>
      </c>
      <c r="B572" s="186"/>
      <c r="C572" s="186"/>
      <c r="D572" s="186"/>
      <c r="E572" s="186"/>
      <c r="F572" s="187">
        <f>FP!B9</f>
        <v>1.3</v>
      </c>
      <c r="AA572" s="185"/>
      <c r="AB572" s="186"/>
      <c r="AC572" s="186"/>
      <c r="AD572" s="495"/>
      <c r="AE572" s="186"/>
      <c r="AF572" s="187"/>
    </row>
    <row r="573" spans="1:37" x14ac:dyDescent="0.3">
      <c r="A573" s="185" t="str">
        <f>IF(OR(F463=1,F493=2),"- - -",IF(G536=4,"Nah/Fernwärme aus Heizwerken; erneuerb. Brennst.","- - -"))</f>
        <v>- - -</v>
      </c>
      <c r="B573" s="186"/>
      <c r="C573" s="186"/>
      <c r="D573" s="186"/>
      <c r="E573" s="186"/>
      <c r="F573" s="187">
        <f>FP!B10</f>
        <v>0.1</v>
      </c>
      <c r="AA573" s="185"/>
      <c r="AB573" s="186"/>
      <c r="AC573" s="186"/>
      <c r="AD573" s="495"/>
      <c r="AE573" s="186"/>
      <c r="AF573" s="187"/>
    </row>
    <row r="574" spans="1:37" x14ac:dyDescent="0.3">
      <c r="A574" s="185" t="str">
        <f>IF(OR(F463=1,F493=2),"- - -",IF(G536=4,"Nah/Fernwärme; eigener Wert","- - -"))</f>
        <v>- - -</v>
      </c>
      <c r="B574" s="186"/>
      <c r="C574" s="186"/>
      <c r="D574" s="186"/>
      <c r="E574" s="186"/>
      <c r="F574" s="187">
        <f>FP!B11</f>
        <v>0</v>
      </c>
      <c r="AA574" s="185"/>
      <c r="AB574" s="186"/>
      <c r="AC574" s="186"/>
      <c r="AD574" s="495"/>
      <c r="AE574" s="186"/>
      <c r="AF574" s="187"/>
    </row>
    <row r="575" spans="1:37" x14ac:dyDescent="0.3">
      <c r="A575" s="185" t="str">
        <f>IF(OR(G536=1,G536=4,G536=5,G536=6,G536=7,G536=8,G536=9,G536=10,G536=11,G536=12,G536=18,G536=19,G536=20,G536=21,G536=22),"- - -","Strom")</f>
        <v>- - -</v>
      </c>
      <c r="B575" s="186"/>
      <c r="C575" s="186"/>
      <c r="D575" s="186"/>
      <c r="E575" s="186"/>
      <c r="F575" s="187">
        <f>FP!B12</f>
        <v>1.8</v>
      </c>
      <c r="AA575" s="185"/>
      <c r="AB575" s="186"/>
      <c r="AC575" s="186"/>
      <c r="AD575" s="495"/>
      <c r="AE575" s="186"/>
      <c r="AF575" s="187"/>
    </row>
    <row r="576" spans="1:37" x14ac:dyDescent="0.3">
      <c r="A576" s="185" t="str">
        <f>IF(OR(G536=20,G536=21,G536=22),"Holz","- - -")</f>
        <v>- - -</v>
      </c>
      <c r="B576" s="186"/>
      <c r="C576" s="186"/>
      <c r="D576" s="186"/>
      <c r="E576" s="186"/>
      <c r="F576" s="187">
        <f>FP!B13</f>
        <v>0.2</v>
      </c>
      <c r="AA576" s="185"/>
      <c r="AB576" s="186"/>
      <c r="AC576" s="186"/>
      <c r="AD576" s="495"/>
      <c r="AE576" s="186"/>
      <c r="AF576" s="187"/>
    </row>
    <row r="577" spans="1:37" ht="14.5" thickBot="1" x14ac:dyDescent="0.35">
      <c r="A577" s="188"/>
      <c r="B577" s="189"/>
      <c r="C577" s="189"/>
      <c r="D577" s="189"/>
      <c r="E577" s="169" t="s">
        <v>436</v>
      </c>
      <c r="F577" s="170">
        <f>ROUND(CHOOSE(F563,F564,F565,F566,F567,F568,F569,F570,F571,F572,F573,F574,F575,F576),2)</f>
        <v>1.1000000000000001</v>
      </c>
      <c r="AA577" s="188"/>
      <c r="AB577" s="189"/>
      <c r="AC577" s="189"/>
      <c r="AD577" s="814"/>
      <c r="AE577" s="765" t="s">
        <v>436</v>
      </c>
      <c r="AF577" s="772">
        <f>F565</f>
        <v>1.1000000000000001</v>
      </c>
    </row>
    <row r="578" spans="1:37" ht="14.5" thickBot="1" x14ac:dyDescent="0.35"/>
    <row r="579" spans="1:37" x14ac:dyDescent="0.3">
      <c r="A579" s="160" t="s">
        <v>613</v>
      </c>
      <c r="B579" s="184"/>
      <c r="C579" s="184"/>
      <c r="D579" s="184"/>
      <c r="E579" s="184"/>
      <c r="F579" s="287" t="s">
        <v>495</v>
      </c>
      <c r="G579" s="288">
        <v>1</v>
      </c>
      <c r="K579" s="291" t="s">
        <v>613</v>
      </c>
      <c r="L579" s="162"/>
      <c r="M579" s="162"/>
      <c r="N579" s="162"/>
      <c r="O579" s="162"/>
      <c r="P579" s="162"/>
      <c r="Q579" s="162"/>
      <c r="R579" s="162"/>
      <c r="S579" s="162"/>
      <c r="T579" s="173"/>
      <c r="AA579" s="160" t="s">
        <v>613</v>
      </c>
      <c r="AB579" s="184"/>
      <c r="AC579" s="184"/>
      <c r="AD579" s="813"/>
      <c r="AE579" s="184"/>
      <c r="AF579" s="184"/>
      <c r="AG579" s="191"/>
      <c r="AK579" s="291" t="s">
        <v>613</v>
      </c>
    </row>
    <row r="580" spans="1:37" ht="14.5" thickBot="1" x14ac:dyDescent="0.35">
      <c r="A580" s="185"/>
      <c r="B580" s="186"/>
      <c r="C580" s="186"/>
      <c r="D580" s="186"/>
      <c r="E580" s="186"/>
      <c r="F580" s="186" t="s">
        <v>498</v>
      </c>
      <c r="G580" s="187" t="s">
        <v>499</v>
      </c>
      <c r="K580" s="292" t="str">
        <f>CHOOSE(G579,A581,A582,A583,A584,A585,A586,A587,A588,A589)</f>
        <v>kein weiterer Erzeuger vorhanden</v>
      </c>
      <c r="L580" s="293"/>
      <c r="M580" s="293"/>
      <c r="N580" s="293"/>
      <c r="O580" s="293"/>
      <c r="P580" s="293"/>
      <c r="Q580" s="293"/>
      <c r="R580" s="293"/>
      <c r="S580" s="293"/>
      <c r="T580" s="294"/>
      <c r="AA580" s="185"/>
      <c r="AB580" s="186"/>
      <c r="AC580" s="186"/>
      <c r="AD580" s="495"/>
      <c r="AE580" s="186"/>
      <c r="AF580" s="186"/>
      <c r="AG580" s="187"/>
      <c r="AK580" s="292" t="str">
        <f>AA581</f>
        <v>kein weiterer Erzeuger vorhanden</v>
      </c>
    </row>
    <row r="581" spans="1:37" x14ac:dyDescent="0.3">
      <c r="A581" s="185" t="str">
        <f>IF(OR(G536=16,),"- - -","kein weiterer Erzeuger vorhanden")</f>
        <v>kein weiterer Erzeuger vorhanden</v>
      </c>
      <c r="B581" s="186"/>
      <c r="C581" s="186"/>
      <c r="D581" s="186"/>
      <c r="E581" s="186"/>
      <c r="F581" s="730">
        <v>0</v>
      </c>
      <c r="G581" s="731">
        <v>0</v>
      </c>
      <c r="AA581" s="185" t="s">
        <v>56</v>
      </c>
      <c r="AB581" s="186"/>
      <c r="AC581" s="186"/>
      <c r="AD581" s="495"/>
      <c r="AE581" s="186"/>
      <c r="AF581" s="186"/>
      <c r="AG581" s="187"/>
    </row>
    <row r="582" spans="1:37" x14ac:dyDescent="0.3">
      <c r="A582" s="185" t="str">
        <f>IF(OR(G536=13,G536=14,G536=15,G536=16,G536=17),"Elektroheizung; Direktheizung","- - -")</f>
        <v>- - -</v>
      </c>
      <c r="B582" s="186"/>
      <c r="C582" s="186"/>
      <c r="D582" s="186"/>
      <c r="E582" s="186"/>
      <c r="F582" s="730">
        <v>1</v>
      </c>
      <c r="G582" s="731">
        <v>0</v>
      </c>
      <c r="AA582" s="185"/>
      <c r="AB582" s="186"/>
      <c r="AC582" s="186"/>
      <c r="AD582" s="495"/>
      <c r="AE582" s="186"/>
      <c r="AF582" s="186"/>
      <c r="AG582" s="187"/>
    </row>
    <row r="583" spans="1:37" x14ac:dyDescent="0.3">
      <c r="A583" s="185" t="str">
        <f>IF(OR(G536=13,G536=14,G536=15,G536=16,G536=17),"Elektroheizung; Speicherheizung","- - -")</f>
        <v>- - -</v>
      </c>
      <c r="B583" s="186"/>
      <c r="C583" s="186"/>
      <c r="D583" s="186"/>
      <c r="E583" s="186"/>
      <c r="F583" s="730">
        <v>1</v>
      </c>
      <c r="G583" s="731">
        <v>0</v>
      </c>
      <c r="AA583" s="185"/>
      <c r="AB583" s="186"/>
      <c r="AC583" s="186"/>
      <c r="AD583" s="495"/>
      <c r="AE583" s="186"/>
      <c r="AF583" s="186"/>
      <c r="AG583" s="187"/>
    </row>
    <row r="584" spans="1:37" x14ac:dyDescent="0.3">
      <c r="A584" s="185" t="str">
        <f>IF(OR(G536=13,G536=14,G536=15,G536=16,G536=17),"Konstanttemperaturkessel (Öl, Gas); Aufstellung im beheizten Bereich","- - -")</f>
        <v>- - -</v>
      </c>
      <c r="B584" s="186"/>
      <c r="C584" s="186"/>
      <c r="D584" s="186"/>
      <c r="E584" s="186"/>
      <c r="F584" s="730">
        <f>'H-03'!B16</f>
        <v>1.1705061552332334</v>
      </c>
      <c r="G584" s="731">
        <f>'H-03'!L6</f>
        <v>0.46385464033903279</v>
      </c>
      <c r="AA584" s="185"/>
      <c r="AB584" s="186"/>
      <c r="AC584" s="186"/>
      <c r="AD584" s="495"/>
      <c r="AE584" s="186"/>
      <c r="AF584" s="186"/>
      <c r="AG584" s="187"/>
    </row>
    <row r="585" spans="1:37" x14ac:dyDescent="0.3">
      <c r="A585" s="185" t="str">
        <f>IF(OR(G536=13,G536=14,G536=15,G536=16,G536=17),"Konstanttemperaturkessel (Öl, Gas); Aufstellung im unbeheizten Keller","- - -")</f>
        <v>- - -</v>
      </c>
      <c r="B585" s="186"/>
      <c r="C585" s="186"/>
      <c r="D585" s="186"/>
      <c r="E585" s="186"/>
      <c r="F585" s="730">
        <f>'H-03'!B17</f>
        <v>1.2606502102160175</v>
      </c>
      <c r="G585" s="731">
        <f>'H-03'!L6</f>
        <v>0.46385464033903279</v>
      </c>
      <c r="AA585" s="185"/>
      <c r="AB585" s="186"/>
      <c r="AC585" s="186"/>
      <c r="AD585" s="495"/>
      <c r="AE585" s="186"/>
      <c r="AF585" s="186"/>
      <c r="AG585" s="187"/>
    </row>
    <row r="586" spans="1:37" x14ac:dyDescent="0.3">
      <c r="A586" s="185" t="str">
        <f>IF(OR(G536=13,G536=14,G536=15,G536=16,G536=17),"Niedertemperaturkessel (Öl, Gas); Aufstellung im beheizten Bereich","- - -")</f>
        <v>- - -</v>
      </c>
      <c r="B586" s="186"/>
      <c r="C586" s="186"/>
      <c r="D586" s="186"/>
      <c r="E586" s="186"/>
      <c r="F586" s="730">
        <f>'H-03'!C16</f>
        <v>0</v>
      </c>
      <c r="G586" s="731">
        <f>'H-03'!L6</f>
        <v>0.46385464033903279</v>
      </c>
      <c r="AA586" s="185"/>
      <c r="AB586" s="186"/>
      <c r="AC586" s="186"/>
      <c r="AD586" s="495"/>
      <c r="AE586" s="186"/>
      <c r="AF586" s="186"/>
      <c r="AG586" s="187"/>
    </row>
    <row r="587" spans="1:37" x14ac:dyDescent="0.3">
      <c r="A587" s="185" t="str">
        <f>IF(OR(G536=13,G536=14,G536=15,G536=16,G536=17),"Niedertemperaturkessel (Öl, Gas); Aufstellung im unbeheizten Keller","- - -")</f>
        <v>- - -</v>
      </c>
      <c r="B587" s="186"/>
      <c r="C587" s="186"/>
      <c r="D587" s="186"/>
      <c r="E587" s="186"/>
      <c r="F587" s="730">
        <f>'H-03'!C17</f>
        <v>0</v>
      </c>
      <c r="G587" s="731">
        <f>'H-03'!L6</f>
        <v>0.46385464033903279</v>
      </c>
      <c r="AA587" s="185"/>
      <c r="AB587" s="186"/>
      <c r="AC587" s="186"/>
      <c r="AD587" s="495"/>
      <c r="AE587" s="186"/>
      <c r="AF587" s="186"/>
      <c r="AG587" s="187"/>
    </row>
    <row r="588" spans="1:37" x14ac:dyDescent="0.3">
      <c r="A588" s="185" t="str">
        <f>IF(OR(G536=13,G536=14,G536=15,G536=16,G536=17),"Brennwertkessel (Öl, Gas); Aufstellung im beheizten Bereich","- - -")</f>
        <v>- - -</v>
      </c>
      <c r="B588" s="186"/>
      <c r="C588" s="186"/>
      <c r="D588" s="186"/>
      <c r="E588" s="186"/>
      <c r="F588" s="730">
        <f>'H-03'!F16</f>
        <v>0</v>
      </c>
      <c r="G588" s="731">
        <f>'H-03'!L6</f>
        <v>0.46385464033903279</v>
      </c>
      <c r="AA588" s="185"/>
      <c r="AB588" s="186"/>
      <c r="AC588" s="186"/>
      <c r="AD588" s="495"/>
      <c r="AE588" s="186"/>
      <c r="AF588" s="186"/>
      <c r="AG588" s="187"/>
    </row>
    <row r="589" spans="1:37" x14ac:dyDescent="0.3">
      <c r="A589" s="185" t="str">
        <f>IF(OR(G536=13,G536=14,G536=15,G536=16,G536=17),"Brennwertkessel (Öl, Gas); Aufstellung im unbeheizten Keller","- - -")</f>
        <v>- - -</v>
      </c>
      <c r="B589" s="186"/>
      <c r="C589" s="186"/>
      <c r="D589" s="186"/>
      <c r="E589" s="186"/>
      <c r="F589" s="730">
        <f>'H-03'!F17</f>
        <v>0</v>
      </c>
      <c r="G589" s="731">
        <f>'H-03'!L6</f>
        <v>0.46385464033903279</v>
      </c>
      <c r="AA589" s="185"/>
      <c r="AB589" s="186"/>
      <c r="AC589" s="186"/>
      <c r="AD589" s="495"/>
      <c r="AE589" s="186"/>
      <c r="AF589" s="186"/>
      <c r="AG589" s="187"/>
    </row>
    <row r="590" spans="1:37" x14ac:dyDescent="0.3">
      <c r="A590" s="185"/>
      <c r="B590" s="186"/>
      <c r="C590" s="186"/>
      <c r="D590" s="186"/>
      <c r="E590" s="186"/>
      <c r="F590" s="717">
        <f>ROUND(CHOOSE(G579,F581,F582,F583,F584,F585,F586,F587,F588,F589),2)</f>
        <v>0</v>
      </c>
      <c r="G590" s="714">
        <f>ROUND(CHOOSE(G579,G581,G582,G583,G584,G585,G586,G587,G588,G589),2)</f>
        <v>0</v>
      </c>
      <c r="AA590" s="185"/>
      <c r="AB590" s="186"/>
      <c r="AC590" s="186"/>
      <c r="AD590" s="495"/>
      <c r="AE590" s="186"/>
      <c r="AF590" s="785">
        <v>0</v>
      </c>
      <c r="AG590" s="784">
        <v>0</v>
      </c>
    </row>
    <row r="591" spans="1:37" ht="14.5" thickBot="1" x14ac:dyDescent="0.35">
      <c r="A591" s="188"/>
      <c r="B591" s="189"/>
      <c r="C591" s="189"/>
      <c r="D591" s="189"/>
      <c r="E591" s="189"/>
      <c r="F591" s="169" t="s">
        <v>515</v>
      </c>
      <c r="G591" s="170" t="s">
        <v>486</v>
      </c>
      <c r="AA591" s="188"/>
      <c r="AB591" s="189"/>
      <c r="AC591" s="189"/>
      <c r="AD591" s="814"/>
      <c r="AE591" s="189"/>
      <c r="AF591" s="765" t="s">
        <v>515</v>
      </c>
      <c r="AG591" s="768" t="s">
        <v>486</v>
      </c>
    </row>
    <row r="592" spans="1:37" ht="14.5" thickBot="1" x14ac:dyDescent="0.35"/>
    <row r="593" spans="1:37" x14ac:dyDescent="0.3">
      <c r="K593" s="160" t="s">
        <v>599</v>
      </c>
      <c r="L593" s="287"/>
      <c r="M593" s="287"/>
      <c r="N593" s="287"/>
      <c r="O593" s="287"/>
      <c r="P593" s="287"/>
      <c r="Q593" s="287"/>
      <c r="R593" s="287"/>
      <c r="S593" s="287"/>
      <c r="T593" s="288"/>
    </row>
    <row r="594" spans="1:37" ht="14.5" thickBot="1" x14ac:dyDescent="0.35">
      <c r="K594" s="295" t="str">
        <f>IF(AND(K464&lt;&gt;"- - -",K486&lt;&gt;"- - -",K493&lt;&gt;"- - -",K505&lt;&gt;"- - -",K511&lt;&gt;"- - -",K521&lt;&gt;"- - -",K537&lt;&gt;"- - -",K564&lt;&gt;"- - -",K580&lt;&gt;"- - -"),"OK","FALSCH")</f>
        <v>OK</v>
      </c>
      <c r="L594" s="296"/>
      <c r="M594" s="296"/>
      <c r="N594" s="296"/>
      <c r="O594" s="296"/>
      <c r="P594" s="296"/>
      <c r="Q594" s="296"/>
      <c r="R594" s="296"/>
      <c r="S594" s="296"/>
      <c r="T594" s="297"/>
    </row>
    <row r="596" spans="1:37" s="154" customFormat="1" x14ac:dyDescent="0.3">
      <c r="A596" s="154" t="s">
        <v>1311</v>
      </c>
      <c r="AA596" s="154" t="s">
        <v>884</v>
      </c>
      <c r="AD596" s="806"/>
    </row>
    <row r="597" spans="1:37" ht="14.5" thickBot="1" x14ac:dyDescent="0.35"/>
    <row r="598" spans="1:37" x14ac:dyDescent="0.3">
      <c r="A598" s="160" t="s">
        <v>1312</v>
      </c>
      <c r="B598" s="1337"/>
      <c r="K598" s="291" t="s">
        <v>886</v>
      </c>
      <c r="L598" s="162"/>
      <c r="M598" s="162"/>
      <c r="N598" s="162"/>
      <c r="O598" s="162"/>
      <c r="P598" s="162"/>
      <c r="Q598" s="162"/>
      <c r="R598" s="162"/>
      <c r="S598" s="162"/>
      <c r="T598" s="173"/>
      <c r="AK598" s="291" t="s">
        <v>886</v>
      </c>
    </row>
    <row r="599" spans="1:37" ht="14.5" thickBot="1" x14ac:dyDescent="0.35">
      <c r="A599" s="1341">
        <f>'Anlage (04)'!C63</f>
        <v>0</v>
      </c>
      <c r="B599" s="768" t="s">
        <v>357</v>
      </c>
      <c r="K599" s="292" t="str">
        <f>A599&amp;" m²"</f>
        <v>0 m²</v>
      </c>
      <c r="L599" s="293"/>
      <c r="M599" s="293"/>
      <c r="N599" s="293"/>
      <c r="O599" s="293"/>
      <c r="P599" s="293"/>
      <c r="Q599" s="293"/>
      <c r="R599" s="293"/>
      <c r="S599" s="293"/>
      <c r="T599" s="294"/>
      <c r="AK599" s="292" t="str">
        <f>"0 m²"</f>
        <v>0 m²</v>
      </c>
    </row>
    <row r="600" spans="1:37" ht="14.5" thickBot="1" x14ac:dyDescent="0.35"/>
    <row r="601" spans="1:37" x14ac:dyDescent="0.3">
      <c r="A601" s="160" t="s">
        <v>1313</v>
      </c>
      <c r="B601" s="1338"/>
      <c r="C601" s="287" t="s">
        <v>495</v>
      </c>
      <c r="D601" s="288">
        <v>1</v>
      </c>
      <c r="K601" s="291" t="s">
        <v>1313</v>
      </c>
      <c r="L601" s="162"/>
      <c r="M601" s="162"/>
      <c r="N601" s="162"/>
      <c r="O601" s="162"/>
      <c r="P601" s="162"/>
      <c r="Q601" s="162"/>
      <c r="R601" s="162"/>
      <c r="S601" s="162"/>
      <c r="T601" s="173"/>
      <c r="AK601" s="291" t="s">
        <v>1313</v>
      </c>
    </row>
    <row r="602" spans="1:37" ht="14.5" thickBot="1" x14ac:dyDescent="0.35">
      <c r="A602" s="1339" t="s">
        <v>1361</v>
      </c>
      <c r="B602" s="766"/>
      <c r="C602" s="766"/>
      <c r="D602" s="769">
        <v>0</v>
      </c>
      <c r="K602" s="292" t="str">
        <f>CHOOSE(D601,A602,A603,A604)</f>
        <v>keine PV-Anlage vorhanden</v>
      </c>
      <c r="L602" s="293"/>
      <c r="M602" s="293"/>
      <c r="N602" s="293"/>
      <c r="O602" s="293"/>
      <c r="P602" s="293"/>
      <c r="Q602" s="293"/>
      <c r="R602" s="293"/>
      <c r="S602" s="293"/>
      <c r="T602" s="294"/>
      <c r="AK602" s="292" t="str">
        <f>A602</f>
        <v>keine PV-Anlage vorhanden</v>
      </c>
    </row>
    <row r="603" spans="1:37" ht="14.5" thickBot="1" x14ac:dyDescent="0.35">
      <c r="A603" s="1339" t="s">
        <v>1314</v>
      </c>
      <c r="B603" s="766"/>
      <c r="C603" s="766"/>
      <c r="D603" s="769">
        <v>0.13500000000000001</v>
      </c>
      <c r="F603" s="1342" t="s">
        <v>1328</v>
      </c>
    </row>
    <row r="604" spans="1:37" x14ac:dyDescent="0.3">
      <c r="A604" s="1339" t="s">
        <v>1315</v>
      </c>
      <c r="B604" s="766"/>
      <c r="C604" s="766"/>
      <c r="D604" s="769">
        <v>0.125</v>
      </c>
      <c r="F604" s="1335" t="s">
        <v>1329</v>
      </c>
      <c r="K604" s="291" t="s">
        <v>672</v>
      </c>
      <c r="L604" s="162"/>
      <c r="M604" s="162"/>
      <c r="N604" s="162"/>
      <c r="O604" s="162"/>
      <c r="P604" s="162"/>
      <c r="Q604" s="162"/>
      <c r="R604" s="162"/>
      <c r="S604" s="162"/>
      <c r="T604" s="173"/>
      <c r="AK604" s="291" t="s">
        <v>672</v>
      </c>
    </row>
    <row r="605" spans="1:37" ht="14.5" thickBot="1" x14ac:dyDescent="0.35">
      <c r="A605" s="1340"/>
      <c r="B605" s="765"/>
      <c r="C605" s="169" t="s">
        <v>1320</v>
      </c>
      <c r="D605" s="170">
        <f>CHOOSE(D601,D602,D603,D604)</f>
        <v>0</v>
      </c>
      <c r="F605" s="1343">
        <f>A599*D605</f>
        <v>0</v>
      </c>
      <c r="K605" s="292" t="str">
        <f>ROUND(F605,2)&amp;" kW"</f>
        <v>0 kW</v>
      </c>
      <c r="L605" s="293"/>
      <c r="M605" s="293"/>
      <c r="N605" s="293"/>
      <c r="O605" s="293"/>
      <c r="P605" s="293"/>
      <c r="Q605" s="293"/>
      <c r="R605" s="293"/>
      <c r="S605" s="293"/>
      <c r="T605" s="294"/>
      <c r="AK605" s="292" t="str">
        <f>0&amp;" kW"</f>
        <v>0 kW</v>
      </c>
    </row>
    <row r="606" spans="1:37" ht="14.5" thickBot="1" x14ac:dyDescent="0.35"/>
    <row r="607" spans="1:37" x14ac:dyDescent="0.3">
      <c r="A607" s="160" t="s">
        <v>1316</v>
      </c>
      <c r="B607" s="1338"/>
      <c r="C607" s="287" t="s">
        <v>495</v>
      </c>
      <c r="D607" s="288">
        <v>1</v>
      </c>
      <c r="K607" s="291" t="s">
        <v>1316</v>
      </c>
      <c r="L607" s="162"/>
      <c r="M607" s="162"/>
      <c r="N607" s="162"/>
      <c r="O607" s="162"/>
      <c r="P607" s="162"/>
      <c r="Q607" s="162"/>
      <c r="R607" s="162"/>
      <c r="S607" s="162"/>
      <c r="T607" s="173"/>
      <c r="AK607" s="291" t="s">
        <v>1316</v>
      </c>
    </row>
    <row r="608" spans="1:37" ht="14.5" thickBot="1" x14ac:dyDescent="0.35">
      <c r="A608" s="1339" t="s">
        <v>1361</v>
      </c>
      <c r="B608" s="766"/>
      <c r="C608" s="766"/>
      <c r="D608" s="769">
        <v>0</v>
      </c>
      <c r="K608" s="292" t="str">
        <f>CHOOSE(D607,A608,A609,A610,A611)</f>
        <v>keine PV-Anlage vorhanden</v>
      </c>
      <c r="L608" s="293"/>
      <c r="M608" s="293"/>
      <c r="N608" s="293"/>
      <c r="O608" s="293"/>
      <c r="P608" s="293"/>
      <c r="Q608" s="293"/>
      <c r="R608" s="293"/>
      <c r="S608" s="293"/>
      <c r="T608" s="294"/>
      <c r="AK608" s="292" t="str">
        <f>A608</f>
        <v>keine PV-Anlage vorhanden</v>
      </c>
    </row>
    <row r="609" spans="1:41" x14ac:dyDescent="0.3">
      <c r="A609" s="1339" t="s">
        <v>1317</v>
      </c>
      <c r="B609" s="766"/>
      <c r="C609" s="766"/>
      <c r="D609" s="769">
        <v>0.7</v>
      </c>
    </row>
    <row r="610" spans="1:41" x14ac:dyDescent="0.3">
      <c r="A610" s="1339" t="s">
        <v>1318</v>
      </c>
      <c r="B610" s="766"/>
      <c r="C610" s="766"/>
      <c r="D610" s="769">
        <v>0.75</v>
      </c>
    </row>
    <row r="611" spans="1:41" x14ac:dyDescent="0.3">
      <c r="A611" s="1339" t="s">
        <v>1319</v>
      </c>
      <c r="B611" s="766"/>
      <c r="C611" s="766"/>
      <c r="D611" s="769">
        <v>0.8</v>
      </c>
    </row>
    <row r="612" spans="1:41" ht="14.5" thickBot="1" x14ac:dyDescent="0.35">
      <c r="A612" s="1340"/>
      <c r="B612" s="765"/>
      <c r="C612" s="169" t="s">
        <v>1321</v>
      </c>
      <c r="D612" s="170">
        <f>CHOOSE(D607,D608,D609,D610,D611)</f>
        <v>0</v>
      </c>
    </row>
    <row r="613" spans="1:41" ht="14.5" thickBot="1" x14ac:dyDescent="0.35"/>
    <row r="614" spans="1:41" x14ac:dyDescent="0.3">
      <c r="A614" s="160" t="s">
        <v>1322</v>
      </c>
      <c r="B614" s="1338"/>
      <c r="C614" s="287" t="s">
        <v>495</v>
      </c>
      <c r="D614" s="287">
        <v>1</v>
      </c>
      <c r="E614" s="1338"/>
      <c r="F614" s="1338"/>
      <c r="G614" s="1338"/>
      <c r="H614" s="1338"/>
      <c r="I614" s="1338"/>
      <c r="J614" s="1338"/>
      <c r="K614" s="1338"/>
      <c r="L614" s="1338"/>
      <c r="M614" s="1338"/>
      <c r="N614" s="1338"/>
      <c r="O614" s="1337"/>
      <c r="AA614" s="160" t="s">
        <v>1322</v>
      </c>
      <c r="AB614" s="1338"/>
      <c r="AC614" s="287"/>
      <c r="AD614" s="287"/>
      <c r="AE614" s="1338"/>
      <c r="AF614" s="1338"/>
      <c r="AG614" s="1338"/>
      <c r="AH614" s="1338"/>
      <c r="AI614" s="1338"/>
      <c r="AJ614" s="1338"/>
      <c r="AK614" s="1338"/>
      <c r="AL614" s="1338"/>
      <c r="AM614" s="1338"/>
      <c r="AN614" s="1338"/>
      <c r="AO614" s="1337"/>
    </row>
    <row r="615" spans="1:41" x14ac:dyDescent="0.3">
      <c r="A615" s="1339"/>
      <c r="B615" s="766"/>
      <c r="C615" s="171" t="s">
        <v>1324</v>
      </c>
      <c r="D615" s="171" t="str">
        <f>CHOOSE(D614,B67,B68,B69,B70,B71,B72,B73,B74,B75,B76,B77,B78,B79,B80,B81,B82,B83,B84,B85,B86,B87,B88)</f>
        <v>nicht vorhanden</v>
      </c>
      <c r="E615" s="766"/>
      <c r="F615" s="766"/>
      <c r="G615" s="766"/>
      <c r="H615" s="766"/>
      <c r="I615" s="766"/>
      <c r="J615" s="766"/>
      <c r="K615" s="766"/>
      <c r="L615" s="766"/>
      <c r="M615" s="766"/>
      <c r="N615" s="766"/>
      <c r="O615" s="769"/>
      <c r="AA615" s="1339"/>
      <c r="AB615" s="766"/>
      <c r="AC615" s="171"/>
      <c r="AD615" s="171"/>
      <c r="AE615" s="766"/>
      <c r="AF615" s="766"/>
      <c r="AG615" s="766"/>
      <c r="AH615" s="766"/>
      <c r="AI615" s="766"/>
      <c r="AJ615" s="766"/>
      <c r="AK615" s="766"/>
      <c r="AL615" s="766"/>
      <c r="AM615" s="766"/>
      <c r="AN615" s="766"/>
      <c r="AO615" s="769"/>
    </row>
    <row r="616" spans="1:41" x14ac:dyDescent="0.3">
      <c r="A616" s="1339"/>
      <c r="B616" s="766"/>
      <c r="C616" s="811" t="s">
        <v>972</v>
      </c>
      <c r="D616" s="811" t="s">
        <v>973</v>
      </c>
      <c r="E616" s="811" t="s">
        <v>974</v>
      </c>
      <c r="F616" s="811" t="s">
        <v>975</v>
      </c>
      <c r="G616" s="811" t="s">
        <v>960</v>
      </c>
      <c r="H616" s="811" t="s">
        <v>976</v>
      </c>
      <c r="I616" s="811" t="s">
        <v>977</v>
      </c>
      <c r="J616" s="811" t="s">
        <v>978</v>
      </c>
      <c r="K616" s="811" t="s">
        <v>979</v>
      </c>
      <c r="L616" s="811" t="s">
        <v>980</v>
      </c>
      <c r="M616" s="811" t="s">
        <v>981</v>
      </c>
      <c r="N616" s="811" t="s">
        <v>982</v>
      </c>
      <c r="O616" s="937" t="s">
        <v>1162</v>
      </c>
      <c r="AA616" s="1339"/>
      <c r="AB616" s="766"/>
      <c r="AC616" s="811"/>
      <c r="AD616" s="811"/>
      <c r="AE616" s="811"/>
      <c r="AF616" s="811"/>
      <c r="AG616" s="811"/>
      <c r="AH616" s="811"/>
      <c r="AI616" s="811"/>
      <c r="AJ616" s="811"/>
      <c r="AK616" s="811"/>
      <c r="AL616" s="811"/>
      <c r="AM616" s="811"/>
      <c r="AN616" s="811"/>
      <c r="AO616" s="937" t="s">
        <v>1162</v>
      </c>
    </row>
    <row r="617" spans="1:41" x14ac:dyDescent="0.3">
      <c r="A617" s="1339"/>
      <c r="B617" s="766" t="s">
        <v>1330</v>
      </c>
      <c r="C617" s="811">
        <v>1</v>
      </c>
      <c r="D617" s="811">
        <v>2</v>
      </c>
      <c r="E617" s="811">
        <v>3</v>
      </c>
      <c r="F617" s="811">
        <v>4</v>
      </c>
      <c r="G617" s="811">
        <v>5</v>
      </c>
      <c r="H617" s="811">
        <v>6</v>
      </c>
      <c r="I617" s="811">
        <v>7</v>
      </c>
      <c r="J617" s="811">
        <v>8</v>
      </c>
      <c r="K617" s="811">
        <v>9</v>
      </c>
      <c r="L617" s="811">
        <v>10</v>
      </c>
      <c r="M617" s="811">
        <v>11</v>
      </c>
      <c r="N617" s="811">
        <v>12</v>
      </c>
      <c r="O617" s="937"/>
      <c r="AA617" s="1339"/>
      <c r="AB617" s="766"/>
      <c r="AC617" s="811"/>
      <c r="AD617" s="811"/>
      <c r="AE617" s="811"/>
      <c r="AF617" s="811"/>
      <c r="AG617" s="811"/>
      <c r="AH617" s="811"/>
      <c r="AI617" s="811"/>
      <c r="AJ617" s="811"/>
      <c r="AK617" s="811"/>
      <c r="AL617" s="811"/>
      <c r="AM617" s="811"/>
      <c r="AN617" s="811"/>
      <c r="AO617" s="937"/>
    </row>
    <row r="618" spans="1:41" x14ac:dyDescent="0.3">
      <c r="A618" s="1339"/>
      <c r="B618" s="766" t="s">
        <v>1325</v>
      </c>
      <c r="C618" s="811">
        <f t="shared" ref="C618:N618" si="203">VLOOKUP($D$615,$B$68:$N$88,C617+1)</f>
        <v>29</v>
      </c>
      <c r="D618" s="811">
        <f t="shared" si="203"/>
        <v>44</v>
      </c>
      <c r="E618" s="811">
        <f t="shared" si="203"/>
        <v>97</v>
      </c>
      <c r="F618" s="811">
        <f t="shared" si="203"/>
        <v>189</v>
      </c>
      <c r="G618" s="811">
        <f t="shared" si="203"/>
        <v>221</v>
      </c>
      <c r="H618" s="811">
        <f t="shared" si="203"/>
        <v>241</v>
      </c>
      <c r="I618" s="811">
        <f t="shared" si="203"/>
        <v>210</v>
      </c>
      <c r="J618" s="811">
        <f t="shared" si="203"/>
        <v>180</v>
      </c>
      <c r="K618" s="811">
        <f t="shared" si="203"/>
        <v>127</v>
      </c>
      <c r="L618" s="811">
        <f t="shared" si="203"/>
        <v>77</v>
      </c>
      <c r="M618" s="811">
        <f t="shared" si="203"/>
        <v>31</v>
      </c>
      <c r="N618" s="811">
        <f t="shared" si="203"/>
        <v>17</v>
      </c>
      <c r="O618" s="937"/>
      <c r="AA618" s="1339"/>
      <c r="AB618" s="766"/>
      <c r="AC618" s="811"/>
      <c r="AD618" s="811"/>
      <c r="AE618" s="811"/>
      <c r="AF618" s="811"/>
      <c r="AG618" s="811"/>
      <c r="AH618" s="811"/>
      <c r="AI618" s="811"/>
      <c r="AJ618" s="811"/>
      <c r="AK618" s="811"/>
      <c r="AL618" s="811"/>
      <c r="AM618" s="811"/>
      <c r="AN618" s="811"/>
      <c r="AO618" s="937"/>
    </row>
    <row r="619" spans="1:41" x14ac:dyDescent="0.3">
      <c r="A619" s="1339"/>
      <c r="B619" s="766" t="s">
        <v>1326</v>
      </c>
      <c r="C619" s="942">
        <f t="shared" ref="C619:N619" si="204">C618/1000*C102*24</f>
        <v>21.576000000000001</v>
      </c>
      <c r="D619" s="942">
        <f t="shared" si="204"/>
        <v>29.567999999999998</v>
      </c>
      <c r="E619" s="942">
        <f t="shared" si="204"/>
        <v>72.168000000000006</v>
      </c>
      <c r="F619" s="942">
        <f t="shared" si="204"/>
        <v>136.07999999999998</v>
      </c>
      <c r="G619" s="942">
        <f t="shared" si="204"/>
        <v>164.42400000000001</v>
      </c>
      <c r="H619" s="942">
        <f t="shared" si="204"/>
        <v>173.51999999999998</v>
      </c>
      <c r="I619" s="942">
        <f t="shared" si="204"/>
        <v>156.24</v>
      </c>
      <c r="J619" s="942">
        <f t="shared" si="204"/>
        <v>133.92000000000002</v>
      </c>
      <c r="K619" s="942">
        <f t="shared" si="204"/>
        <v>91.44</v>
      </c>
      <c r="L619" s="942">
        <f t="shared" si="204"/>
        <v>57.287999999999997</v>
      </c>
      <c r="M619" s="942">
        <f t="shared" si="204"/>
        <v>22.32</v>
      </c>
      <c r="N619" s="942">
        <f t="shared" si="204"/>
        <v>12.648</v>
      </c>
      <c r="O619" s="943"/>
      <c r="AA619" s="1339"/>
      <c r="AB619" s="766"/>
      <c r="AC619" s="942"/>
      <c r="AD619" s="942"/>
      <c r="AE619" s="942"/>
      <c r="AF619" s="942"/>
      <c r="AG619" s="942"/>
      <c r="AH619" s="942"/>
      <c r="AI619" s="942"/>
      <c r="AJ619" s="942"/>
      <c r="AK619" s="942"/>
      <c r="AL619" s="942"/>
      <c r="AM619" s="942"/>
      <c r="AN619" s="942"/>
      <c r="AO619" s="943"/>
    </row>
    <row r="620" spans="1:41" ht="14.5" thickBot="1" x14ac:dyDescent="0.35">
      <c r="A620" s="1340"/>
      <c r="B620" s="765" t="s">
        <v>1327</v>
      </c>
      <c r="C620" s="1528">
        <f>C619*$D$605*$A$599*$D$612</f>
        <v>0</v>
      </c>
      <c r="D620" s="1528">
        <f t="shared" ref="D620:N620" si="205">D619*$D$605*$A$599*$D$612</f>
        <v>0</v>
      </c>
      <c r="E620" s="1528">
        <f t="shared" si="205"/>
        <v>0</v>
      </c>
      <c r="F620" s="1528">
        <f t="shared" si="205"/>
        <v>0</v>
      </c>
      <c r="G620" s="1528">
        <f t="shared" si="205"/>
        <v>0</v>
      </c>
      <c r="H620" s="1528">
        <f t="shared" si="205"/>
        <v>0</v>
      </c>
      <c r="I620" s="1528">
        <f t="shared" si="205"/>
        <v>0</v>
      </c>
      <c r="J620" s="1528">
        <f t="shared" si="205"/>
        <v>0</v>
      </c>
      <c r="K620" s="1528">
        <f t="shared" si="205"/>
        <v>0</v>
      </c>
      <c r="L620" s="1528">
        <f t="shared" si="205"/>
        <v>0</v>
      </c>
      <c r="M620" s="1528">
        <f t="shared" si="205"/>
        <v>0</v>
      </c>
      <c r="N620" s="1528">
        <f t="shared" si="205"/>
        <v>0</v>
      </c>
      <c r="O620" s="1529">
        <f>SUM(C620:N620)</f>
        <v>0</v>
      </c>
      <c r="AA620" s="1340"/>
      <c r="AB620" s="765"/>
      <c r="AC620" s="1528"/>
      <c r="AD620" s="1528"/>
      <c r="AE620" s="1528"/>
      <c r="AF620" s="1528"/>
      <c r="AG620" s="1528"/>
      <c r="AH620" s="1528"/>
      <c r="AI620" s="1528"/>
      <c r="AJ620" s="1528"/>
      <c r="AK620" s="1528"/>
      <c r="AL620" s="1528"/>
      <c r="AM620" s="1528"/>
      <c r="AN620" s="1528"/>
      <c r="AO620" s="1529">
        <v>0</v>
      </c>
    </row>
    <row r="621" spans="1:41" ht="14.5" thickBot="1" x14ac:dyDescent="0.35">
      <c r="AD621" s="155"/>
    </row>
    <row r="622" spans="1:41" x14ac:dyDescent="0.3">
      <c r="A622" s="160" t="s">
        <v>1332</v>
      </c>
      <c r="B622" s="1338"/>
      <c r="C622" s="1338"/>
      <c r="D622" s="1338"/>
      <c r="E622" s="1338"/>
      <c r="F622" s="1338"/>
      <c r="G622" s="1338"/>
      <c r="H622" s="1338"/>
      <c r="I622" s="1337"/>
      <c r="AA622" s="160" t="s">
        <v>1332</v>
      </c>
      <c r="AB622" s="1338"/>
      <c r="AC622" s="1338"/>
      <c r="AD622" s="1338"/>
      <c r="AE622" s="1338"/>
      <c r="AF622" s="1338"/>
      <c r="AG622" s="1338"/>
      <c r="AH622" s="1338"/>
      <c r="AI622" s="1337"/>
    </row>
    <row r="623" spans="1:41" x14ac:dyDescent="0.3">
      <c r="A623" s="1339" t="s">
        <v>402</v>
      </c>
      <c r="B623" s="766" t="s">
        <v>593</v>
      </c>
      <c r="C623" s="1530">
        <f>IF('Ergebnisse IST (05,06,07)'!G131=FP!B12,SUM('Ergebnisse IST (05,06,07)'!G123:G126)*'Ergebnisse IST (05,06,07)'!G130*'Ergebnisse IST (05,06,07)'!G132,0)</f>
        <v>0</v>
      </c>
      <c r="D623" s="1527" t="s">
        <v>519</v>
      </c>
      <c r="E623" s="1527" t="s">
        <v>593</v>
      </c>
      <c r="F623" s="1530">
        <f>IF('Ergebnisse IST (05,06,07)'!G103=FP!B12,'Ergebnisse IST (05,06,07)'!G101*'Ergebnisse IST (05,06,07)'!G102,0)</f>
        <v>0</v>
      </c>
      <c r="G623" s="1527" t="s">
        <v>237</v>
      </c>
      <c r="H623" s="1527" t="s">
        <v>593</v>
      </c>
      <c r="I623" s="1534">
        <f>IF('Ergebnisse IST (05,06,07)'!G79=FP!B12,SUM('Ergebnisse IST (05,06,07)'!G71:G74)*'Ergebnisse IST (05,06,07)'!G78*'Ergebnisse IST (05,06,07)'!G80,0)</f>
        <v>0</v>
      </c>
      <c r="AA623" s="1339"/>
      <c r="AB623" s="766"/>
      <c r="AC623" s="1530"/>
      <c r="AD623" s="1527"/>
      <c r="AE623" s="1527"/>
      <c r="AF623" s="1530"/>
      <c r="AG623" s="1527"/>
      <c r="AH623" s="1527"/>
      <c r="AI623" s="1534"/>
    </row>
    <row r="624" spans="1:41" x14ac:dyDescent="0.3">
      <c r="A624" s="1339"/>
      <c r="B624" s="766" t="s">
        <v>595</v>
      </c>
      <c r="C624" s="1530">
        <f>IF('Ergebnisse IST (05,06,07)'!G134=FP!B12,SUM('Ergebnisse IST (05,06,07)'!G123:G126)*'Ergebnisse IST (05,06,07)'!G133*'Ergebnisse IST (05,06,07)'!G135,0)</f>
        <v>0</v>
      </c>
      <c r="D624" s="1527"/>
      <c r="E624" s="1527" t="s">
        <v>595</v>
      </c>
      <c r="F624" s="1535">
        <f>IF('Ergebnisse IST (05,06,07)'!G106=FP!B12,'Ergebnisse IST (05,06,07)'!G104*'Ergebnisse IST (05,06,07)'!G105,0)</f>
        <v>0</v>
      </c>
      <c r="G624" s="1527"/>
      <c r="H624" s="1527" t="s">
        <v>1331</v>
      </c>
      <c r="I624" s="1534">
        <f>IF('Ergebnisse IST (05,06,07)'!G82=FP!B12,SUM('Ergebnisse IST (05,06,07)'!G71:G74)*'Ergebnisse IST (05,06,07)'!G81*'Ergebnisse IST (05,06,07)'!G83,0)</f>
        <v>0</v>
      </c>
      <c r="AA624" s="1339"/>
      <c r="AB624" s="766"/>
      <c r="AC624" s="1530"/>
      <c r="AD624" s="1527"/>
      <c r="AE624" s="1527"/>
      <c r="AF624" s="1535"/>
      <c r="AG624" s="1527"/>
      <c r="AH624" s="1527"/>
      <c r="AI624" s="1534"/>
    </row>
    <row r="625" spans="1:41" x14ac:dyDescent="0.3">
      <c r="A625" s="1339"/>
      <c r="B625" s="766" t="s">
        <v>400</v>
      </c>
      <c r="C625" s="1530">
        <f>'Ergebnisse IST (05,06,07)'!M136</f>
        <v>1.23</v>
      </c>
      <c r="D625" s="1527"/>
      <c r="E625" s="1527" t="s">
        <v>400</v>
      </c>
      <c r="F625" s="1530">
        <f>'Ergebnisse IST (05,06,07)'!M107</f>
        <v>0</v>
      </c>
      <c r="G625" s="1527"/>
      <c r="H625" s="1527" t="s">
        <v>400</v>
      </c>
      <c r="I625" s="1534">
        <f>'Ergebnisse IST (05,06,07)'!M84</f>
        <v>0.64</v>
      </c>
      <c r="AA625" s="1339"/>
      <c r="AB625" s="766"/>
      <c r="AC625" s="1530"/>
      <c r="AD625" s="1527"/>
      <c r="AE625" s="1527"/>
      <c r="AF625" s="1530"/>
      <c r="AG625" s="1527"/>
      <c r="AH625" s="1527"/>
      <c r="AI625" s="1534"/>
    </row>
    <row r="626" spans="1:41" x14ac:dyDescent="0.3">
      <c r="A626" s="1339" t="s">
        <v>1336</v>
      </c>
      <c r="B626" s="766"/>
      <c r="C626" s="1531">
        <f>SUM(C623:C625)*D14</f>
        <v>393.6</v>
      </c>
      <c r="D626" s="766" t="s">
        <v>523</v>
      </c>
      <c r="E626" s="766"/>
      <c r="F626" s="766"/>
      <c r="G626" s="766"/>
      <c r="H626" s="766"/>
      <c r="I626" s="769"/>
      <c r="AA626" s="1339" t="s">
        <v>1336</v>
      </c>
      <c r="AB626" s="766"/>
      <c r="AC626" s="1531">
        <v>0</v>
      </c>
      <c r="AD626" s="766" t="s">
        <v>523</v>
      </c>
      <c r="AE626" s="766"/>
      <c r="AF626" s="766"/>
      <c r="AG626" s="766"/>
      <c r="AH626" s="766"/>
      <c r="AI626" s="769"/>
    </row>
    <row r="627" spans="1:41" x14ac:dyDescent="0.3">
      <c r="A627" s="1339" t="s">
        <v>1337</v>
      </c>
      <c r="B627" s="766"/>
      <c r="C627" s="1531">
        <f>SUM(F623:F625)*D14</f>
        <v>0</v>
      </c>
      <c r="D627" s="766" t="s">
        <v>523</v>
      </c>
      <c r="E627" s="766"/>
      <c r="F627" s="766"/>
      <c r="G627" s="766"/>
      <c r="H627" s="766"/>
      <c r="I627" s="769"/>
      <c r="AA627" s="1339" t="s">
        <v>1337</v>
      </c>
      <c r="AB627" s="766"/>
      <c r="AC627" s="1531">
        <v>0</v>
      </c>
      <c r="AD627" s="766" t="s">
        <v>523</v>
      </c>
      <c r="AE627" s="766"/>
      <c r="AF627" s="766"/>
      <c r="AG627" s="766"/>
      <c r="AH627" s="766"/>
      <c r="AI627" s="769"/>
    </row>
    <row r="628" spans="1:41" ht="14.5" thickBot="1" x14ac:dyDescent="0.35">
      <c r="A628" s="1340" t="s">
        <v>1333</v>
      </c>
      <c r="B628" s="765"/>
      <c r="C628" s="1532">
        <f>SUM(I623:I625)*D14</f>
        <v>204.8</v>
      </c>
      <c r="D628" s="765" t="s">
        <v>523</v>
      </c>
      <c r="E628" s="765"/>
      <c r="F628" s="765"/>
      <c r="G628" s="765"/>
      <c r="H628" s="765"/>
      <c r="I628" s="768"/>
      <c r="AA628" s="1340" t="s">
        <v>1333</v>
      </c>
      <c r="AB628" s="765"/>
      <c r="AC628" s="1532">
        <v>0</v>
      </c>
      <c r="AD628" s="765" t="s">
        <v>523</v>
      </c>
      <c r="AE628" s="765"/>
      <c r="AF628" s="765"/>
      <c r="AG628" s="765"/>
      <c r="AH628" s="765"/>
      <c r="AI628" s="768"/>
    </row>
    <row r="629" spans="1:41" ht="14.5" thickBot="1" x14ac:dyDescent="0.35">
      <c r="AD629" s="155"/>
    </row>
    <row r="630" spans="1:41" x14ac:dyDescent="0.3">
      <c r="A630" s="160" t="s">
        <v>1392</v>
      </c>
      <c r="B630" s="1338"/>
      <c r="C630" s="1344" t="s">
        <v>972</v>
      </c>
      <c r="D630" s="1344" t="s">
        <v>973</v>
      </c>
      <c r="E630" s="1344" t="s">
        <v>974</v>
      </c>
      <c r="F630" s="1344" t="s">
        <v>975</v>
      </c>
      <c r="G630" s="1344" t="s">
        <v>960</v>
      </c>
      <c r="H630" s="1344" t="s">
        <v>976</v>
      </c>
      <c r="I630" s="1344" t="s">
        <v>977</v>
      </c>
      <c r="J630" s="1344" t="s">
        <v>978</v>
      </c>
      <c r="K630" s="1344" t="s">
        <v>979</v>
      </c>
      <c r="L630" s="1344" t="s">
        <v>980</v>
      </c>
      <c r="M630" s="1344" t="s">
        <v>981</v>
      </c>
      <c r="N630" s="1344" t="s">
        <v>982</v>
      </c>
      <c r="O630" s="1337" t="s">
        <v>1162</v>
      </c>
      <c r="AA630" s="160" t="s">
        <v>1340</v>
      </c>
      <c r="AB630" s="1338"/>
      <c r="AC630" s="1344"/>
      <c r="AD630" s="1344"/>
      <c r="AE630" s="1344"/>
      <c r="AF630" s="1344"/>
      <c r="AG630" s="1344"/>
      <c r="AH630" s="1344"/>
      <c r="AI630" s="1344"/>
      <c r="AJ630" s="1344"/>
      <c r="AK630" s="1344"/>
      <c r="AL630" s="1344"/>
      <c r="AM630" s="1344"/>
      <c r="AN630" s="1344"/>
      <c r="AO630" s="1337"/>
    </row>
    <row r="631" spans="1:41" x14ac:dyDescent="0.3">
      <c r="A631" s="1339"/>
      <c r="B631" s="766" t="s">
        <v>1334</v>
      </c>
      <c r="C631" s="1345">
        <f t="shared" ref="C631:N631" si="206">C102/SUM($C$102:$N$102)</f>
        <v>8.4931506849315067E-2</v>
      </c>
      <c r="D631" s="1345">
        <f t="shared" si="206"/>
        <v>7.6712328767123292E-2</v>
      </c>
      <c r="E631" s="1345">
        <f t="shared" si="206"/>
        <v>8.4931506849315067E-2</v>
      </c>
      <c r="F631" s="1345">
        <f t="shared" si="206"/>
        <v>8.2191780821917804E-2</v>
      </c>
      <c r="G631" s="1345">
        <f t="shared" si="206"/>
        <v>8.4931506849315067E-2</v>
      </c>
      <c r="H631" s="1345">
        <f t="shared" si="206"/>
        <v>8.2191780821917804E-2</v>
      </c>
      <c r="I631" s="1345">
        <f t="shared" si="206"/>
        <v>8.4931506849315067E-2</v>
      </c>
      <c r="J631" s="1345">
        <f t="shared" si="206"/>
        <v>8.4931506849315067E-2</v>
      </c>
      <c r="K631" s="1345">
        <f t="shared" si="206"/>
        <v>8.2191780821917804E-2</v>
      </c>
      <c r="L631" s="1345">
        <f t="shared" si="206"/>
        <v>8.4931506849315067E-2</v>
      </c>
      <c r="M631" s="1345">
        <f t="shared" si="206"/>
        <v>8.2191780821917804E-2</v>
      </c>
      <c r="N631" s="1345">
        <f t="shared" si="206"/>
        <v>8.4931506849315067E-2</v>
      </c>
      <c r="O631" s="769"/>
      <c r="AA631" s="1339"/>
      <c r="AB631" s="766"/>
      <c r="AC631" s="1345"/>
      <c r="AD631" s="1345"/>
      <c r="AE631" s="1345"/>
      <c r="AF631" s="1345"/>
      <c r="AG631" s="1345"/>
      <c r="AH631" s="1345"/>
      <c r="AI631" s="1345"/>
      <c r="AJ631" s="1345"/>
      <c r="AK631" s="1345"/>
      <c r="AL631" s="1345"/>
      <c r="AM631" s="1345"/>
      <c r="AN631" s="1345"/>
      <c r="AO631" s="769"/>
    </row>
    <row r="632" spans="1:41" x14ac:dyDescent="0.3">
      <c r="A632" s="1339"/>
      <c r="B632" s="766" t="s">
        <v>1335</v>
      </c>
      <c r="C632" s="1345">
        <f t="shared" ref="C632:N632" si="207">D263/SUM($D$263:$O$263)</f>
        <v>0.18719176258247855</v>
      </c>
      <c r="D632" s="1345">
        <f t="shared" si="207"/>
        <v>0.1582514536066334</v>
      </c>
      <c r="E632" s="1345">
        <f t="shared" si="207"/>
        <v>0.13779691303349204</v>
      </c>
      <c r="F632" s="1345">
        <f t="shared" si="207"/>
        <v>7.543351018574157E-2</v>
      </c>
      <c r="G632" s="1345">
        <f t="shared" si="207"/>
        <v>1.912695958043939E-2</v>
      </c>
      <c r="H632" s="1345">
        <f t="shared" si="207"/>
        <v>1.863774139464487E-3</v>
      </c>
      <c r="I632" s="1345">
        <f t="shared" si="207"/>
        <v>0</v>
      </c>
      <c r="J632" s="1345">
        <f t="shared" si="207"/>
        <v>1.6353133056911523E-6</v>
      </c>
      <c r="K632" s="1345">
        <f t="shared" si="207"/>
        <v>1.666901649698992E-2</v>
      </c>
      <c r="L632" s="1345">
        <f t="shared" si="207"/>
        <v>7.4024763362645671E-2</v>
      </c>
      <c r="M632" s="1345">
        <f t="shared" si="207"/>
        <v>0.14111853877268055</v>
      </c>
      <c r="N632" s="1345">
        <f t="shared" si="207"/>
        <v>0.18852167292612881</v>
      </c>
      <c r="O632" s="769"/>
      <c r="AA632" s="1339"/>
      <c r="AB632" s="766"/>
      <c r="AC632" s="1345"/>
      <c r="AD632" s="1345"/>
      <c r="AE632" s="1345"/>
      <c r="AF632" s="1345"/>
      <c r="AG632" s="1345"/>
      <c r="AH632" s="1345"/>
      <c r="AI632" s="1345"/>
      <c r="AJ632" s="1345"/>
      <c r="AK632" s="1345"/>
      <c r="AL632" s="1345"/>
      <c r="AM632" s="1345"/>
      <c r="AN632" s="1345"/>
      <c r="AO632" s="769"/>
    </row>
    <row r="633" spans="1:41" x14ac:dyDescent="0.3">
      <c r="A633" s="1339"/>
      <c r="B633" s="766" t="s">
        <v>1338</v>
      </c>
      <c r="C633" s="942">
        <f>$C$628*C631</f>
        <v>17.393972602739726</v>
      </c>
      <c r="D633" s="942">
        <f t="shared" ref="D633:N633" si="208">$C$628*D631</f>
        <v>15.710684931506851</v>
      </c>
      <c r="E633" s="942">
        <f t="shared" si="208"/>
        <v>17.393972602739726</v>
      </c>
      <c r="F633" s="942">
        <f t="shared" si="208"/>
        <v>16.832876712328765</v>
      </c>
      <c r="G633" s="942">
        <f t="shared" si="208"/>
        <v>17.393972602739726</v>
      </c>
      <c r="H633" s="942">
        <f t="shared" si="208"/>
        <v>16.832876712328765</v>
      </c>
      <c r="I633" s="942">
        <f t="shared" si="208"/>
        <v>17.393972602739726</v>
      </c>
      <c r="J633" s="942">
        <f t="shared" si="208"/>
        <v>17.393972602739726</v>
      </c>
      <c r="K633" s="942">
        <f t="shared" si="208"/>
        <v>16.832876712328765</v>
      </c>
      <c r="L633" s="942">
        <f t="shared" si="208"/>
        <v>17.393972602739726</v>
      </c>
      <c r="M633" s="942">
        <f t="shared" si="208"/>
        <v>16.832876712328765</v>
      </c>
      <c r="N633" s="942">
        <f t="shared" si="208"/>
        <v>17.393972602739726</v>
      </c>
      <c r="O633" s="1346">
        <f>SUM(C633:N633)</f>
        <v>204.79999999999998</v>
      </c>
      <c r="AA633" s="1339"/>
      <c r="AB633" s="766"/>
      <c r="AC633" s="942"/>
      <c r="AD633" s="942"/>
      <c r="AE633" s="942"/>
      <c r="AF633" s="942"/>
      <c r="AG633" s="942"/>
      <c r="AH633" s="942"/>
      <c r="AI633" s="942"/>
      <c r="AJ633" s="942"/>
      <c r="AK633" s="942"/>
      <c r="AL633" s="942"/>
      <c r="AM633" s="942"/>
      <c r="AN633" s="942"/>
      <c r="AO633" s="1346"/>
    </row>
    <row r="634" spans="1:41" x14ac:dyDescent="0.3">
      <c r="A634" s="1339"/>
      <c r="B634" s="766" t="s">
        <v>1339</v>
      </c>
      <c r="C634" s="942">
        <f>$C$626*C632</f>
        <v>73.678677752463557</v>
      </c>
      <c r="D634" s="942">
        <f t="shared" ref="D634:N634" si="209">$C$626*D632</f>
        <v>62.287772139570912</v>
      </c>
      <c r="E634" s="942">
        <f t="shared" si="209"/>
        <v>54.23686496998247</v>
      </c>
      <c r="F634" s="942">
        <f t="shared" si="209"/>
        <v>29.690629609107884</v>
      </c>
      <c r="G634" s="942">
        <f t="shared" si="209"/>
        <v>7.5283712908609441</v>
      </c>
      <c r="H634" s="942">
        <f t="shared" si="209"/>
        <v>0.73358150129322208</v>
      </c>
      <c r="I634" s="942">
        <f t="shared" si="209"/>
        <v>0</v>
      </c>
      <c r="J634" s="942">
        <f t="shared" si="209"/>
        <v>6.4365931712003757E-4</v>
      </c>
      <c r="K634" s="942">
        <f t="shared" si="209"/>
        <v>6.5609248932152324</v>
      </c>
      <c r="L634" s="942">
        <f t="shared" si="209"/>
        <v>29.136146859537337</v>
      </c>
      <c r="M634" s="942">
        <f t="shared" si="209"/>
        <v>55.544256860927064</v>
      </c>
      <c r="N634" s="942">
        <f t="shared" si="209"/>
        <v>74.202130463724302</v>
      </c>
      <c r="O634" s="1346">
        <f>SUM(C634:N634)</f>
        <v>393.6</v>
      </c>
      <c r="AA634" s="1339"/>
      <c r="AB634" s="766"/>
      <c r="AC634" s="942"/>
      <c r="AD634" s="942"/>
      <c r="AE634" s="942"/>
      <c r="AF634" s="942"/>
      <c r="AG634" s="942"/>
      <c r="AH634" s="942"/>
      <c r="AI634" s="942"/>
      <c r="AJ634" s="942"/>
      <c r="AK634" s="942"/>
      <c r="AL634" s="942"/>
      <c r="AM634" s="942"/>
      <c r="AN634" s="942"/>
      <c r="AO634" s="1346"/>
    </row>
    <row r="635" spans="1:41" x14ac:dyDescent="0.3">
      <c r="A635" s="1339"/>
      <c r="B635" s="766" t="s">
        <v>101</v>
      </c>
      <c r="C635" s="942">
        <f>$C$627*C632</f>
        <v>0</v>
      </c>
      <c r="D635" s="942">
        <f t="shared" ref="D635:N635" si="210">$C$627*D632</f>
        <v>0</v>
      </c>
      <c r="E635" s="942">
        <f t="shared" si="210"/>
        <v>0</v>
      </c>
      <c r="F635" s="942">
        <f t="shared" si="210"/>
        <v>0</v>
      </c>
      <c r="G635" s="942">
        <f t="shared" si="210"/>
        <v>0</v>
      </c>
      <c r="H635" s="942">
        <f t="shared" si="210"/>
        <v>0</v>
      </c>
      <c r="I635" s="942">
        <f t="shared" si="210"/>
        <v>0</v>
      </c>
      <c r="J635" s="942">
        <f t="shared" si="210"/>
        <v>0</v>
      </c>
      <c r="K635" s="942">
        <f t="shared" si="210"/>
        <v>0</v>
      </c>
      <c r="L635" s="942">
        <f t="shared" si="210"/>
        <v>0</v>
      </c>
      <c r="M635" s="942">
        <f t="shared" si="210"/>
        <v>0</v>
      </c>
      <c r="N635" s="942">
        <f t="shared" si="210"/>
        <v>0</v>
      </c>
      <c r="O635" s="1346">
        <f>SUM(C635:N635)</f>
        <v>0</v>
      </c>
      <c r="AA635" s="1339"/>
      <c r="AB635" s="766"/>
      <c r="AC635" s="942"/>
      <c r="AD635" s="942"/>
      <c r="AE635" s="942"/>
      <c r="AF635" s="942"/>
      <c r="AG635" s="942"/>
      <c r="AH635" s="942"/>
      <c r="AI635" s="942"/>
      <c r="AJ635" s="942"/>
      <c r="AK635" s="942"/>
      <c r="AL635" s="942"/>
      <c r="AM635" s="942"/>
      <c r="AN635" s="942"/>
      <c r="AO635" s="1346"/>
    </row>
    <row r="636" spans="1:41" ht="14.5" thickBot="1" x14ac:dyDescent="0.35">
      <c r="A636" s="1340"/>
      <c r="B636" s="765" t="s">
        <v>1341</v>
      </c>
      <c r="C636" s="1528">
        <f>MIN(C620,SUM(C633:C635))</f>
        <v>0</v>
      </c>
      <c r="D636" s="1528">
        <f t="shared" ref="D636:N636" si="211">MIN(D620,SUM(D633:D635))</f>
        <v>0</v>
      </c>
      <c r="E636" s="1528">
        <f t="shared" si="211"/>
        <v>0</v>
      </c>
      <c r="F636" s="1528">
        <f t="shared" si="211"/>
        <v>0</v>
      </c>
      <c r="G636" s="1528">
        <f t="shared" si="211"/>
        <v>0</v>
      </c>
      <c r="H636" s="1528">
        <f t="shared" si="211"/>
        <v>0</v>
      </c>
      <c r="I636" s="1528">
        <f t="shared" si="211"/>
        <v>0</v>
      </c>
      <c r="J636" s="1528">
        <f t="shared" si="211"/>
        <v>0</v>
      </c>
      <c r="K636" s="1528">
        <f t="shared" si="211"/>
        <v>0</v>
      </c>
      <c r="L636" s="1528">
        <f t="shared" si="211"/>
        <v>0</v>
      </c>
      <c r="M636" s="1528">
        <f t="shared" si="211"/>
        <v>0</v>
      </c>
      <c r="N636" s="1528">
        <f t="shared" si="211"/>
        <v>0</v>
      </c>
      <c r="O636" s="1533">
        <f>SUM(C636:N636)</f>
        <v>0</v>
      </c>
      <c r="AA636" s="1340"/>
      <c r="AB636" s="765"/>
      <c r="AC636" s="1528"/>
      <c r="AD636" s="1528"/>
      <c r="AE636" s="1528"/>
      <c r="AF636" s="1528"/>
      <c r="AG636" s="1528"/>
      <c r="AH636" s="1528"/>
      <c r="AI636" s="1528"/>
      <c r="AJ636" s="1528"/>
      <c r="AK636" s="1528"/>
      <c r="AL636" s="1528"/>
      <c r="AM636" s="1528"/>
      <c r="AN636" s="1528"/>
      <c r="AO636" s="1533">
        <v>0</v>
      </c>
    </row>
    <row r="637" spans="1:41" x14ac:dyDescent="0.3">
      <c r="AD637" s="155"/>
    </row>
    <row r="638" spans="1:41" s="154" customFormat="1" x14ac:dyDescent="0.3">
      <c r="A638" s="154" t="s">
        <v>600</v>
      </c>
      <c r="AD638" s="806"/>
    </row>
    <row r="639" spans="1:41" ht="14.5" thickBot="1" x14ac:dyDescent="0.35"/>
    <row r="640" spans="1:41" x14ac:dyDescent="0.3">
      <c r="A640" s="156" t="s">
        <v>601</v>
      </c>
      <c r="B640" s="157" t="str">
        <f>K381</f>
        <v>OK</v>
      </c>
    </row>
    <row r="641" spans="1:38" x14ac:dyDescent="0.3">
      <c r="A641" s="192" t="s">
        <v>603</v>
      </c>
      <c r="B641" s="193" t="str">
        <f>K459</f>
        <v>OK</v>
      </c>
    </row>
    <row r="642" spans="1:38" x14ac:dyDescent="0.3">
      <c r="A642" s="192" t="s">
        <v>602</v>
      </c>
      <c r="B642" s="193" t="str">
        <f>K594</f>
        <v>OK</v>
      </c>
    </row>
    <row r="643" spans="1:38" x14ac:dyDescent="0.3">
      <c r="A643" s="192"/>
      <c r="B643" s="193"/>
    </row>
    <row r="644" spans="1:38" ht="14.5" thickBot="1" x14ac:dyDescent="0.35">
      <c r="A644" s="158" t="s">
        <v>604</v>
      </c>
      <c r="B644" s="159" t="str">
        <f>IF(AND(B640="OK",B641="OK",B642="OK"),"OK","FEHLER")</f>
        <v>OK</v>
      </c>
    </row>
    <row r="646" spans="1:38" s="154" customFormat="1" x14ac:dyDescent="0.3">
      <c r="A646" s="154" t="s">
        <v>176</v>
      </c>
      <c r="AD646" s="806"/>
    </row>
    <row r="647" spans="1:38" x14ac:dyDescent="0.3">
      <c r="D647" s="752">
        <v>11</v>
      </c>
    </row>
    <row r="649" spans="1:38" s="154" customFormat="1" x14ac:dyDescent="0.3">
      <c r="A649" s="154" t="s">
        <v>871</v>
      </c>
      <c r="AD649" s="806"/>
    </row>
    <row r="650" spans="1:38" ht="14.5" thickBot="1" x14ac:dyDescent="0.35"/>
    <row r="651" spans="1:38" x14ac:dyDescent="0.3">
      <c r="A651" s="667" t="s">
        <v>219</v>
      </c>
      <c r="B651" s="735">
        <f>'Ergebnisse IST (05,06,07)'!G71</f>
        <v>12.5</v>
      </c>
      <c r="C651" s="667" t="s">
        <v>220</v>
      </c>
      <c r="D651" s="181"/>
      <c r="E651" s="667" t="s">
        <v>221</v>
      </c>
      <c r="F651" s="735">
        <f>'Ergebnisse IST (05,06,07)'!G95</f>
        <v>0</v>
      </c>
      <c r="G651" s="667" t="s">
        <v>222</v>
      </c>
      <c r="H651" s="672" t="str">
        <f>'Ergebnisse IST (05,06,07)'!M95</f>
        <v>-</v>
      </c>
      <c r="I651" s="667" t="s">
        <v>223</v>
      </c>
      <c r="J651" s="735">
        <f>'Ergebnisse IST (05,06,07)'!G119</f>
        <v>63.749645630919829</v>
      </c>
      <c r="K651" s="667" t="s">
        <v>224</v>
      </c>
      <c r="L651" s="668">
        <f>'Ergebnisse IST (05,06,07)'!M124</f>
        <v>0</v>
      </c>
      <c r="AA651" s="667" t="s">
        <v>219</v>
      </c>
      <c r="AB651" s="735">
        <f>'Ergebnisse REF (08,09,10)'!G71</f>
        <v>12.5</v>
      </c>
      <c r="AC651" s="667" t="s">
        <v>220</v>
      </c>
      <c r="AD651" s="181"/>
      <c r="AE651" s="667" t="s">
        <v>221</v>
      </c>
      <c r="AF651" s="735">
        <f>'Ergebnisse REF (08,09,10)'!G95</f>
        <v>0</v>
      </c>
      <c r="AG651" s="667" t="s">
        <v>222</v>
      </c>
      <c r="AH651" s="672" t="str">
        <f>'Ergebnisse REF (08,09,10)'!M95</f>
        <v>-</v>
      </c>
      <c r="AI651" s="667" t="s">
        <v>223</v>
      </c>
      <c r="AJ651" s="735">
        <f>'Ergebnisse REF (08,09,10)'!G119</f>
        <v>81.969713287155201</v>
      </c>
      <c r="AK651" s="667" t="s">
        <v>224</v>
      </c>
      <c r="AL651" s="668">
        <f>'Ergebnisse REF (08,09,10)'!M124</f>
        <v>0</v>
      </c>
    </row>
    <row r="652" spans="1:38" x14ac:dyDescent="0.3">
      <c r="A652" s="8"/>
      <c r="B652" s="719">
        <f>'Ergebnisse IST (05,06,07)'!G72</f>
        <v>0</v>
      </c>
      <c r="C652" s="8"/>
      <c r="D652" s="719">
        <f>'Ergebnisse IST (05,06,07)'!M72</f>
        <v>0</v>
      </c>
      <c r="E652" s="8"/>
      <c r="F652" s="719">
        <f>'Ergebnisse IST (05,06,07)'!G96</f>
        <v>0</v>
      </c>
      <c r="G652" s="8"/>
      <c r="H652" s="322">
        <f>'Ergebnisse IST (05,06,07)'!M96</f>
        <v>0</v>
      </c>
      <c r="I652" s="8"/>
      <c r="J652" s="719">
        <f>'Ergebnisse IST (05,06,07)'!G120</f>
        <v>3.4</v>
      </c>
      <c r="K652" s="8"/>
      <c r="L652" s="669">
        <f>'Ergebnisse IST (05,06,07)'!M125</f>
        <v>0.77</v>
      </c>
      <c r="AA652" s="8"/>
      <c r="AB652" s="719">
        <f>'Ergebnisse REF (08,09,10)'!G72</f>
        <v>0</v>
      </c>
      <c r="AC652" s="8"/>
      <c r="AD652" s="719">
        <f>'Ergebnisse REF (08,09,10)'!M72</f>
        <v>0</v>
      </c>
      <c r="AE652" s="8"/>
      <c r="AF652" s="719">
        <f>'Ergebnisse REF (08,09,10)'!G96</f>
        <v>0</v>
      </c>
      <c r="AG652" s="8"/>
      <c r="AH652" s="322">
        <f>'Ergebnisse REF (08,09,10)'!M96</f>
        <v>0</v>
      </c>
      <c r="AI652" s="8"/>
      <c r="AJ652" s="719">
        <f>'Ergebnisse REF (08,09,10)'!G120</f>
        <v>3.4</v>
      </c>
      <c r="AK652" s="8"/>
      <c r="AL652" s="669">
        <f>'Ergebnisse REF (08,09,10)'!M125</f>
        <v>0.75</v>
      </c>
    </row>
    <row r="653" spans="1:38" x14ac:dyDescent="0.3">
      <c r="A653" s="8"/>
      <c r="B653" s="719">
        <f>'Ergebnisse IST (05,06,07)'!G73</f>
        <v>7.56</v>
      </c>
      <c r="C653" s="8"/>
      <c r="D653" s="719">
        <f>'Ergebnisse IST (05,06,07)'!M73</f>
        <v>0.47</v>
      </c>
      <c r="E653" s="8"/>
      <c r="F653" s="719">
        <f>'Ergebnisse IST (05,06,07)'!G97</f>
        <v>0</v>
      </c>
      <c r="G653" s="8"/>
      <c r="H653" s="322">
        <f>'Ergebnisse IST (05,06,07)'!M97</f>
        <v>0</v>
      </c>
      <c r="I653" s="8"/>
      <c r="J653" s="719">
        <f>'Ergebnisse IST (05,06,07)'!G121</f>
        <v>0</v>
      </c>
      <c r="K653" s="8"/>
      <c r="L653" s="669">
        <f>'Ergebnisse IST (05,06,07)'!M126</f>
        <v>0</v>
      </c>
      <c r="AA653" s="8"/>
      <c r="AB653" s="719">
        <f>'Ergebnisse REF (08,09,10)'!G73</f>
        <v>7.56</v>
      </c>
      <c r="AC653" s="8"/>
      <c r="AD653" s="719">
        <f>'Ergebnisse REF (08,09,10)'!M73</f>
        <v>0.47</v>
      </c>
      <c r="AE653" s="8"/>
      <c r="AF653" s="719">
        <f>'Ergebnisse REF (08,09,10)'!G97</f>
        <v>0</v>
      </c>
      <c r="AG653" s="8"/>
      <c r="AH653" s="322">
        <f>'Ergebnisse REF (08,09,10)'!M97</f>
        <v>0</v>
      </c>
      <c r="AI653" s="8"/>
      <c r="AJ653" s="719">
        <f>'Ergebnisse REF (08,09,10)'!G121</f>
        <v>0.6</v>
      </c>
      <c r="AK653" s="8"/>
      <c r="AL653" s="669">
        <f>'Ergebnisse REF (08,09,10)'!M126</f>
        <v>0</v>
      </c>
    </row>
    <row r="654" spans="1:38" x14ac:dyDescent="0.3">
      <c r="A654" s="8"/>
      <c r="B654" s="719">
        <f>'Ergebnisse IST (05,06,07)'!G74</f>
        <v>0</v>
      </c>
      <c r="C654" s="8"/>
      <c r="D654" s="719">
        <f>'Ergebnisse IST (05,06,07)'!M74</f>
        <v>0</v>
      </c>
      <c r="E654" s="8"/>
      <c r="F654" s="736">
        <f>'Ergebnisse IST (05,06,07)'!G98</f>
        <v>0</v>
      </c>
      <c r="G654" s="178"/>
      <c r="H654" s="673"/>
      <c r="I654" s="8"/>
      <c r="J654" s="719">
        <f>'Ergebnisse IST (05,06,07)'!G122</f>
        <v>0</v>
      </c>
      <c r="K654" s="8"/>
      <c r="L654" s="754">
        <f>'Ergebnisse IST (05,06,07)'!M127</f>
        <v>0</v>
      </c>
      <c r="AA654" s="8"/>
      <c r="AB654" s="719">
        <f>'Ergebnisse REF (08,09,10)'!G74</f>
        <v>1.34</v>
      </c>
      <c r="AC654" s="8"/>
      <c r="AD654" s="719">
        <f>'Ergebnisse REF (08,09,10)'!M74</f>
        <v>0.05</v>
      </c>
      <c r="AE654" s="8"/>
      <c r="AF654" s="736">
        <f>'Ergebnisse REF (08,09,10)'!G98</f>
        <v>0</v>
      </c>
      <c r="AG654" s="178"/>
      <c r="AH654" s="673"/>
      <c r="AI654" s="8"/>
      <c r="AJ654" s="719">
        <f>'Ergebnisse REF (08,09,10)'!G122</f>
        <v>0</v>
      </c>
      <c r="AK654" s="8"/>
      <c r="AL654" s="754">
        <f>'Ergebnisse REF (08,09,10)'!M127</f>
        <v>0</v>
      </c>
    </row>
    <row r="655" spans="1:38" x14ac:dyDescent="0.3">
      <c r="A655" s="8"/>
      <c r="B655" s="736">
        <f>'Ergebnisse IST (05,06,07)'!G75</f>
        <v>0</v>
      </c>
      <c r="C655" s="178"/>
      <c r="D655" s="736">
        <f>'Ergebnisse IST (05,06,07)'!M75</f>
        <v>0</v>
      </c>
      <c r="E655" s="178"/>
      <c r="F655" s="737">
        <f>'Ergebnisse IST (05,06,07)'!G99</f>
        <v>0</v>
      </c>
      <c r="G655" s="178"/>
      <c r="H655" s="673"/>
      <c r="I655" s="8"/>
      <c r="J655" s="719">
        <f>'Ergebnisse IST (05,06,07)'!G123</f>
        <v>60.349645630919831</v>
      </c>
      <c r="K655" s="8"/>
      <c r="L655" s="757">
        <f>FP!B12</f>
        <v>1.8</v>
      </c>
      <c r="AA655" s="8"/>
      <c r="AB655" s="736">
        <f>'Ergebnisse REF (08,09,10)'!G75</f>
        <v>0.502883238565493</v>
      </c>
      <c r="AC655" s="178"/>
      <c r="AD655" s="736">
        <f>'Ergebnisse REF (08,09,10)'!M75</f>
        <v>0.502883238565493</v>
      </c>
      <c r="AE655" s="178"/>
      <c r="AF655" s="737">
        <f>'Ergebnisse REF (08,09,10)'!G99</f>
        <v>0</v>
      </c>
      <c r="AG655" s="178"/>
      <c r="AH655" s="673"/>
      <c r="AI655" s="8"/>
      <c r="AJ655" s="719">
        <f>'Ergebnisse REF (08,09,10)'!G123</f>
        <v>77.969713287155201</v>
      </c>
      <c r="AK655" s="8"/>
      <c r="AL655" s="757">
        <f>'Ergebnisse REF (08,09,10)'!M128</f>
        <v>0</v>
      </c>
    </row>
    <row r="656" spans="1:38" x14ac:dyDescent="0.3">
      <c r="A656" s="8"/>
      <c r="B656" s="737">
        <v>0</v>
      </c>
      <c r="C656" s="178"/>
      <c r="D656" s="737">
        <f>FP!B12</f>
        <v>1.8</v>
      </c>
      <c r="E656" s="178"/>
      <c r="F656" s="738">
        <v>0</v>
      </c>
      <c r="G656" s="178"/>
      <c r="H656" s="673"/>
      <c r="I656" s="8"/>
      <c r="J656" s="719">
        <f>'Ergebnisse IST (05,06,07)'!G124</f>
        <v>3.3</v>
      </c>
      <c r="K656" s="8"/>
      <c r="L656" s="756">
        <f>'Ergebnisse IST (05,06,07)'!M129</f>
        <v>0</v>
      </c>
      <c r="AA656" s="8"/>
      <c r="AB656" s="737">
        <f>'Ergebnisse REF (08,09,10)'!G76</f>
        <v>0</v>
      </c>
      <c r="AC656" s="178"/>
      <c r="AD656" s="737">
        <f>'Ergebnisse REF (08,09,10)'!M76</f>
        <v>1.8</v>
      </c>
      <c r="AE656" s="178"/>
      <c r="AF656" s="738">
        <f>'Ergebnisse REF (08,09,10)'!G100</f>
        <v>0</v>
      </c>
      <c r="AG656" s="178"/>
      <c r="AH656" s="673"/>
      <c r="AI656" s="8"/>
      <c r="AJ656" s="719">
        <f>'Ergebnisse REF (08,09,10)'!G124</f>
        <v>1.1000000000000001</v>
      </c>
      <c r="AK656" s="8"/>
      <c r="AL656" s="756">
        <f>'Ergebnisse REF (08,09,10)'!M129</f>
        <v>0</v>
      </c>
    </row>
    <row r="657" spans="1:38" x14ac:dyDescent="0.3">
      <c r="A657" s="8"/>
      <c r="B657" s="738">
        <f>'Ergebnisse IST (05,06,07)'!G77</f>
        <v>0</v>
      </c>
      <c r="C657" s="178"/>
      <c r="D657" s="738">
        <f>'Ergebnisse IST (05,06,07)'!M77</f>
        <v>0</v>
      </c>
      <c r="E657" s="178"/>
      <c r="F657" s="736">
        <f>'Ergebnisse IST (05,06,07)'!G101</f>
        <v>0</v>
      </c>
      <c r="G657" s="178"/>
      <c r="H657" s="322">
        <f>'Ergebnisse IST (05,06,07)'!M101</f>
        <v>0</v>
      </c>
      <c r="I657" s="8"/>
      <c r="J657" s="719">
        <f>'Ergebnisse IST (05,06,07)'!G125</f>
        <v>7.63</v>
      </c>
      <c r="K657" s="8"/>
      <c r="L657" s="754">
        <f>'Ergebnisse IST (05,06,07)'!M130</f>
        <v>1</v>
      </c>
      <c r="AA657" s="8"/>
      <c r="AB657" s="738">
        <f>'Ergebnisse REF (08,09,10)'!G77</f>
        <v>0</v>
      </c>
      <c r="AC657" s="178"/>
      <c r="AD657" s="738">
        <f>'Ergebnisse REF (08,09,10)'!M77</f>
        <v>0.50024037531574594</v>
      </c>
      <c r="AE657" s="178"/>
      <c r="AF657" s="736">
        <f>'Ergebnisse REF (08,09,10)'!G101</f>
        <v>0</v>
      </c>
      <c r="AG657" s="178"/>
      <c r="AH657" s="322">
        <f>'Ergebnisse REF (08,09,10)'!M101</f>
        <v>1.1100000000000001</v>
      </c>
      <c r="AI657" s="8"/>
      <c r="AJ657" s="719">
        <f>'Ergebnisse REF (08,09,10)'!G125</f>
        <v>1.48</v>
      </c>
      <c r="AK657" s="8"/>
      <c r="AL657" s="754">
        <f>'Ergebnisse REF (08,09,10)'!M130</f>
        <v>1</v>
      </c>
    </row>
    <row r="658" spans="1:38" x14ac:dyDescent="0.3">
      <c r="A658" s="8"/>
      <c r="B658" s="736">
        <f>'Ergebnisse IST (05,06,07)'!G78</f>
        <v>1</v>
      </c>
      <c r="C658" s="178"/>
      <c r="D658" s="736">
        <f>'Ergebnisse IST (05,06,07)'!M78</f>
        <v>1</v>
      </c>
      <c r="E658" s="178"/>
      <c r="F658" s="737">
        <f>'Ergebnisse IST (05,06,07)'!G102</f>
        <v>0</v>
      </c>
      <c r="G658" s="178"/>
      <c r="H658" s="741" t="str">
        <f>'Ergebnisse IST (05,06,07)'!M102</f>
        <v>-</v>
      </c>
      <c r="I658" s="8"/>
      <c r="J658" s="719">
        <f>'Ergebnisse IST (05,06,07)'!G126</f>
        <v>0</v>
      </c>
      <c r="K658" s="8"/>
      <c r="L658" s="757">
        <f>FP!B12</f>
        <v>1.8</v>
      </c>
      <c r="AA658" s="8"/>
      <c r="AB658" s="736">
        <f>'Ergebnisse REF (08,09,10)'!G78</f>
        <v>0.5</v>
      </c>
      <c r="AC658" s="178"/>
      <c r="AD658" s="736">
        <f>'Ergebnisse REF (08,09,10)'!M78</f>
        <v>0.5</v>
      </c>
      <c r="AE658" s="178"/>
      <c r="AF658" s="737">
        <f>'Ergebnisse REF (08,09,10)'!G102</f>
        <v>0</v>
      </c>
      <c r="AG658" s="178"/>
      <c r="AH658" s="741" t="str">
        <f>'Ergebnisse REF (08,09,10)'!M102</f>
        <v>-</v>
      </c>
      <c r="AI658" s="8"/>
      <c r="AJ658" s="719">
        <f>'Ergebnisse REF (08,09,10)'!G126</f>
        <v>0</v>
      </c>
      <c r="AK658" s="8"/>
      <c r="AL658" s="757">
        <f>'Ergebnisse REF (08,09,10)'!M131</f>
        <v>1.8</v>
      </c>
    </row>
    <row r="659" spans="1:38" x14ac:dyDescent="0.3">
      <c r="A659" s="8"/>
      <c r="B659" s="737">
        <f>ROUND(CHOOSE(F310,F311,F312,F313,F314,F315,F316,F317,F318,F319,F320,F321,F322),2)</f>
        <v>1.1000000000000001</v>
      </c>
      <c r="C659" s="178"/>
      <c r="D659" s="737">
        <f>FP!B12</f>
        <v>1.8</v>
      </c>
      <c r="E659" s="178"/>
      <c r="F659" s="738">
        <f>FP!B12</f>
        <v>1.8</v>
      </c>
      <c r="G659" s="178"/>
      <c r="H659" s="322">
        <f>FP!B12</f>
        <v>1.8</v>
      </c>
      <c r="I659" s="8"/>
      <c r="J659" s="736">
        <f>'Ergebnisse IST (05,06,07)'!G127</f>
        <v>0</v>
      </c>
      <c r="K659" s="178"/>
      <c r="L659" s="756">
        <f>'Ergebnisse IST (05,06,07)'!M132</f>
        <v>0.46</v>
      </c>
      <c r="AA659" s="8"/>
      <c r="AB659" s="737">
        <f>'Ergebnisse REF (08,09,10)'!G79</f>
        <v>1.1000000000000001</v>
      </c>
      <c r="AC659" s="178"/>
      <c r="AD659" s="737">
        <f>'Ergebnisse REF (08,09,10)'!M79</f>
        <v>1.8</v>
      </c>
      <c r="AE659" s="178"/>
      <c r="AF659" s="738">
        <f>'Ergebnisse REF (08,09,10)'!G103</f>
        <v>0</v>
      </c>
      <c r="AG659" s="178"/>
      <c r="AH659" s="322">
        <f>'Ergebnisse REF (08,09,10)'!M103</f>
        <v>1.8</v>
      </c>
      <c r="AI659" s="8"/>
      <c r="AJ659" s="736">
        <f>'Ergebnisse REF (08,09,10)'!G127</f>
        <v>0</v>
      </c>
      <c r="AK659" s="178"/>
      <c r="AL659" s="756">
        <f>'Ergebnisse REF (08,09,10)'!M132</f>
        <v>0.46</v>
      </c>
    </row>
    <row r="660" spans="1:38" x14ac:dyDescent="0.3">
      <c r="A660" s="8"/>
      <c r="B660" s="738">
        <f>'Ergebnisse IST (05,06,07)'!G80</f>
        <v>1.54</v>
      </c>
      <c r="C660" s="178"/>
      <c r="D660" s="738">
        <f>'Ergebnisse IST (05,06,07)'!M80</f>
        <v>0.17</v>
      </c>
      <c r="E660" s="178"/>
      <c r="F660" s="736">
        <f>'Ergebnisse IST (05,06,07)'!G104</f>
        <v>0</v>
      </c>
      <c r="G660" s="178"/>
      <c r="H660" s="673"/>
      <c r="I660" s="8"/>
      <c r="J660" s="737">
        <v>0</v>
      </c>
      <c r="K660" s="178"/>
      <c r="L660" s="754">
        <f>'Ergebnisse IST (05,06,07)'!M133</f>
        <v>0</v>
      </c>
      <c r="AA660" s="8"/>
      <c r="AB660" s="738">
        <f>'Ergebnisse REF (08,09,10)'!G80</f>
        <v>1.1200000000000001</v>
      </c>
      <c r="AC660" s="178"/>
      <c r="AD660" s="738">
        <f>'Ergebnisse REF (08,09,10)'!M80</f>
        <v>0.17</v>
      </c>
      <c r="AE660" s="178"/>
      <c r="AF660" s="736">
        <f>'Ergebnisse REF (08,09,10)'!G104</f>
        <v>0</v>
      </c>
      <c r="AG660" s="178"/>
      <c r="AH660" s="673"/>
      <c r="AI660" s="8"/>
      <c r="AJ660" s="737">
        <f>'Ergebnisse REF (08,09,10)'!G128</f>
        <v>0</v>
      </c>
      <c r="AK660" s="178"/>
      <c r="AL660" s="754">
        <f>'Ergebnisse REF (08,09,10)'!M133</f>
        <v>0</v>
      </c>
    </row>
    <row r="661" spans="1:38" x14ac:dyDescent="0.3">
      <c r="A661" s="8"/>
      <c r="B661" s="736">
        <f>'Ergebnisse IST (05,06,07)'!G81</f>
        <v>0</v>
      </c>
      <c r="C661" s="178"/>
      <c r="D661" s="736">
        <f>'Ergebnisse IST (05,06,07)'!M81</f>
        <v>0</v>
      </c>
      <c r="E661" s="178"/>
      <c r="F661" s="737">
        <f>'Ergebnisse IST (05,06,07)'!G105</f>
        <v>0</v>
      </c>
      <c r="G661" s="178"/>
      <c r="H661" s="673"/>
      <c r="I661" s="8"/>
      <c r="J661" s="738">
        <f>'Ergebnisse IST (05,06,07)'!G129</f>
        <v>0</v>
      </c>
      <c r="K661" s="178"/>
      <c r="L661" s="757">
        <f>FP!B12</f>
        <v>1.8</v>
      </c>
      <c r="AA661" s="8"/>
      <c r="AB661" s="736">
        <f>'Ergebnisse REF (08,09,10)'!G81</f>
        <v>0</v>
      </c>
      <c r="AC661" s="178"/>
      <c r="AD661" s="736">
        <f>'Ergebnisse REF (08,09,10)'!M81</f>
        <v>0</v>
      </c>
      <c r="AE661" s="178"/>
      <c r="AF661" s="737">
        <f>'Ergebnisse REF (08,09,10)'!G105</f>
        <v>0</v>
      </c>
      <c r="AG661" s="178"/>
      <c r="AH661" s="673"/>
      <c r="AI661" s="8"/>
      <c r="AJ661" s="738">
        <f>'Ergebnisse REF (08,09,10)'!G129</f>
        <v>0</v>
      </c>
      <c r="AK661" s="178"/>
      <c r="AL661" s="755">
        <f>'Ergebnisse REF (08,09,10)'!M134</f>
        <v>0</v>
      </c>
    </row>
    <row r="662" spans="1:38" x14ac:dyDescent="0.3">
      <c r="A662" s="753"/>
      <c r="B662" s="737">
        <f>ROUND(CHOOSE(F325,F326,F327),2)</f>
        <v>0</v>
      </c>
      <c r="C662" s="178"/>
      <c r="D662" s="737">
        <f>FP!B12</f>
        <v>1.8</v>
      </c>
      <c r="E662" s="178"/>
      <c r="F662" s="738">
        <f>ROUND(CHOOSE(F451,E452,E453,E454),2)</f>
        <v>0</v>
      </c>
      <c r="G662" s="178"/>
      <c r="H662" s="673"/>
      <c r="I662" s="8"/>
      <c r="J662" s="736">
        <f>'Ergebnisse IST (05,06,07)'!G130</f>
        <v>1</v>
      </c>
      <c r="K662" s="178"/>
      <c r="L662" s="756">
        <f>'Ergebnisse IST (05,06,07)'!M135</f>
        <v>0</v>
      </c>
      <c r="AA662" s="753"/>
      <c r="AB662" s="737">
        <f>'Ergebnisse REF (08,09,10)'!G82</f>
        <v>0</v>
      </c>
      <c r="AC662" s="178"/>
      <c r="AD662" s="737">
        <f>'Ergebnisse REF (08,09,10)'!M82</f>
        <v>0</v>
      </c>
      <c r="AE662" s="178"/>
      <c r="AF662" s="738">
        <f>'Ergebnisse REF (08,09,10)'!G106</f>
        <v>0</v>
      </c>
      <c r="AG662" s="178"/>
      <c r="AH662" s="673"/>
      <c r="AI662" s="8"/>
      <c r="AJ662" s="736">
        <f>'Ergebnisse REF (08,09,10)'!G130</f>
        <v>1</v>
      </c>
      <c r="AK662" s="178"/>
      <c r="AL662" s="756">
        <f>'Ergebnisse REF (08,09,10)'!M135</f>
        <v>0</v>
      </c>
    </row>
    <row r="663" spans="1:38" x14ac:dyDescent="0.3">
      <c r="A663" s="8"/>
      <c r="B663" s="738">
        <f>'Ergebnisse IST (05,06,07)'!G83</f>
        <v>0</v>
      </c>
      <c r="C663" s="178"/>
      <c r="D663" s="738">
        <f>'Ergebnisse IST (05,06,07)'!M83</f>
        <v>0</v>
      </c>
      <c r="E663" s="178"/>
      <c r="F663" s="719"/>
      <c r="G663" s="8"/>
      <c r="H663" s="322"/>
      <c r="I663" s="8"/>
      <c r="J663" s="737">
        <f>ROUND(CHOOSE(F563,F564,F565,F566,F567,F568,F569,F570,F571,F572,F573,F574,F575,F576),2)</f>
        <v>1.1000000000000001</v>
      </c>
      <c r="K663" s="178"/>
      <c r="L663" s="669"/>
      <c r="AA663" s="8"/>
      <c r="AB663" s="738">
        <f>'Ergebnisse REF (08,09,10)'!G83</f>
        <v>0</v>
      </c>
      <c r="AC663" s="178"/>
      <c r="AD663" s="738">
        <f>'Ergebnisse REF (08,09,10)'!M83</f>
        <v>0</v>
      </c>
      <c r="AE663" s="178"/>
      <c r="AF663" s="719"/>
      <c r="AG663" s="8"/>
      <c r="AH663" s="322"/>
      <c r="AI663" s="8"/>
      <c r="AJ663" s="737">
        <f>'Ergebnisse REF (08,09,10)'!G131</f>
        <v>1.1000000000000001</v>
      </c>
      <c r="AK663" s="178"/>
      <c r="AL663" s="669"/>
    </row>
    <row r="664" spans="1:38" ht="14.5" thickBot="1" x14ac:dyDescent="0.35">
      <c r="A664" s="8"/>
      <c r="B664" s="719"/>
      <c r="C664" s="8"/>
      <c r="D664" s="719"/>
      <c r="E664" s="8"/>
      <c r="F664" s="740">
        <f>F654*F655*F656+F657*F658*F659+F660*F661*F662</f>
        <v>0</v>
      </c>
      <c r="G664" s="8"/>
      <c r="H664" s="742">
        <f>(H652+H653+H657)*H659</f>
        <v>0</v>
      </c>
      <c r="I664" s="8"/>
      <c r="J664" s="738">
        <f>'Ergebnisse IST (05,06,07)'!G132</f>
        <v>1.17</v>
      </c>
      <c r="K664" s="180"/>
      <c r="L664" s="670">
        <f>(L651+L652+L653+L654*L656+L657*L659+L660*L662)*L658</f>
        <v>2.214</v>
      </c>
      <c r="AA664" s="8"/>
      <c r="AB664" s="719"/>
      <c r="AC664" s="8"/>
      <c r="AD664" s="719"/>
      <c r="AE664" s="8"/>
      <c r="AF664" s="740">
        <f>AF654*AF655*AF656+AF657*AF658*AF659+AF660*AF661*AF662</f>
        <v>0</v>
      </c>
      <c r="AG664" s="8"/>
      <c r="AH664" s="742">
        <f>(AH652+AH653+AH657)*AH659</f>
        <v>1.9980000000000002</v>
      </c>
      <c r="AI664" s="8"/>
      <c r="AJ664" s="738">
        <f>'Ergebnisse REF (08,09,10)'!G132</f>
        <v>0.96</v>
      </c>
      <c r="AK664" s="180"/>
      <c r="AL664" s="670">
        <f>(AL651+AL652+AL653+AL654*AL656+AL657*AL659+AL660*AL662)*AL658</f>
        <v>2.1779999999999999</v>
      </c>
    </row>
    <row r="665" spans="1:38" ht="14.5" thickBot="1" x14ac:dyDescent="0.35">
      <c r="A665" s="11"/>
      <c r="B665" s="739">
        <f>(B651+B652+B653+B654)*(B655*B656*B657+B658*B659*B660+B661*B662*B663)</f>
        <v>33.981639999999999</v>
      </c>
      <c r="C665" s="11"/>
      <c r="D665" s="739">
        <f>(D652+D653+D654+D655*D657+D658*D660+D661*D663)*D659</f>
        <v>1.1520000000000001</v>
      </c>
      <c r="E665" s="11"/>
      <c r="F665" s="671"/>
      <c r="G665" s="11"/>
      <c r="H665" s="180"/>
      <c r="I665" s="8"/>
      <c r="J665" s="736">
        <f>'Ergebnisse IST (05,06,07)'!G133</f>
        <v>0</v>
      </c>
      <c r="L665" s="220"/>
      <c r="AA665" s="11"/>
      <c r="AB665" s="739">
        <f>(AB651+AB652+AB653+AB654)*(AB655*AB656*AB657+AB658*AB659*AB660+AB661*AB662*AB663)</f>
        <v>13.182400000000001</v>
      </c>
      <c r="AC665" s="11"/>
      <c r="AD665" s="739">
        <f>(AD652+AD653+AD654+AD655*AD657+AD658*AD660+AD661*AD663)*AD659</f>
        <v>1.5418125</v>
      </c>
      <c r="AE665" s="11"/>
      <c r="AF665" s="671"/>
      <c r="AG665" s="11"/>
      <c r="AH665" s="180"/>
      <c r="AI665" s="8"/>
      <c r="AJ665" s="736">
        <f>'Ergebnisse REF (08,09,10)'!G133</f>
        <v>0</v>
      </c>
      <c r="AL665" s="220"/>
    </row>
    <row r="666" spans="1:38" ht="14.5" thickBot="1" x14ac:dyDescent="0.35">
      <c r="I666" s="8"/>
      <c r="J666" s="737">
        <f>H533</f>
        <v>0</v>
      </c>
      <c r="L666" s="220"/>
      <c r="AD666" s="155"/>
      <c r="AI666" s="8"/>
      <c r="AJ666" s="737">
        <f>'Ergebnisse REF (08,09,10)'!G134</f>
        <v>0</v>
      </c>
      <c r="AL666" s="220"/>
    </row>
    <row r="667" spans="1:38" x14ac:dyDescent="0.3">
      <c r="I667" s="8"/>
      <c r="J667" s="738">
        <f>'Ergebnisse IST (05,06,07)'!G135</f>
        <v>0</v>
      </c>
      <c r="L667" s="674" t="s">
        <v>522</v>
      </c>
      <c r="AD667" s="155"/>
      <c r="AI667" s="8"/>
      <c r="AJ667" s="738">
        <f>'Ergebnisse REF (08,09,10)'!G135</f>
        <v>0</v>
      </c>
      <c r="AL667" s="674" t="s">
        <v>522</v>
      </c>
    </row>
    <row r="668" spans="1:38" ht="14.5" thickBot="1" x14ac:dyDescent="0.35">
      <c r="I668" s="8"/>
      <c r="J668" s="719"/>
      <c r="L668" s="743">
        <f>B665+D665+F664+H664+J669+L664</f>
        <v>129.08454392699383</v>
      </c>
      <c r="AD668" s="155"/>
      <c r="AI668" s="8"/>
      <c r="AJ668" s="719"/>
      <c r="AL668" s="743">
        <f>AB665+AD665+AF664+AH664+AJ669+AL664</f>
        <v>103.96070973123589</v>
      </c>
    </row>
    <row r="669" spans="1:38" ht="14.5" thickBot="1" x14ac:dyDescent="0.35">
      <c r="I669" s="11"/>
      <c r="J669" s="739">
        <f>(J655+J656+J657+J658)*(J659*J660*J661+J662*J663*J664+J665*J666*J667)</f>
        <v>91.736903926993818</v>
      </c>
      <c r="AD669" s="155"/>
      <c r="AI669" s="11"/>
      <c r="AJ669" s="739">
        <f>(AJ655+AJ656+AJ657+AJ658)*(AJ659*AJ660*AJ661+AJ662*AJ663*AJ664+AJ665*AJ666*AJ667)</f>
        <v>85.0604972312359</v>
      </c>
    </row>
    <row r="670" spans="1:38" ht="14.5" thickBot="1" x14ac:dyDescent="0.35"/>
    <row r="671" spans="1:38" ht="14.5" thickBot="1" x14ac:dyDescent="0.35">
      <c r="A671" s="561"/>
      <c r="B671" s="562"/>
      <c r="C671" s="563"/>
      <c r="D671" s="745" t="s">
        <v>230</v>
      </c>
      <c r="E671" s="745" t="s">
        <v>231</v>
      </c>
      <c r="F671" s="564" t="s">
        <v>232</v>
      </c>
      <c r="G671" s="564" t="s">
        <v>233</v>
      </c>
      <c r="H671" s="564" t="s">
        <v>234</v>
      </c>
      <c r="I671" s="564" t="s">
        <v>235</v>
      </c>
      <c r="J671" s="565" t="s">
        <v>615</v>
      </c>
      <c r="AA671" s="561"/>
      <c r="AB671" s="562"/>
      <c r="AC671" s="563"/>
      <c r="AD671" s="745" t="s">
        <v>230</v>
      </c>
      <c r="AE671" s="745"/>
      <c r="AF671" s="564" t="s">
        <v>232</v>
      </c>
      <c r="AG671" s="564"/>
      <c r="AH671" s="564" t="s">
        <v>234</v>
      </c>
      <c r="AI671" s="564"/>
      <c r="AJ671" s="565" t="s">
        <v>615</v>
      </c>
    </row>
    <row r="672" spans="1:38" x14ac:dyDescent="0.3">
      <c r="A672" s="559" t="s">
        <v>227</v>
      </c>
      <c r="B672" s="560"/>
      <c r="C672" s="568"/>
      <c r="D672" s="744">
        <f>IF(OR(F310=1,F310=2,F310=3),(B651+B652+B653+B654)*B658*B660,0)</f>
        <v>30.892399999999999</v>
      </c>
      <c r="E672" s="744">
        <v>0</v>
      </c>
      <c r="F672" s="744">
        <v>0</v>
      </c>
      <c r="G672" s="744">
        <f>IF(OR(F563=2,F563=3,F563=4),(F660*F661),0)</f>
        <v>0</v>
      </c>
      <c r="H672" s="744">
        <f>IF(OR(F563=2,F563=3,F563=4),(J655+J656+J657+J658)*J662*J664,0)</f>
        <v>83.397185388176197</v>
      </c>
      <c r="I672" s="744">
        <f>IF(H533=FP!B2,(J655+J656+J657+J658)*J665*J667,0)</f>
        <v>0</v>
      </c>
      <c r="J672" s="747">
        <f>SUM(D672:I672)</f>
        <v>114.28958538817619</v>
      </c>
      <c r="AA672" s="559" t="s">
        <v>227</v>
      </c>
      <c r="AB672" s="560"/>
      <c r="AC672" s="568"/>
      <c r="AD672" s="744">
        <f>IF(OR(F330=12,F330=13),0,AB665/AB659)</f>
        <v>11.984</v>
      </c>
      <c r="AE672" s="744"/>
      <c r="AF672" s="744"/>
      <c r="AG672" s="744"/>
      <c r="AH672" s="744">
        <f>AJ669/AJ663</f>
        <v>77.327724755668996</v>
      </c>
      <c r="AI672" s="744"/>
      <c r="AJ672" s="747">
        <f>SUM(AD672:AI672)</f>
        <v>89.31172475566899</v>
      </c>
    </row>
    <row r="673" spans="1:36" x14ac:dyDescent="0.3">
      <c r="A673" s="559" t="s">
        <v>228</v>
      </c>
      <c r="B673" s="560"/>
      <c r="C673" s="568"/>
      <c r="D673" s="744">
        <f>IF(OR(F310=4,F310=5),(B651+B652+B653+B654)*B658*B660,0)</f>
        <v>0</v>
      </c>
      <c r="E673" s="744">
        <v>0</v>
      </c>
      <c r="F673" s="744">
        <v>0</v>
      </c>
      <c r="G673" s="744">
        <f>IF(OR(F563=5,F563=6),(F660*F661),0)</f>
        <v>0</v>
      </c>
      <c r="H673" s="744">
        <f>IF(OR(F563=5,F563=6),(J655+J656+J657+J658)*J662*J664,0)</f>
        <v>0</v>
      </c>
      <c r="I673" s="744">
        <v>0</v>
      </c>
      <c r="J673" s="749">
        <f>SUM(D673:I673)</f>
        <v>0</v>
      </c>
      <c r="AA673" s="559"/>
      <c r="AB673" s="560"/>
      <c r="AC673" s="568"/>
      <c r="AD673" s="744"/>
      <c r="AE673" s="744"/>
      <c r="AF673" s="744"/>
      <c r="AG673" s="744"/>
      <c r="AH673" s="744"/>
      <c r="AI673" s="744"/>
      <c r="AJ673" s="749"/>
    </row>
    <row r="674" spans="1:36" x14ac:dyDescent="0.3">
      <c r="A674" s="559" t="s">
        <v>229</v>
      </c>
      <c r="B674" s="560"/>
      <c r="C674" s="568"/>
      <c r="D674" s="744">
        <f>IF(OR(F310=6,F310=7,F310=8,F310=9,F310=10),(B651+B652+B653+B654)*B658*B660,0)</f>
        <v>0</v>
      </c>
      <c r="E674" s="744">
        <v>0</v>
      </c>
      <c r="F674" s="744">
        <v>0</v>
      </c>
      <c r="G674" s="744">
        <f>IF(OR(F563=7,F563=8,F563=9,F563=10,F563=11),(F660*F661),0)</f>
        <v>0</v>
      </c>
      <c r="H674" s="744">
        <f>IF(OR(F563=7,F563=8,F563=9,F563=10,F563=11),(J655+J656+J657+J658)*J662*J664,0)</f>
        <v>0</v>
      </c>
      <c r="I674" s="744">
        <v>0</v>
      </c>
      <c r="J674" s="749">
        <f>SUM(D674:I674)</f>
        <v>0</v>
      </c>
      <c r="AA674" s="559"/>
      <c r="AB674" s="560"/>
      <c r="AC674" s="568"/>
      <c r="AD674" s="744"/>
      <c r="AE674" s="744"/>
      <c r="AF674" s="744"/>
      <c r="AG674" s="744"/>
      <c r="AH674" s="744"/>
      <c r="AI674" s="744"/>
      <c r="AJ674" s="749"/>
    </row>
    <row r="675" spans="1:36" x14ac:dyDescent="0.3">
      <c r="A675" s="559" t="s">
        <v>225</v>
      </c>
      <c r="B675" s="560"/>
      <c r="C675" s="568"/>
      <c r="D675" s="744">
        <f>IF(OR(F310=11),(B651+B652+B653+B654)*B658*B660,0)</f>
        <v>0</v>
      </c>
      <c r="E675" s="744">
        <f>IF(OR(F325=2),(B651+B652+B653+B654)*B661*B663,0)</f>
        <v>0</v>
      </c>
      <c r="F675" s="744">
        <f>F657*F658</f>
        <v>0</v>
      </c>
      <c r="G675" s="744">
        <f>IF(OR(F563=12,F451=2),(F660*F661),0)</f>
        <v>0</v>
      </c>
      <c r="H675" s="744">
        <f>IF(OR(F563=12),(J655+J656+J657+J658)*J662*J664,0)</f>
        <v>0</v>
      </c>
      <c r="I675" s="744">
        <f>IF(H533=FP!B12,(J655+J656+J657+J658)*J665*J667,0)</f>
        <v>0</v>
      </c>
      <c r="J675" s="749">
        <f>SUM(D675:I675)</f>
        <v>0</v>
      </c>
      <c r="AA675" s="559" t="s">
        <v>225</v>
      </c>
      <c r="AB675" s="560"/>
      <c r="AC675" s="568"/>
      <c r="AD675" s="744">
        <f>IF(OR(F330=12,F330=13),AB665/AB659,0)</f>
        <v>0</v>
      </c>
      <c r="AE675" s="744"/>
      <c r="AF675" s="744"/>
      <c r="AG675" s="744"/>
      <c r="AH675" s="744"/>
      <c r="AI675" s="744"/>
      <c r="AJ675" s="749">
        <f>SUM(AD675:AI675)</f>
        <v>0</v>
      </c>
    </row>
    <row r="676" spans="1:36" x14ac:dyDescent="0.3">
      <c r="A676" s="559" t="s">
        <v>343</v>
      </c>
      <c r="B676" s="560"/>
      <c r="C676" s="568"/>
      <c r="D676" s="744">
        <f>IF(OR(F310=12),(B651+B652+B653+B654)*B658*B660,0)</f>
        <v>0</v>
      </c>
      <c r="E676" s="744">
        <v>0</v>
      </c>
      <c r="F676" s="744">
        <v>0</v>
      </c>
      <c r="G676" s="744">
        <v>0</v>
      </c>
      <c r="H676" s="744">
        <f>IF(OR(F563=13),(J655+J656+J657+J658)*J662*J664,0)</f>
        <v>0</v>
      </c>
      <c r="I676" s="744">
        <v>0</v>
      </c>
      <c r="J676" s="749">
        <f>SUM(D676:I676)</f>
        <v>0</v>
      </c>
      <c r="AA676" s="559"/>
      <c r="AB676" s="560"/>
      <c r="AC676" s="568"/>
      <c r="AD676" s="744"/>
      <c r="AE676" s="744"/>
      <c r="AF676" s="744"/>
      <c r="AG676" s="744"/>
      <c r="AH676" s="744"/>
      <c r="AI676" s="744"/>
      <c r="AJ676" s="749"/>
    </row>
    <row r="677" spans="1:36" ht="14.5" thickBot="1" x14ac:dyDescent="0.35">
      <c r="A677" s="571"/>
      <c r="B677" s="569"/>
      <c r="C677" s="569"/>
      <c r="D677" s="569"/>
      <c r="E677" s="289"/>
      <c r="F677" s="569"/>
      <c r="G677" s="289"/>
      <c r="H677" s="569"/>
      <c r="I677" s="289"/>
      <c r="J677" s="290"/>
      <c r="AA677" s="571"/>
      <c r="AB677" s="569"/>
      <c r="AC677" s="569"/>
      <c r="AD677" s="569"/>
      <c r="AE677" s="289"/>
      <c r="AF677" s="569"/>
      <c r="AG677" s="289"/>
      <c r="AH677" s="569"/>
      <c r="AI677" s="289"/>
      <c r="AJ677" s="290"/>
    </row>
    <row r="678" spans="1:36" ht="14.5" thickBot="1" x14ac:dyDescent="0.35">
      <c r="A678" s="566" t="s">
        <v>226</v>
      </c>
      <c r="B678" s="567"/>
      <c r="C678" s="570"/>
      <c r="D678" s="746">
        <f>'Ergebnisse IST (05,06,07)'!M84</f>
        <v>0.64</v>
      </c>
      <c r="E678" s="296"/>
      <c r="F678" s="746">
        <f>'Ergebnisse IST (05,06,07)'!M107</f>
        <v>0</v>
      </c>
      <c r="G678" s="296"/>
      <c r="H678" s="744">
        <f>'Ergebnisse IST (05,06,07)'!M136</f>
        <v>1.23</v>
      </c>
      <c r="I678" s="296"/>
      <c r="J678" s="748">
        <f>D678+F678+H678</f>
        <v>1.87</v>
      </c>
      <c r="AA678" s="566" t="s">
        <v>226</v>
      </c>
      <c r="AB678" s="567"/>
      <c r="AC678" s="570"/>
      <c r="AD678" s="746">
        <f>AD665/AD659</f>
        <v>0.8565625</v>
      </c>
      <c r="AE678" s="296"/>
      <c r="AF678" s="746">
        <f>AH664/AH659</f>
        <v>1.1100000000000001</v>
      </c>
      <c r="AG678" s="296"/>
      <c r="AH678" s="744">
        <f>AL664/AL658</f>
        <v>1.21</v>
      </c>
      <c r="AI678" s="296"/>
      <c r="AJ678" s="748">
        <f>AD678+AF678+AH678</f>
        <v>3.1765625000000002</v>
      </c>
    </row>
    <row r="680" spans="1:36" s="154" customFormat="1" x14ac:dyDescent="0.3">
      <c r="A680" s="154" t="s">
        <v>7</v>
      </c>
      <c r="AD680" s="806"/>
    </row>
    <row r="681" spans="1:36" ht="14.5" thickBot="1" x14ac:dyDescent="0.35"/>
    <row r="682" spans="1:36" x14ac:dyDescent="0.3">
      <c r="A682" s="160" t="s">
        <v>10</v>
      </c>
      <c r="B682" s="1222"/>
      <c r="C682" s="1222" t="s">
        <v>11</v>
      </c>
      <c r="D682" s="1224">
        <v>1.4</v>
      </c>
    </row>
    <row r="683" spans="1:36" x14ac:dyDescent="0.3">
      <c r="A683" s="182">
        <v>2</v>
      </c>
      <c r="B683" s="1221"/>
      <c r="C683" s="1221" t="s">
        <v>12</v>
      </c>
      <c r="D683" s="1225">
        <v>1</v>
      </c>
    </row>
    <row r="684" spans="1:36" ht="14.5" thickBot="1" x14ac:dyDescent="0.35">
      <c r="A684" s="1226"/>
      <c r="B684" s="1223"/>
      <c r="C684" s="1223" t="s">
        <v>495</v>
      </c>
      <c r="D684" s="170">
        <f>CHOOSE(A683,D682,D683)</f>
        <v>1</v>
      </c>
    </row>
    <row r="685" spans="1:36" ht="14.5" thickBot="1" x14ac:dyDescent="0.35"/>
    <row r="686" spans="1:36" x14ac:dyDescent="0.3">
      <c r="A686" s="160" t="s">
        <v>522</v>
      </c>
      <c r="B686" s="1222" t="s">
        <v>705</v>
      </c>
      <c r="C686" s="1450"/>
      <c r="D686" s="1222"/>
      <c r="E686" s="1452">
        <f>IF(B644="FEHLER","- - -",'Ergebnisse IST (05,06,07)'!M180)</f>
        <v>129.08454392699383</v>
      </c>
    </row>
    <row r="687" spans="1:36" ht="14.5" thickBot="1" x14ac:dyDescent="0.35">
      <c r="A687" s="295" t="s">
        <v>1226</v>
      </c>
      <c r="B687" s="1223" t="s">
        <v>883</v>
      </c>
      <c r="C687" s="1451"/>
      <c r="D687" s="1223"/>
      <c r="E687" s="1453">
        <f>'Ergebnisse REF (08,09,10)'!M180*0.55</f>
        <v>57.178390352179747</v>
      </c>
    </row>
    <row r="688" spans="1:36" ht="14.5" thickBot="1" x14ac:dyDescent="0.35"/>
    <row r="689" spans="1:5" x14ac:dyDescent="0.3">
      <c r="A689" s="160" t="s">
        <v>1215</v>
      </c>
      <c r="B689" s="1222" t="s">
        <v>705</v>
      </c>
      <c r="C689" s="1450"/>
      <c r="D689" s="1222"/>
      <c r="E689" s="1560">
        <f>IF(B644="FEHLER","- - -",Rechnungen!H6)</f>
        <v>0.25</v>
      </c>
    </row>
    <row r="690" spans="1:5" ht="14.5" thickBot="1" x14ac:dyDescent="0.35">
      <c r="A690" s="295" t="s">
        <v>1226</v>
      </c>
      <c r="B690" s="1223" t="s">
        <v>883</v>
      </c>
      <c r="C690" s="1451"/>
      <c r="D690" s="1223"/>
      <c r="E690" s="710">
        <f>Rechnungen!H7</f>
        <v>0.33</v>
      </c>
    </row>
  </sheetData>
  <customSheetViews>
    <customSheetView guid="{AB7935E0-18C1-11D5-A405-00409522490A}" state="hidden" showRuler="0">
      <selection sqref="A1:IV65536"/>
      <pageMargins left="0.78740157499999996" right="0.78740157499999996" top="0.984251969" bottom="0.984251969" header="0.4921259845" footer="0.4921259845"/>
      <pageSetup paperSize="9" orientation="portrait" horizontalDpi="300" verticalDpi="300" r:id="rId1"/>
      <headerFooter alignWithMargins="0"/>
    </customSheetView>
    <customSheetView guid="{586D4F31-1FA3-11D6-B431-009027A4C716}" showGridLines="0" state="hidden" showRuler="0" topLeftCell="A480">
      <selection activeCell="A490" sqref="A490"/>
      <pageMargins left="0.78740157499999996" right="0.78740157499999996" top="0.984251969" bottom="0.984251969" header="0.4921259845" footer="0.4921259845"/>
      <pageSetup paperSize="9" orientation="portrait" horizontalDpi="300" verticalDpi="300" r:id="rId2"/>
      <headerFooter alignWithMargins="0"/>
    </customSheetView>
  </customSheetViews>
  <phoneticPr fontId="0" type="noConversion"/>
  <pageMargins left="0.78740157499999996" right="0.78740157499999996" top="0.984251969" bottom="0.984251969" header="0.4921259845" footer="0.4921259845"/>
  <pageSetup paperSize="9" orientation="portrait" horizontalDpi="300" verticalDpi="300"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L53"/>
  <sheetViews>
    <sheetView workbookViewId="0"/>
  </sheetViews>
  <sheetFormatPr baseColWidth="10" defaultColWidth="10" defaultRowHeight="12.5" x14ac:dyDescent="0.25"/>
  <cols>
    <col min="1" max="1" width="16" style="201" customWidth="1"/>
    <col min="2" max="2" width="11.33203125" style="201" customWidth="1"/>
    <col min="3" max="3" width="11.08203125" style="201" customWidth="1"/>
    <col min="4" max="4" width="11.83203125" style="201" customWidth="1"/>
    <col min="5" max="5" width="12.33203125" style="201" customWidth="1"/>
    <col min="6" max="6" width="11.75" style="201" customWidth="1"/>
    <col min="7" max="7" width="11.25" style="201" customWidth="1"/>
    <col min="8" max="8" width="10.83203125" style="201" customWidth="1"/>
    <col min="9" max="9" width="11.33203125" style="201" customWidth="1"/>
    <col min="10" max="10" width="10.75" style="201" customWidth="1"/>
    <col min="11" max="11" width="10.5" style="201" customWidth="1"/>
    <col min="12" max="12" width="10" style="201" customWidth="1"/>
    <col min="13" max="16384" width="10" style="202"/>
  </cols>
  <sheetData>
    <row r="1" spans="1:11" x14ac:dyDescent="0.25">
      <c r="A1" s="53" t="s">
        <v>487</v>
      </c>
    </row>
    <row r="2" spans="1:11" ht="13" thickBot="1" x14ac:dyDescent="0.3"/>
    <row r="3" spans="1:11" ht="15" customHeight="1" x14ac:dyDescent="0.25">
      <c r="A3" s="1688" t="s">
        <v>368</v>
      </c>
      <c r="B3" s="1700" t="s">
        <v>369</v>
      </c>
      <c r="C3" s="1701"/>
      <c r="D3" s="1701"/>
      <c r="E3" s="1701"/>
      <c r="F3" s="1701"/>
      <c r="G3" s="1702" t="s">
        <v>370</v>
      </c>
      <c r="H3" s="1705" t="s">
        <v>388</v>
      </c>
    </row>
    <row r="4" spans="1:11" ht="25" x14ac:dyDescent="0.25">
      <c r="A4" s="1689"/>
      <c r="B4" s="54" t="s">
        <v>371</v>
      </c>
      <c r="C4" s="55" t="s">
        <v>371</v>
      </c>
      <c r="D4" s="55" t="s">
        <v>372</v>
      </c>
      <c r="E4" s="55" t="s">
        <v>372</v>
      </c>
      <c r="F4" s="55" t="s">
        <v>373</v>
      </c>
      <c r="G4" s="1703"/>
      <c r="H4" s="1706"/>
    </row>
    <row r="5" spans="1:11" ht="25" x14ac:dyDescent="0.25">
      <c r="A5" s="1698"/>
      <c r="B5" s="54" t="s">
        <v>374</v>
      </c>
      <c r="C5" s="55" t="s">
        <v>375</v>
      </c>
      <c r="D5" s="55" t="s">
        <v>374</v>
      </c>
      <c r="E5" s="55" t="s">
        <v>375</v>
      </c>
      <c r="F5" s="55" t="s">
        <v>374</v>
      </c>
      <c r="G5" s="1704"/>
      <c r="H5" s="1707"/>
    </row>
    <row r="6" spans="1:11" ht="13" thickBot="1" x14ac:dyDescent="0.3">
      <c r="A6" s="212">
        <f>Rechnungen!D14</f>
        <v>320</v>
      </c>
      <c r="B6" s="57">
        <f>13+0.01*A6</f>
        <v>16.2</v>
      </c>
      <c r="C6" s="57">
        <f>26+0.02*A6</f>
        <v>32.4</v>
      </c>
      <c r="D6" s="57">
        <f>0.038*A6</f>
        <v>12.16</v>
      </c>
      <c r="E6" s="57">
        <f>0.075*A6</f>
        <v>24</v>
      </c>
      <c r="F6" s="57">
        <f>6*A6/80</f>
        <v>24</v>
      </c>
      <c r="G6" s="58">
        <f>10+(1/(0.07+50/A6))</f>
        <v>14.41988950276243</v>
      </c>
      <c r="H6" s="59">
        <f>24-G6</f>
        <v>9.5801104972375697</v>
      </c>
    </row>
    <row r="7" spans="1:11" ht="13" thickBot="1" x14ac:dyDescent="0.3"/>
    <row r="8" spans="1:11" ht="17.25" customHeight="1" x14ac:dyDescent="0.25">
      <c r="A8" s="1688" t="s">
        <v>368</v>
      </c>
      <c r="B8" s="1690" t="s">
        <v>376</v>
      </c>
      <c r="C8" s="1690"/>
      <c r="D8" s="1690"/>
      <c r="E8" s="1690"/>
      <c r="F8" s="1690"/>
      <c r="G8" s="1690"/>
      <c r="H8" s="1690"/>
      <c r="I8" s="1690"/>
      <c r="J8" s="1690"/>
      <c r="K8" s="1693"/>
    </row>
    <row r="9" spans="1:11" ht="25" x14ac:dyDescent="0.25">
      <c r="A9" s="1689"/>
      <c r="B9" s="60" t="s">
        <v>371</v>
      </c>
      <c r="C9" s="60" t="s">
        <v>371</v>
      </c>
      <c r="D9" s="60" t="s">
        <v>372</v>
      </c>
      <c r="E9" s="60" t="s">
        <v>373</v>
      </c>
      <c r="F9" s="60" t="s">
        <v>371</v>
      </c>
      <c r="G9" s="60" t="s">
        <v>371</v>
      </c>
      <c r="H9" s="60" t="s">
        <v>371</v>
      </c>
      <c r="I9" s="60" t="s">
        <v>371</v>
      </c>
      <c r="J9" s="60" t="s">
        <v>372</v>
      </c>
      <c r="K9" s="61" t="s">
        <v>372</v>
      </c>
    </row>
    <row r="10" spans="1:11" ht="25" x14ac:dyDescent="0.25">
      <c r="A10" s="1699"/>
      <c r="B10" s="60" t="s">
        <v>374</v>
      </c>
      <c r="C10" s="60" t="s">
        <v>374</v>
      </c>
      <c r="D10" s="60" t="s">
        <v>374</v>
      </c>
      <c r="E10" s="60" t="s">
        <v>374</v>
      </c>
      <c r="F10" s="60" t="s">
        <v>375</v>
      </c>
      <c r="G10" s="60" t="s">
        <v>375</v>
      </c>
      <c r="H10" s="60" t="s">
        <v>375</v>
      </c>
      <c r="I10" s="60" t="s">
        <v>375</v>
      </c>
      <c r="J10" s="60" t="s">
        <v>375</v>
      </c>
      <c r="K10" s="61" t="s">
        <v>375</v>
      </c>
    </row>
    <row r="11" spans="1:11" ht="37.5" x14ac:dyDescent="0.25">
      <c r="A11" s="1689"/>
      <c r="B11" s="60" t="s">
        <v>377</v>
      </c>
      <c r="C11" s="60" t="s">
        <v>378</v>
      </c>
      <c r="D11" s="60" t="s">
        <v>377</v>
      </c>
      <c r="E11" s="60" t="s">
        <v>377</v>
      </c>
      <c r="F11" s="60" t="s">
        <v>377</v>
      </c>
      <c r="G11" s="60" t="s">
        <v>377</v>
      </c>
      <c r="H11" s="60" t="s">
        <v>378</v>
      </c>
      <c r="I11" s="60" t="s">
        <v>378</v>
      </c>
      <c r="J11" s="60" t="s">
        <v>377</v>
      </c>
      <c r="K11" s="61" t="s">
        <v>377</v>
      </c>
    </row>
    <row r="12" spans="1:11" ht="37.5" x14ac:dyDescent="0.25">
      <c r="A12" s="1689"/>
      <c r="B12" s="60"/>
      <c r="C12" s="60"/>
      <c r="D12" s="60"/>
      <c r="E12" s="60"/>
      <c r="F12" s="60" t="s">
        <v>379</v>
      </c>
      <c r="G12" s="60" t="s">
        <v>380</v>
      </c>
      <c r="H12" s="60" t="s">
        <v>379</v>
      </c>
      <c r="I12" s="60" t="s">
        <v>381</v>
      </c>
      <c r="J12" s="60" t="s">
        <v>379</v>
      </c>
      <c r="K12" s="61" t="s">
        <v>380</v>
      </c>
    </row>
    <row r="13" spans="1:11" ht="13" thickBot="1" x14ac:dyDescent="0.3">
      <c r="A13" s="62">
        <f>A6</f>
        <v>320</v>
      </c>
      <c r="B13" s="63">
        <f>0.001*0.2*B6*(32-20)*350*24</f>
        <v>326.59199999999998</v>
      </c>
      <c r="C13" s="63">
        <f>0.001*0.2*B6*(32-13)*350*24</f>
        <v>517.10400000000004</v>
      </c>
      <c r="D13" s="63">
        <f>0.001*0.2*D6*(32-20)*350*24</f>
        <v>245.14560000000003</v>
      </c>
      <c r="E13" s="63">
        <f>0.001*0.2*F6*(32-20)*350*24</f>
        <v>483.84000000000003</v>
      </c>
      <c r="F13" s="63">
        <f>0.001*0.2*C6*(50-20)*350*G6</f>
        <v>981.1292817679556</v>
      </c>
      <c r="G13" s="63">
        <f>0.001*0.2*C6*(32-20)*350*H6*0.5</f>
        <v>130.36614364640883</v>
      </c>
      <c r="H13" s="63">
        <f>0.001*0.2*C6*(50-13)*350*G6</f>
        <v>1210.0594475138121</v>
      </c>
      <c r="I13" s="63">
        <f>0.001*0.2*C6*(32-13)*350*H6*0.5</f>
        <v>206.41306077348068</v>
      </c>
      <c r="J13" s="63">
        <f>0.001*0.2*E6*(50-20)*350*G6</f>
        <v>726.76243093922653</v>
      </c>
      <c r="K13" s="64">
        <f>0.001*0.2*E6*(32-20)*350*H6*0.5</f>
        <v>96.567513812154701</v>
      </c>
    </row>
    <row r="14" spans="1:11" ht="13" thickBot="1" x14ac:dyDescent="0.3"/>
    <row r="15" spans="1:11" ht="15" customHeight="1" x14ac:dyDescent="0.25">
      <c r="A15" s="1688" t="s">
        <v>368</v>
      </c>
      <c r="B15" s="1692" t="s">
        <v>382</v>
      </c>
      <c r="C15" s="1690"/>
      <c r="D15" s="1690"/>
      <c r="E15" s="1690"/>
      <c r="F15" s="1690"/>
      <c r="G15" s="1690"/>
      <c r="H15" s="1690"/>
      <c r="I15" s="1690"/>
      <c r="J15" s="1690"/>
      <c r="K15" s="1693"/>
    </row>
    <row r="16" spans="1:11" ht="25" x14ac:dyDescent="0.25">
      <c r="A16" s="1689"/>
      <c r="B16" s="60" t="s">
        <v>371</v>
      </c>
      <c r="C16" s="60" t="s">
        <v>371</v>
      </c>
      <c r="D16" s="60" t="s">
        <v>372</v>
      </c>
      <c r="E16" s="60" t="s">
        <v>373</v>
      </c>
      <c r="F16" s="60" t="s">
        <v>371</v>
      </c>
      <c r="G16" s="60" t="s">
        <v>371</v>
      </c>
      <c r="H16" s="60" t="s">
        <v>371</v>
      </c>
      <c r="I16" s="60" t="s">
        <v>371</v>
      </c>
      <c r="J16" s="60" t="s">
        <v>372</v>
      </c>
      <c r="K16" s="61" t="s">
        <v>372</v>
      </c>
    </row>
    <row r="17" spans="1:11" ht="25" x14ac:dyDescent="0.25">
      <c r="A17" s="1689"/>
      <c r="B17" s="60" t="s">
        <v>374</v>
      </c>
      <c r="C17" s="60" t="s">
        <v>374</v>
      </c>
      <c r="D17" s="60" t="s">
        <v>374</v>
      </c>
      <c r="E17" s="60" t="s">
        <v>374</v>
      </c>
      <c r="F17" s="60" t="s">
        <v>375</v>
      </c>
      <c r="G17" s="60" t="s">
        <v>375</v>
      </c>
      <c r="H17" s="60" t="s">
        <v>375</v>
      </c>
      <c r="I17" s="60" t="s">
        <v>375</v>
      </c>
      <c r="J17" s="60" t="s">
        <v>375</v>
      </c>
      <c r="K17" s="61" t="s">
        <v>375</v>
      </c>
    </row>
    <row r="18" spans="1:11" ht="37.5" x14ac:dyDescent="0.25">
      <c r="A18" s="1689"/>
      <c r="B18" s="60" t="s">
        <v>377</v>
      </c>
      <c r="C18" s="60" t="s">
        <v>378</v>
      </c>
      <c r="D18" s="60" t="s">
        <v>377</v>
      </c>
      <c r="E18" s="60" t="s">
        <v>377</v>
      </c>
      <c r="F18" s="60" t="s">
        <v>377</v>
      </c>
      <c r="G18" s="60" t="s">
        <v>377</v>
      </c>
      <c r="H18" s="60" t="s">
        <v>378</v>
      </c>
      <c r="I18" s="60" t="s">
        <v>378</v>
      </c>
      <c r="J18" s="60" t="s">
        <v>377</v>
      </c>
      <c r="K18" s="61" t="s">
        <v>377</v>
      </c>
    </row>
    <row r="19" spans="1:11" ht="37.5" x14ac:dyDescent="0.25">
      <c r="A19" s="1689"/>
      <c r="B19" s="60"/>
      <c r="C19" s="60"/>
      <c r="D19" s="60"/>
      <c r="E19" s="60"/>
      <c r="F19" s="60" t="s">
        <v>379</v>
      </c>
      <c r="G19" s="60" t="s">
        <v>380</v>
      </c>
      <c r="H19" s="60" t="s">
        <v>379</v>
      </c>
      <c r="I19" s="60" t="s">
        <v>381</v>
      </c>
      <c r="J19" s="60" t="s">
        <v>379</v>
      </c>
      <c r="K19" s="61" t="s">
        <v>380</v>
      </c>
    </row>
    <row r="20" spans="1:11" ht="13" thickBot="1" x14ac:dyDescent="0.3">
      <c r="A20" s="56">
        <f>A13</f>
        <v>320</v>
      </c>
      <c r="B20" s="63">
        <f>185/350*(1-0.15)*B13</f>
        <v>146.73311999999999</v>
      </c>
      <c r="C20" s="63"/>
      <c r="D20" s="63">
        <f>185/350*(1-0.15)*D13</f>
        <v>110.14041600000002</v>
      </c>
      <c r="E20" s="63">
        <f>185/350*(1-0.15)*E13</f>
        <v>217.38240000000002</v>
      </c>
      <c r="F20" s="63">
        <f>185/350*(1-0.15)*F13</f>
        <v>440.80737016574579</v>
      </c>
      <c r="G20" s="63">
        <f>185/350*(1-0.15)*G13</f>
        <v>58.571645966850824</v>
      </c>
      <c r="H20" s="63"/>
      <c r="I20" s="63"/>
      <c r="J20" s="63">
        <f>185/350*(1-0.15)*J13</f>
        <v>326.5239779005525</v>
      </c>
      <c r="K20" s="64">
        <f>185/350*(1-0.15)*K13</f>
        <v>43.386404419889502</v>
      </c>
    </row>
    <row r="21" spans="1:11" ht="13" thickBot="1" x14ac:dyDescent="0.3"/>
    <row r="22" spans="1:11" ht="25.5" customHeight="1" x14ac:dyDescent="0.25">
      <c r="A22" s="1688" t="s">
        <v>368</v>
      </c>
      <c r="B22" s="1690" t="s">
        <v>375</v>
      </c>
      <c r="C22" s="1690"/>
      <c r="D22" s="1690"/>
      <c r="E22" s="1691"/>
      <c r="F22" s="1692" t="s">
        <v>374</v>
      </c>
      <c r="G22" s="1690"/>
      <c r="H22" s="1690"/>
      <c r="I22" s="1693"/>
    </row>
    <row r="23" spans="1:11" ht="38.25" customHeight="1" x14ac:dyDescent="0.25">
      <c r="A23" s="1689"/>
      <c r="B23" s="1694" t="s">
        <v>383</v>
      </c>
      <c r="C23" s="1695"/>
      <c r="D23" s="1696" t="s">
        <v>384</v>
      </c>
      <c r="E23" s="1695"/>
      <c r="F23" s="1696" t="s">
        <v>383</v>
      </c>
      <c r="G23" s="1695"/>
      <c r="H23" s="1696" t="s">
        <v>384</v>
      </c>
      <c r="I23" s="1697"/>
    </row>
    <row r="24" spans="1:11" x14ac:dyDescent="0.25">
      <c r="A24" s="1689"/>
      <c r="B24" s="54" t="s">
        <v>385</v>
      </c>
      <c r="C24" s="60" t="s">
        <v>386</v>
      </c>
      <c r="D24" s="60" t="s">
        <v>387</v>
      </c>
      <c r="E24" s="65" t="s">
        <v>386</v>
      </c>
      <c r="F24" s="60" t="s">
        <v>387</v>
      </c>
      <c r="G24" s="60" t="s">
        <v>386</v>
      </c>
      <c r="H24" s="66" t="s">
        <v>387</v>
      </c>
      <c r="I24" s="67" t="s">
        <v>386</v>
      </c>
    </row>
    <row r="25" spans="1:11" ht="13" thickBot="1" x14ac:dyDescent="0.3">
      <c r="A25" s="62">
        <f>A20</f>
        <v>320</v>
      </c>
      <c r="B25" s="216">
        <f>(E13+J13+K13+H13+I13)/A25</f>
        <v>8.511382665745856</v>
      </c>
      <c r="C25" s="216">
        <f>(E20+J20+K20+H20+I20)/A25</f>
        <v>1.8352899447513813</v>
      </c>
      <c r="D25" s="216">
        <f>(E13+J13+K13+F13+G13)/A25</f>
        <v>7.5583292817679553</v>
      </c>
      <c r="E25" s="216">
        <f>(E20+J20+K20+F20+G20)/A25</f>
        <v>3.3958493701657462</v>
      </c>
      <c r="F25" s="216">
        <f>(E13+D13+C13)/A25</f>
        <v>3.8940300000000008</v>
      </c>
      <c r="G25" s="216">
        <f>(E20+D20+C20)/A25</f>
        <v>1.0235088000000001</v>
      </c>
      <c r="H25" s="216">
        <f>(E13+D13+B13)/A25</f>
        <v>3.2986800000000001</v>
      </c>
      <c r="I25" s="217">
        <f>(E20+D20+B20)/A25</f>
        <v>1.4820498</v>
      </c>
    </row>
    <row r="26" spans="1:11" ht="13" thickBot="1" x14ac:dyDescent="0.3"/>
    <row r="27" spans="1:11" x14ac:dyDescent="0.25">
      <c r="A27" s="68" t="s">
        <v>389</v>
      </c>
      <c r="B27" s="213">
        <f>E13/A25</f>
        <v>1.512</v>
      </c>
      <c r="C27" s="69" t="s">
        <v>387</v>
      </c>
      <c r="D27" s="213">
        <f>E20/A25</f>
        <v>0.67932000000000003</v>
      </c>
      <c r="E27" s="69" t="s">
        <v>390</v>
      </c>
      <c r="F27" s="70" t="s">
        <v>395</v>
      </c>
      <c r="G27" s="69" t="s">
        <v>589</v>
      </c>
    </row>
    <row r="28" spans="1:11" ht="25" x14ac:dyDescent="0.25">
      <c r="A28" s="71" t="s">
        <v>392</v>
      </c>
      <c r="B28" s="214">
        <f>E13/A25/6</f>
        <v>0.252</v>
      </c>
      <c r="C28" s="61" t="s">
        <v>387</v>
      </c>
      <c r="D28" s="214">
        <f>E20/A25/6</f>
        <v>0.11322</v>
      </c>
      <c r="E28" s="61" t="s">
        <v>390</v>
      </c>
      <c r="F28" s="65" t="s">
        <v>396</v>
      </c>
      <c r="G28" s="61" t="s">
        <v>574</v>
      </c>
    </row>
    <row r="29" spans="1:11" ht="25" x14ac:dyDescent="0.25">
      <c r="A29" s="71" t="s">
        <v>393</v>
      </c>
      <c r="B29" s="214">
        <f>E13/A25/2</f>
        <v>0.75600000000000001</v>
      </c>
      <c r="C29" s="61" t="s">
        <v>387</v>
      </c>
      <c r="D29" s="214">
        <f>E20/A25/2</f>
        <v>0.33966000000000002</v>
      </c>
      <c r="E29" s="61" t="s">
        <v>390</v>
      </c>
      <c r="F29" s="65" t="s">
        <v>397</v>
      </c>
      <c r="G29" s="61" t="s">
        <v>575</v>
      </c>
    </row>
    <row r="30" spans="1:11" ht="38" thickBot="1" x14ac:dyDescent="0.3">
      <c r="A30" s="72" t="s">
        <v>394</v>
      </c>
      <c r="B30" s="215">
        <f>E13/A25/1.5</f>
        <v>1.008</v>
      </c>
      <c r="C30" s="73" t="s">
        <v>387</v>
      </c>
      <c r="D30" s="215">
        <f>E20/A25/1.5</f>
        <v>0.45288</v>
      </c>
      <c r="E30" s="73" t="s">
        <v>390</v>
      </c>
      <c r="F30" s="74" t="s">
        <v>398</v>
      </c>
      <c r="G30" s="73" t="s">
        <v>576</v>
      </c>
    </row>
    <row r="31" spans="1:11" ht="13" thickBot="1" x14ac:dyDescent="0.3"/>
    <row r="32" spans="1:11" ht="13" thickBot="1" x14ac:dyDescent="0.3">
      <c r="A32" s="75" t="s">
        <v>400</v>
      </c>
      <c r="B32" s="76">
        <f>(27+0.008*A25)*350*G6/1000/A25</f>
        <v>0.46621305248618777</v>
      </c>
      <c r="C32" s="77" t="s">
        <v>401</v>
      </c>
      <c r="D32" s="699">
        <f>27+0.008*A6</f>
        <v>29.56</v>
      </c>
    </row>
    <row r="33" spans="1:4" ht="13" thickBot="1" x14ac:dyDescent="0.3">
      <c r="A33" s="194"/>
      <c r="B33" s="57">
        <v>0</v>
      </c>
      <c r="C33" s="195" t="s">
        <v>645</v>
      </c>
      <c r="D33" s="700" t="s">
        <v>310</v>
      </c>
    </row>
    <row r="34" spans="1:4" ht="13" thickBot="1" x14ac:dyDescent="0.3"/>
    <row r="35" spans="1:4" x14ac:dyDescent="0.25">
      <c r="A35" s="203" t="s">
        <v>643</v>
      </c>
      <c r="B35" s="204"/>
      <c r="C35" s="205"/>
    </row>
    <row r="36" spans="1:4" x14ac:dyDescent="0.25">
      <c r="A36" s="206" t="s">
        <v>644</v>
      </c>
      <c r="B36" s="207" t="s">
        <v>542</v>
      </c>
      <c r="C36" s="208" t="s">
        <v>645</v>
      </c>
    </row>
    <row r="37" spans="1:4" x14ac:dyDescent="0.25">
      <c r="A37" s="206" t="s">
        <v>646</v>
      </c>
      <c r="B37" s="207" t="s">
        <v>542</v>
      </c>
      <c r="C37" s="208" t="s">
        <v>427</v>
      </c>
    </row>
    <row r="38" spans="1:4" x14ac:dyDescent="0.25">
      <c r="A38" s="206" t="s">
        <v>647</v>
      </c>
      <c r="B38" s="207" t="s">
        <v>543</v>
      </c>
      <c r="C38" s="208" t="s">
        <v>645</v>
      </c>
    </row>
    <row r="39" spans="1:4" x14ac:dyDescent="0.25">
      <c r="A39" s="206" t="s">
        <v>648</v>
      </c>
      <c r="B39" s="207" t="s">
        <v>543</v>
      </c>
      <c r="C39" s="208" t="s">
        <v>427</v>
      </c>
    </row>
    <row r="40" spans="1:4" x14ac:dyDescent="0.25">
      <c r="A40" s="206" t="s">
        <v>649</v>
      </c>
      <c r="B40" s="207" t="s">
        <v>650</v>
      </c>
      <c r="C40" s="208" t="s">
        <v>651</v>
      </c>
    </row>
    <row r="41" spans="1:4" x14ac:dyDescent="0.25">
      <c r="A41" s="206" t="s">
        <v>654</v>
      </c>
      <c r="B41" s="207" t="s">
        <v>652</v>
      </c>
      <c r="C41" s="208" t="s">
        <v>653</v>
      </c>
    </row>
    <row r="42" spans="1:4" ht="25" x14ac:dyDescent="0.25">
      <c r="A42" s="206" t="s">
        <v>655</v>
      </c>
      <c r="B42" s="207" t="s">
        <v>472</v>
      </c>
      <c r="C42" s="208" t="s">
        <v>676</v>
      </c>
    </row>
    <row r="43" spans="1:4" x14ac:dyDescent="0.25">
      <c r="A43" s="206" t="s">
        <v>675</v>
      </c>
      <c r="B43" s="207" t="s">
        <v>472</v>
      </c>
      <c r="C43" s="208" t="s">
        <v>677</v>
      </c>
    </row>
    <row r="44" spans="1:4" x14ac:dyDescent="0.25">
      <c r="A44" s="206">
        <v>0.2</v>
      </c>
      <c r="B44" s="207" t="s">
        <v>656</v>
      </c>
      <c r="C44" s="208" t="s">
        <v>657</v>
      </c>
    </row>
    <row r="45" spans="1:4" x14ac:dyDescent="0.25">
      <c r="A45" s="206" t="s">
        <v>658</v>
      </c>
      <c r="B45" s="207" t="s">
        <v>472</v>
      </c>
      <c r="C45" s="208" t="s">
        <v>659</v>
      </c>
    </row>
    <row r="46" spans="1:4" x14ac:dyDescent="0.25">
      <c r="A46" s="206" t="s">
        <v>660</v>
      </c>
      <c r="B46" s="207" t="s">
        <v>472</v>
      </c>
      <c r="C46" s="208" t="s">
        <v>661</v>
      </c>
    </row>
    <row r="47" spans="1:4" ht="25" x14ac:dyDescent="0.25">
      <c r="A47" s="206">
        <v>1</v>
      </c>
      <c r="B47" s="207" t="s">
        <v>662</v>
      </c>
      <c r="C47" s="208" t="s">
        <v>664</v>
      </c>
    </row>
    <row r="48" spans="1:4" ht="25" x14ac:dyDescent="0.25">
      <c r="A48" s="206">
        <v>0.15</v>
      </c>
      <c r="B48" s="207" t="s">
        <v>662</v>
      </c>
      <c r="C48" s="208" t="s">
        <v>663</v>
      </c>
    </row>
    <row r="49" spans="1:3" ht="25" x14ac:dyDescent="0.25">
      <c r="A49" s="206" t="s">
        <v>665</v>
      </c>
      <c r="B49" s="207" t="s">
        <v>650</v>
      </c>
      <c r="C49" s="208" t="s">
        <v>666</v>
      </c>
    </row>
    <row r="50" spans="1:3" ht="25" x14ac:dyDescent="0.25">
      <c r="A50" s="206" t="s">
        <v>667</v>
      </c>
      <c r="B50" s="207" t="s">
        <v>650</v>
      </c>
      <c r="C50" s="208" t="s">
        <v>668</v>
      </c>
    </row>
    <row r="51" spans="1:3" ht="25" x14ac:dyDescent="0.25">
      <c r="A51" s="206" t="s">
        <v>669</v>
      </c>
      <c r="B51" s="207" t="s">
        <v>650</v>
      </c>
      <c r="C51" s="208" t="s">
        <v>670</v>
      </c>
    </row>
    <row r="52" spans="1:3" x14ac:dyDescent="0.25">
      <c r="A52" s="206" t="s">
        <v>671</v>
      </c>
      <c r="B52" s="207" t="s">
        <v>673</v>
      </c>
      <c r="C52" s="208" t="s">
        <v>499</v>
      </c>
    </row>
    <row r="53" spans="1:3" ht="13" thickBot="1" x14ac:dyDescent="0.3">
      <c r="A53" s="209" t="s">
        <v>674</v>
      </c>
      <c r="B53" s="210" t="s">
        <v>672</v>
      </c>
      <c r="C53" s="211" t="s">
        <v>499</v>
      </c>
    </row>
  </sheetData>
  <customSheetViews>
    <customSheetView guid="{AB7935E0-18C1-11D5-A405-00409522490A}" showGridLines="0" state="hidden" showRuler="0">
      <selection sqref="A1:IV65536"/>
      <pageMargins left="0.78740157499999996" right="0.78740157499999996" top="0.984251969" bottom="0.984251969" header="0.4921259845" footer="0.4921259845"/>
      <pageSetup paperSize="9" orientation="portrait" horizontalDpi="300" verticalDpi="0" copies="0" r:id="rId1"/>
      <headerFooter alignWithMargins="0"/>
    </customSheetView>
    <customSheetView guid="{586D4F31-1FA3-11D6-B431-009027A4C716}" showGridLines="0" state="hidden" showRuler="0">
      <pageMargins left="0.78740157499999996" right="0.78740157499999996" top="0.984251969" bottom="0.984251969" header="0.4921259845" footer="0.4921259845"/>
      <pageSetup paperSize="9" orientation="portrait" horizontalDpi="300" verticalDpi="0" copies="0" r:id="rId2"/>
      <headerFooter alignWithMargins="0"/>
    </customSheetView>
  </customSheetViews>
  <mergeCells count="15">
    <mergeCell ref="A3:A5"/>
    <mergeCell ref="A8:A12"/>
    <mergeCell ref="B15:K15"/>
    <mergeCell ref="A15:A19"/>
    <mergeCell ref="B3:F3"/>
    <mergeCell ref="G3:G5"/>
    <mergeCell ref="H3:H5"/>
    <mergeCell ref="B8:K8"/>
    <mergeCell ref="A22:A24"/>
    <mergeCell ref="B22:E22"/>
    <mergeCell ref="F22:I22"/>
    <mergeCell ref="B23:C23"/>
    <mergeCell ref="D23:E23"/>
    <mergeCell ref="F23:G23"/>
    <mergeCell ref="H23:I23"/>
  </mergeCells>
  <phoneticPr fontId="0" type="noConversion"/>
  <pageMargins left="0.78740157499999996" right="0.78740157499999996" top="0.984251969" bottom="0.984251969" header="0.4921259845" footer="0.4921259845"/>
  <pageSetup paperSize="9" orientation="portrait" horizontalDpi="300" verticalDpi="0" copies="0"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L95"/>
  <sheetViews>
    <sheetView workbookViewId="0"/>
  </sheetViews>
  <sheetFormatPr baseColWidth="10" defaultColWidth="10" defaultRowHeight="12.5" x14ac:dyDescent="0.25"/>
  <cols>
    <col min="1" max="4" width="10" style="196" customWidth="1"/>
    <col min="5" max="5" width="15.08203125" style="196" customWidth="1"/>
    <col min="6" max="8" width="10" style="196" customWidth="1"/>
    <col min="9" max="9" width="9.33203125" style="196" customWidth="1"/>
    <col min="10" max="16384" width="10" style="196"/>
  </cols>
  <sheetData>
    <row r="1" spans="1:12" x14ac:dyDescent="0.25">
      <c r="A1" s="250" t="s">
        <v>488</v>
      </c>
    </row>
    <row r="2" spans="1:12" ht="13" thickBot="1" x14ac:dyDescent="0.3"/>
    <row r="3" spans="1:12" x14ac:dyDescent="0.25">
      <c r="A3" s="232" t="s">
        <v>488</v>
      </c>
      <c r="C3" s="223" t="s">
        <v>690</v>
      </c>
      <c r="D3" s="224"/>
      <c r="E3" s="224"/>
      <c r="F3" s="224"/>
      <c r="G3" s="225"/>
    </row>
    <row r="4" spans="1:12" ht="13" thickBot="1" x14ac:dyDescent="0.3">
      <c r="C4" s="226"/>
      <c r="D4" s="221"/>
      <c r="E4" s="221" t="s">
        <v>679</v>
      </c>
      <c r="F4" s="221"/>
      <c r="G4" s="227" t="s">
        <v>680</v>
      </c>
    </row>
    <row r="5" spans="1:12" ht="25.5" thickBot="1" x14ac:dyDescent="0.3">
      <c r="A5" s="26" t="s">
        <v>405</v>
      </c>
      <c r="B5" s="27"/>
      <c r="C5" s="228">
        <v>1000</v>
      </c>
      <c r="D5" s="229" t="s">
        <v>406</v>
      </c>
      <c r="E5" s="230" t="s">
        <v>678</v>
      </c>
      <c r="F5" s="229"/>
      <c r="G5" s="231"/>
      <c r="H5" s="35"/>
      <c r="I5" s="197"/>
      <c r="J5" s="197"/>
      <c r="K5" s="197"/>
      <c r="L5" s="197"/>
    </row>
    <row r="6" spans="1:12" ht="13" thickBot="1" x14ac:dyDescent="0.3">
      <c r="A6" s="36"/>
      <c r="B6" s="40"/>
      <c r="C6" s="40"/>
      <c r="D6" s="40"/>
      <c r="E6" s="40"/>
      <c r="F6" s="40"/>
      <c r="G6" s="111"/>
      <c r="H6" s="41"/>
    </row>
    <row r="7" spans="1:12" x14ac:dyDescent="0.25">
      <c r="A7" s="26" t="s">
        <v>407</v>
      </c>
      <c r="B7" s="27" t="s">
        <v>408</v>
      </c>
      <c r="C7" s="27" t="s">
        <v>409</v>
      </c>
      <c r="D7" s="27" t="s">
        <v>410</v>
      </c>
      <c r="E7" s="27" t="s">
        <v>411</v>
      </c>
      <c r="F7" s="27" t="s">
        <v>412</v>
      </c>
      <c r="G7" s="28" t="s">
        <v>413</v>
      </c>
      <c r="H7" s="29" t="s">
        <v>414</v>
      </c>
    </row>
    <row r="8" spans="1:12" ht="13" thickBot="1" x14ac:dyDescent="0.3">
      <c r="A8" s="242">
        <f>Rechnungen!D14</f>
        <v>320</v>
      </c>
      <c r="B8" s="31">
        <f>6*POWER(A8,0.7)</f>
        <v>340.21717588029185</v>
      </c>
      <c r="C8" s="31">
        <f>IF(B8&gt;C5,C5,B8)</f>
        <v>340.21717588029185</v>
      </c>
      <c r="D8" s="31">
        <f>IF((B8-C5)&lt;0,0,(IF((B8-C5)&gt;C5,C5,B8-C5)))</f>
        <v>0</v>
      </c>
      <c r="E8" s="31">
        <f>IF((B8-2*C5)&lt;0,0,(IF((B8-2*C5)&gt;C5,C5,B8-2*C5)))</f>
        <v>0</v>
      </c>
      <c r="F8" s="31">
        <f>IF((B8-3*C5)&lt;0,0,(IF((B8-3*C5)&gt;C5,C5,B8-3*C5)))</f>
        <v>0</v>
      </c>
      <c r="G8" s="32">
        <f>IF((B8-4*C5)&lt;0,0,(IF((B8-4*C5)&gt;C5,C5,B8-4*C5)))</f>
        <v>0</v>
      </c>
      <c r="H8" s="33">
        <f>IF((B8-5*C5)&lt;0,0,(IF((B8-5*C5)&gt;C5,C5,B8-5*C5)))</f>
        <v>0</v>
      </c>
    </row>
    <row r="9" spans="1:12" x14ac:dyDescent="0.25">
      <c r="A9" s="36"/>
      <c r="B9" s="40"/>
      <c r="C9" s="40"/>
      <c r="D9" s="40"/>
      <c r="E9" s="40"/>
      <c r="F9" s="40"/>
      <c r="G9" s="111"/>
      <c r="H9" s="41"/>
    </row>
    <row r="10" spans="1:12" x14ac:dyDescent="0.25">
      <c r="A10" s="36"/>
      <c r="B10" s="40"/>
      <c r="C10" s="40"/>
      <c r="D10" s="40"/>
      <c r="E10" s="40"/>
      <c r="F10" s="40"/>
      <c r="G10" s="111"/>
      <c r="H10" s="41"/>
    </row>
    <row r="11" spans="1:12" ht="13" thickBot="1" x14ac:dyDescent="0.3">
      <c r="A11" s="36"/>
      <c r="B11" s="40"/>
      <c r="C11" s="40"/>
      <c r="D11" s="40"/>
      <c r="E11" s="40"/>
      <c r="F11" s="40"/>
      <c r="G11" s="111"/>
      <c r="H11" s="41"/>
    </row>
    <row r="12" spans="1:12" x14ac:dyDescent="0.25">
      <c r="A12" s="26" t="s">
        <v>407</v>
      </c>
      <c r="B12" s="113" t="s">
        <v>415</v>
      </c>
      <c r="C12" s="27" t="s">
        <v>416</v>
      </c>
      <c r="D12" s="27"/>
      <c r="E12" s="27" t="s">
        <v>417</v>
      </c>
      <c r="F12" s="35"/>
      <c r="G12" s="111"/>
      <c r="H12" s="41"/>
    </row>
    <row r="13" spans="1:12" ht="25" x14ac:dyDescent="0.25">
      <c r="A13" s="36"/>
      <c r="B13" s="114"/>
      <c r="C13" s="40" t="s">
        <v>418</v>
      </c>
      <c r="D13" s="40" t="s">
        <v>419</v>
      </c>
      <c r="E13" s="40" t="s">
        <v>418</v>
      </c>
      <c r="F13" s="44" t="s">
        <v>419</v>
      </c>
      <c r="G13" s="111"/>
      <c r="H13" s="41"/>
    </row>
    <row r="14" spans="1:12" x14ac:dyDescent="0.25">
      <c r="A14" s="36"/>
      <c r="B14" s="114"/>
      <c r="C14" s="40"/>
      <c r="D14" s="40"/>
      <c r="E14" s="40"/>
      <c r="F14" s="44"/>
      <c r="G14" s="111"/>
      <c r="H14" s="41"/>
    </row>
    <row r="15" spans="1:12" ht="13" thickBot="1" x14ac:dyDescent="0.3">
      <c r="A15" s="30">
        <f>A8</f>
        <v>320</v>
      </c>
      <c r="B15" s="115">
        <f>IF(C8&gt;0,1,0)*(0.4+0.2*POWER(C8,0.4))+IF(D8&gt;0,1,0)*(0.4+0.2*POWER(D8,0.4))+IF(E8&gt;0,1,0)*(0.4+0.2*POWER(E8,0.4))+IF(F8&gt;0,1,0)*(0.4+0.2*POWER(F8,0.4))</f>
        <v>2.4593610279513154</v>
      </c>
      <c r="C15" s="245">
        <f>1.2*(50-13)/45*350*B15/A15</f>
        <v>2.6540604426641279</v>
      </c>
      <c r="D15" s="245">
        <f>1.2*(50-20)/45*350*B15/A15</f>
        <v>2.1519408994574012</v>
      </c>
      <c r="E15" s="245">
        <f>185/350*(1-1)*C15</f>
        <v>0</v>
      </c>
      <c r="F15" s="246">
        <f>185/350*(1-0.15)*D15</f>
        <v>0.96683630411336097</v>
      </c>
      <c r="G15" s="32"/>
      <c r="H15" s="33"/>
    </row>
    <row r="16" spans="1:12" ht="13" thickBot="1" x14ac:dyDescent="0.3"/>
    <row r="17" spans="1:12" ht="13" thickBot="1" x14ac:dyDescent="0.3">
      <c r="C17" s="223" t="s">
        <v>690</v>
      </c>
      <c r="D17" s="224"/>
      <c r="E17" s="224"/>
      <c r="F17" s="224"/>
      <c r="G17" s="225"/>
    </row>
    <row r="18" spans="1:12" ht="25" x14ac:dyDescent="0.25">
      <c r="A18" s="26" t="s">
        <v>420</v>
      </c>
      <c r="B18" s="27"/>
      <c r="C18" s="233">
        <v>500</v>
      </c>
      <c r="D18" s="222" t="s">
        <v>406</v>
      </c>
      <c r="E18" s="221" t="s">
        <v>689</v>
      </c>
      <c r="F18" s="221"/>
      <c r="G18" s="227" t="s">
        <v>686</v>
      </c>
      <c r="H18" s="35"/>
      <c r="I18" s="197"/>
      <c r="J18" s="197"/>
      <c r="K18" s="197"/>
      <c r="L18" s="197"/>
    </row>
    <row r="19" spans="1:12" ht="13" thickBot="1" x14ac:dyDescent="0.3">
      <c r="A19" s="36"/>
      <c r="B19" s="40"/>
      <c r="C19" s="228"/>
      <c r="D19" s="229"/>
      <c r="E19" s="230" t="s">
        <v>688</v>
      </c>
      <c r="F19" s="229"/>
      <c r="G19" s="231"/>
      <c r="H19" s="41"/>
    </row>
    <row r="20" spans="1:12" x14ac:dyDescent="0.25">
      <c r="A20" s="26" t="s">
        <v>407</v>
      </c>
      <c r="B20" s="27" t="s">
        <v>408</v>
      </c>
      <c r="C20" s="40" t="s">
        <v>409</v>
      </c>
      <c r="D20" s="40" t="s">
        <v>410</v>
      </c>
      <c r="E20" s="40" t="s">
        <v>411</v>
      </c>
      <c r="F20" s="40" t="s">
        <v>412</v>
      </c>
      <c r="G20" s="111" t="s">
        <v>413</v>
      </c>
      <c r="H20" s="29" t="s">
        <v>414</v>
      </c>
    </row>
    <row r="21" spans="1:12" ht="13" thickBot="1" x14ac:dyDescent="0.3">
      <c r="A21" s="30">
        <f>A15</f>
        <v>320</v>
      </c>
      <c r="B21" s="31">
        <f>4*POWER(A21,0.7)</f>
        <v>226.81145058686121</v>
      </c>
      <c r="C21" s="31">
        <f>IF(B21&gt;C18,C18,B21)</f>
        <v>226.81145058686121</v>
      </c>
      <c r="D21" s="31">
        <f>IF((B21-C18)&lt;0,0,(IF((B21-C18)&gt;C18,C18,B21-C18)))</f>
        <v>0</v>
      </c>
      <c r="E21" s="31">
        <f>IF((B21-2*C18)&lt;0,0,(IF((B21-2*C18)&gt;C18,C18,B21-2*C18)))</f>
        <v>0</v>
      </c>
      <c r="F21" s="31">
        <f>IF((B21-3*C18)&lt;0,0,(IF((B21-3*C18)&gt;C18,C18,B21-3*C18)))</f>
        <v>0</v>
      </c>
      <c r="G21" s="32">
        <f>IF((B21-4*C18)&lt;0,0,(IF((B21-4*C18)&gt;C18,C18,B21-4*C18)))</f>
        <v>0</v>
      </c>
      <c r="H21" s="33">
        <f>IF((B21-5*C18)&lt;0,0,(IF((B21-5*C18)&gt;C18,C18,B21-5*C18)))</f>
        <v>0</v>
      </c>
    </row>
    <row r="22" spans="1:12" x14ac:dyDescent="0.25">
      <c r="A22" s="36"/>
      <c r="B22" s="40"/>
      <c r="C22" s="40"/>
      <c r="D22" s="40"/>
      <c r="E22" s="40"/>
      <c r="F22" s="40"/>
      <c r="G22" s="111"/>
      <c r="H22" s="41"/>
    </row>
    <row r="23" spans="1:12" x14ac:dyDescent="0.25">
      <c r="A23" s="36"/>
      <c r="B23" s="40"/>
      <c r="C23" s="40"/>
      <c r="D23" s="40"/>
      <c r="E23" s="40"/>
      <c r="F23" s="40"/>
      <c r="G23" s="111"/>
      <c r="H23" s="41"/>
    </row>
    <row r="24" spans="1:12" ht="13" thickBot="1" x14ac:dyDescent="0.3">
      <c r="A24" s="36"/>
      <c r="B24" s="40"/>
      <c r="C24" s="40"/>
      <c r="D24" s="40"/>
      <c r="E24" s="40"/>
      <c r="F24" s="40"/>
      <c r="G24" s="111"/>
      <c r="H24" s="41"/>
    </row>
    <row r="25" spans="1:12" x14ac:dyDescent="0.25">
      <c r="A25" s="26" t="s">
        <v>407</v>
      </c>
      <c r="B25" s="113" t="s">
        <v>415</v>
      </c>
      <c r="C25" s="27" t="s">
        <v>416</v>
      </c>
      <c r="D25" s="27"/>
      <c r="E25" s="27" t="s">
        <v>417</v>
      </c>
      <c r="F25" s="35"/>
      <c r="G25" s="111"/>
      <c r="H25" s="41"/>
    </row>
    <row r="26" spans="1:12" ht="25" x14ac:dyDescent="0.25">
      <c r="A26" s="36"/>
      <c r="B26" s="114"/>
      <c r="C26" s="40" t="s">
        <v>418</v>
      </c>
      <c r="D26" s="40" t="s">
        <v>419</v>
      </c>
      <c r="E26" s="40" t="s">
        <v>418</v>
      </c>
      <c r="F26" s="44" t="s">
        <v>419</v>
      </c>
      <c r="G26" s="111"/>
      <c r="H26" s="41"/>
    </row>
    <row r="27" spans="1:12" x14ac:dyDescent="0.25">
      <c r="A27" s="36"/>
      <c r="B27" s="114"/>
      <c r="C27" s="40"/>
      <c r="D27" s="40"/>
      <c r="E27" s="40"/>
      <c r="F27" s="44"/>
      <c r="G27" s="111"/>
      <c r="H27" s="41"/>
    </row>
    <row r="28" spans="1:12" ht="13" thickBot="1" x14ac:dyDescent="0.3">
      <c r="A28" s="30">
        <f>A21</f>
        <v>320</v>
      </c>
      <c r="B28" s="115">
        <f>IF(C21&gt;0,1,0)*(2+0.033*POWER(C21,1.1))+IF(D21&gt;0,1,0)*(2+0.033*POWER(D21,1.1))+IF(E21&gt;0,1,0)*(2+0.033*POWER(E21,1.1))+IF(F21&gt;0,1,0)*(2+0.033*POWER(F21,1.1))+IF(G21&gt;0,1,0)*(2+0.033*POWER(G21,1.1))+IF(H21&gt;0,1,0)*(2+0.033*POWER(H21,1.1))</f>
        <v>14.874945924181777</v>
      </c>
      <c r="C28" s="245">
        <f>1*(55-13)/50*350*B28/A28</f>
        <v>13.666356567842007</v>
      </c>
      <c r="D28" s="245">
        <f>1*(55-20)/50*350*B28/A28</f>
        <v>11.388630473201671</v>
      </c>
      <c r="E28" s="245">
        <f>185/350*(1-1)*C28</f>
        <v>0</v>
      </c>
      <c r="F28" s="246">
        <f>185/350*(1-0.15)*D28</f>
        <v>5.1167489768884646</v>
      </c>
      <c r="G28" s="32"/>
      <c r="H28" s="33"/>
    </row>
    <row r="29" spans="1:12" ht="13" thickBot="1" x14ac:dyDescent="0.3"/>
    <row r="30" spans="1:12" ht="13" thickBot="1" x14ac:dyDescent="0.3">
      <c r="C30" s="223" t="s">
        <v>690</v>
      </c>
      <c r="D30" s="224"/>
      <c r="E30" s="224"/>
      <c r="F30" s="224"/>
      <c r="G30" s="225"/>
    </row>
    <row r="31" spans="1:12" ht="25" x14ac:dyDescent="0.25">
      <c r="A31" s="26" t="s">
        <v>421</v>
      </c>
      <c r="B31" s="27"/>
      <c r="C31" s="233">
        <v>1000</v>
      </c>
      <c r="D31" s="222" t="s">
        <v>406</v>
      </c>
      <c r="E31" s="221" t="s">
        <v>685</v>
      </c>
      <c r="F31" s="221"/>
      <c r="G31" s="227" t="s">
        <v>686</v>
      </c>
      <c r="H31" s="35"/>
      <c r="I31" s="197"/>
      <c r="J31" s="197"/>
      <c r="K31" s="197"/>
      <c r="L31" s="197"/>
    </row>
    <row r="32" spans="1:12" ht="13" thickBot="1" x14ac:dyDescent="0.3">
      <c r="A32" s="36"/>
      <c r="B32" s="40"/>
      <c r="C32" s="228"/>
      <c r="D32" s="229"/>
      <c r="E32" s="230" t="s">
        <v>684</v>
      </c>
      <c r="F32" s="229"/>
      <c r="G32" s="231"/>
      <c r="H32" s="41"/>
    </row>
    <row r="33" spans="1:12" x14ac:dyDescent="0.25">
      <c r="A33" s="26" t="s">
        <v>407</v>
      </c>
      <c r="B33" s="27" t="s">
        <v>408</v>
      </c>
      <c r="C33" s="40" t="s">
        <v>409</v>
      </c>
      <c r="D33" s="40" t="s">
        <v>410</v>
      </c>
      <c r="E33" s="40" t="s">
        <v>411</v>
      </c>
      <c r="F33" s="40" t="s">
        <v>412</v>
      </c>
      <c r="G33" s="111" t="s">
        <v>413</v>
      </c>
      <c r="H33" s="29" t="s">
        <v>414</v>
      </c>
    </row>
    <row r="34" spans="1:12" ht="13" thickBot="1" x14ac:dyDescent="0.3">
      <c r="A34" s="30">
        <f>A28</f>
        <v>320</v>
      </c>
      <c r="B34" s="31">
        <f>4*POWER(A34,0.7)</f>
        <v>226.81145058686121</v>
      </c>
      <c r="C34" s="31">
        <f>IF(B34&gt;C31,C31,B34)</f>
        <v>226.81145058686121</v>
      </c>
      <c r="D34" s="31">
        <f>IF((B34-C31)&lt;0,0,(IF((B34-C31)&gt;C31,C31,B34-C31)))</f>
        <v>0</v>
      </c>
      <c r="E34" s="31">
        <f>IF((B34-2*C31)&lt;0,0,(IF((B34-2*C31)&gt;C31,C31,B34-2*C31)))</f>
        <v>0</v>
      </c>
      <c r="F34" s="31">
        <f>IF((B34-3*C31)&lt;0,0,(IF((B34-3*C31)&gt;C31,C31,B34-3*C31)))</f>
        <v>0</v>
      </c>
      <c r="G34" s="32">
        <f>IF((B34-4*C31)&lt;0,0,(IF((B34-4*C31)&gt;C31,C31,B34-4*C31)))</f>
        <v>0</v>
      </c>
      <c r="H34" s="33">
        <f>IF((B34-5*C31)&lt;0,0,(IF((B34-5*C31)&gt;C31,C31,B34-5*C31)))</f>
        <v>0</v>
      </c>
    </row>
    <row r="35" spans="1:12" x14ac:dyDescent="0.25">
      <c r="A35" s="36"/>
      <c r="B35" s="40"/>
      <c r="C35" s="40"/>
      <c r="D35" s="40"/>
      <c r="E35" s="40"/>
      <c r="F35" s="40"/>
      <c r="G35" s="111"/>
      <c r="H35" s="41"/>
    </row>
    <row r="36" spans="1:12" x14ac:dyDescent="0.25">
      <c r="A36" s="36"/>
      <c r="B36" s="40"/>
      <c r="C36" s="40"/>
      <c r="D36" s="40"/>
      <c r="E36" s="40"/>
      <c r="F36" s="40"/>
      <c r="G36" s="111"/>
      <c r="H36" s="41"/>
    </row>
    <row r="37" spans="1:12" ht="13" thickBot="1" x14ac:dyDescent="0.3">
      <c r="A37" s="36"/>
      <c r="B37" s="40"/>
      <c r="C37" s="40"/>
      <c r="D37" s="40"/>
      <c r="E37" s="40"/>
      <c r="F37" s="40"/>
      <c r="G37" s="111"/>
      <c r="H37" s="41"/>
    </row>
    <row r="38" spans="1:12" x14ac:dyDescent="0.25">
      <c r="A38" s="26" t="s">
        <v>407</v>
      </c>
      <c r="B38" s="113" t="s">
        <v>415</v>
      </c>
      <c r="C38" s="27" t="s">
        <v>416</v>
      </c>
      <c r="D38" s="27"/>
      <c r="E38" s="27" t="s">
        <v>417</v>
      </c>
      <c r="F38" s="35"/>
      <c r="G38" s="111"/>
      <c r="H38" s="41"/>
    </row>
    <row r="39" spans="1:12" ht="25" x14ac:dyDescent="0.25">
      <c r="A39" s="36"/>
      <c r="B39" s="114"/>
      <c r="C39" s="40" t="s">
        <v>418</v>
      </c>
      <c r="D39" s="40" t="s">
        <v>419</v>
      </c>
      <c r="E39" s="40" t="s">
        <v>418</v>
      </c>
      <c r="F39" s="44" t="s">
        <v>419</v>
      </c>
      <c r="G39" s="111"/>
      <c r="H39" s="41"/>
    </row>
    <row r="40" spans="1:12" x14ac:dyDescent="0.25">
      <c r="A40" s="36"/>
      <c r="B40" s="114"/>
      <c r="C40" s="40"/>
      <c r="D40" s="40"/>
      <c r="E40" s="40"/>
      <c r="F40" s="44"/>
      <c r="G40" s="111"/>
      <c r="H40" s="41"/>
    </row>
    <row r="41" spans="1:12" ht="13" thickBot="1" x14ac:dyDescent="0.3">
      <c r="A41" s="30">
        <f>A34</f>
        <v>320</v>
      </c>
      <c r="B41" s="115">
        <f>IF(C34&gt;0,1,0)*(0.29+0.019*POWER(C34,0.8))+IF(D34&gt;0,1,0)*(0.29+0.019*POWER(D34,0.8))+IF(E34&gt;0,1,0)*(0.29+0.019*POWER(E34,0.8))+IF(F34&gt;0,1,0)*(0.29+0.019*POWER(F34,0.8))+IF(G34&gt;0,1,0)*(0.29+0.019*POWER(G34,0.8))+IF(H34&gt;0,1,0)*(0.29+0.019*POWER(H34,0.8))</f>
        <v>1.7464164711114365</v>
      </c>
      <c r="C41" s="245">
        <f>1*(55-13)/45*350*B41/A41</f>
        <v>1.7828001475929249</v>
      </c>
      <c r="D41" s="245">
        <f>1*(55-20)/45*350*B41/A41</f>
        <v>1.4856667896607707</v>
      </c>
      <c r="E41" s="245">
        <f>185/350*(1-1)*C41</f>
        <v>0</v>
      </c>
      <c r="F41" s="246">
        <f>185/350*(1-0.15)*D41</f>
        <v>0.66748886478330338</v>
      </c>
      <c r="G41" s="32"/>
      <c r="H41" s="33"/>
    </row>
    <row r="42" spans="1:12" ht="13" thickBot="1" x14ac:dyDescent="0.3"/>
    <row r="43" spans="1:12" ht="13" thickBot="1" x14ac:dyDescent="0.3">
      <c r="C43" s="223" t="s">
        <v>690</v>
      </c>
      <c r="D43" s="224"/>
      <c r="E43" s="224"/>
      <c r="F43" s="224"/>
      <c r="G43" s="225"/>
    </row>
    <row r="44" spans="1:12" ht="37.5" x14ac:dyDescent="0.25">
      <c r="A44" s="26" t="s">
        <v>422</v>
      </c>
      <c r="B44" s="27"/>
      <c r="C44" s="233"/>
      <c r="D44" s="222"/>
      <c r="E44" s="221" t="s">
        <v>346</v>
      </c>
      <c r="F44" s="221"/>
      <c r="G44" s="227"/>
      <c r="H44" s="198"/>
      <c r="I44" s="197"/>
      <c r="J44" s="197"/>
      <c r="K44" s="197"/>
      <c r="L44" s="197"/>
    </row>
    <row r="45" spans="1:12" ht="13" thickBot="1" x14ac:dyDescent="0.3">
      <c r="A45" s="36"/>
      <c r="B45" s="40"/>
      <c r="C45" s="228"/>
      <c r="D45" s="229"/>
      <c r="E45" s="230" t="s">
        <v>684</v>
      </c>
      <c r="F45" s="229"/>
      <c r="G45" s="231"/>
    </row>
    <row r="46" spans="1:12" ht="37.5" x14ac:dyDescent="0.25">
      <c r="A46" s="26" t="s">
        <v>407</v>
      </c>
      <c r="B46" s="27"/>
      <c r="C46" s="40"/>
      <c r="D46" s="44" t="s">
        <v>580</v>
      </c>
      <c r="E46" s="40"/>
      <c r="F46" s="44"/>
    </row>
    <row r="47" spans="1:12" ht="13" thickBot="1" x14ac:dyDescent="0.3">
      <c r="A47" s="30">
        <f>A41</f>
        <v>320</v>
      </c>
      <c r="B47" s="31"/>
      <c r="C47" s="31"/>
      <c r="D47" s="116">
        <f>A47*0.0045</f>
        <v>1.44</v>
      </c>
      <c r="E47" s="40"/>
      <c r="F47" s="44"/>
    </row>
    <row r="48" spans="1:12" x14ac:dyDescent="0.25">
      <c r="A48" s="36"/>
      <c r="B48" s="40"/>
      <c r="C48" s="40"/>
      <c r="D48" s="40"/>
      <c r="E48" s="40"/>
      <c r="F48" s="44"/>
    </row>
    <row r="49" spans="1:12" x14ac:dyDescent="0.25">
      <c r="A49" s="36"/>
      <c r="B49" s="40"/>
      <c r="C49" s="40"/>
      <c r="D49" s="40"/>
      <c r="E49" s="40"/>
      <c r="F49" s="44"/>
    </row>
    <row r="50" spans="1:12" ht="13" thickBot="1" x14ac:dyDescent="0.3">
      <c r="A50" s="36"/>
      <c r="B50" s="40"/>
      <c r="C50" s="40"/>
      <c r="D50" s="40"/>
      <c r="E50" s="40"/>
      <c r="F50" s="44"/>
    </row>
    <row r="51" spans="1:12" x14ac:dyDescent="0.25">
      <c r="A51" s="26" t="s">
        <v>407</v>
      </c>
      <c r="B51" s="113" t="s">
        <v>415</v>
      </c>
      <c r="C51" s="27" t="s">
        <v>416</v>
      </c>
      <c r="D51" s="27"/>
      <c r="E51" s="27" t="s">
        <v>417</v>
      </c>
      <c r="F51" s="35"/>
    </row>
    <row r="52" spans="1:12" ht="25" x14ac:dyDescent="0.25">
      <c r="A52" s="36"/>
      <c r="B52" s="114"/>
      <c r="C52" s="40" t="s">
        <v>418</v>
      </c>
      <c r="D52" s="40" t="s">
        <v>419</v>
      </c>
      <c r="E52" s="40" t="s">
        <v>418</v>
      </c>
      <c r="F52" s="44" t="s">
        <v>419</v>
      </c>
    </row>
    <row r="53" spans="1:12" x14ac:dyDescent="0.25">
      <c r="A53" s="36"/>
      <c r="B53" s="114"/>
      <c r="C53" s="40"/>
      <c r="D53" s="40"/>
      <c r="E53" s="40"/>
      <c r="F53" s="44"/>
    </row>
    <row r="54" spans="1:12" ht="13" thickBot="1" x14ac:dyDescent="0.3">
      <c r="A54" s="30">
        <f>A47</f>
        <v>320</v>
      </c>
      <c r="B54" s="115">
        <f>D47</f>
        <v>1.44</v>
      </c>
      <c r="C54" s="245">
        <f>1*(55-13)/45*350*B54/A54</f>
        <v>1.4700000000000002</v>
      </c>
      <c r="D54" s="245">
        <f>1*(55-20)/45*350*B54/A54</f>
        <v>1.2250000000000001</v>
      </c>
      <c r="E54" s="245">
        <f>185/350*(1-1)*C54</f>
        <v>0</v>
      </c>
      <c r="F54" s="246">
        <f>185/350*(1-0.15)*D54</f>
        <v>0.55037500000000006</v>
      </c>
    </row>
    <row r="55" spans="1:12" ht="13" thickBot="1" x14ac:dyDescent="0.3"/>
    <row r="56" spans="1:12" ht="13" thickBot="1" x14ac:dyDescent="0.3">
      <c r="C56" s="223" t="s">
        <v>690</v>
      </c>
      <c r="D56" s="224"/>
      <c r="E56" s="224"/>
      <c r="F56" s="224"/>
      <c r="G56" s="225"/>
    </row>
    <row r="57" spans="1:12" ht="38" thickBot="1" x14ac:dyDescent="0.3">
      <c r="A57" s="26" t="s">
        <v>423</v>
      </c>
      <c r="B57" s="27"/>
      <c r="C57" s="228">
        <v>1000</v>
      </c>
      <c r="D57" s="229" t="s">
        <v>406</v>
      </c>
      <c r="E57" s="234" t="s">
        <v>685</v>
      </c>
      <c r="F57" s="234"/>
      <c r="G57" s="235" t="s">
        <v>687</v>
      </c>
      <c r="H57" s="35"/>
      <c r="I57" s="197"/>
      <c r="J57" s="197"/>
      <c r="K57" s="197"/>
      <c r="L57" s="197"/>
    </row>
    <row r="58" spans="1:12" ht="13" thickBot="1" x14ac:dyDescent="0.3">
      <c r="A58" s="36"/>
      <c r="B58" s="40"/>
      <c r="C58" s="40"/>
      <c r="D58" s="40"/>
      <c r="E58" s="237" t="s">
        <v>684</v>
      </c>
      <c r="F58" s="40"/>
      <c r="G58" s="112"/>
      <c r="H58" s="41"/>
    </row>
    <row r="59" spans="1:12" x14ac:dyDescent="0.25">
      <c r="A59" s="26" t="s">
        <v>407</v>
      </c>
      <c r="B59" s="27" t="s">
        <v>408</v>
      </c>
      <c r="C59" s="27" t="s">
        <v>409</v>
      </c>
      <c r="D59" s="27" t="s">
        <v>410</v>
      </c>
      <c r="E59" s="27" t="s">
        <v>411</v>
      </c>
      <c r="F59" s="27" t="s">
        <v>412</v>
      </c>
      <c r="G59" s="28" t="s">
        <v>413</v>
      </c>
      <c r="H59" s="29" t="s">
        <v>414</v>
      </c>
    </row>
    <row r="60" spans="1:12" ht="13" thickBot="1" x14ac:dyDescent="0.3">
      <c r="A60" s="30">
        <f>A47</f>
        <v>320</v>
      </c>
      <c r="B60" s="31">
        <f>8.5*POWER(A60,0.7)</f>
        <v>481.97433249708007</v>
      </c>
      <c r="C60" s="31">
        <f>IF(B60&gt;C57,C57,B60)</f>
        <v>481.97433249708007</v>
      </c>
      <c r="D60" s="31">
        <f>IF((B60-C57)&lt;0,0,(IF((B60-C57)&gt;C57,C57,B60-C57)))</f>
        <v>0</v>
      </c>
      <c r="E60" s="31">
        <f>IF((B60-2*C57)&lt;0,0,(IF((B60-2*C57)&gt;C57,C57,B60-2*C57)))</f>
        <v>0</v>
      </c>
      <c r="F60" s="31">
        <f>IF((B60-3*C57)&lt;0,0,(IF((B60-3*C57)&gt;C57,C57,B60-3*C57)))</f>
        <v>0</v>
      </c>
      <c r="G60" s="32">
        <f>IF((B60-4*C57)&lt;0,0,(IF((B60-4*C57)&gt;C57,C57,B60-4*C57)))</f>
        <v>0</v>
      </c>
      <c r="H60" s="33">
        <f>IF((B60-5*C57)&lt;0,0,(IF((B60-5*C57)&gt;C57,C57,B60-5*C57)))</f>
        <v>0</v>
      </c>
    </row>
    <row r="61" spans="1:12" x14ac:dyDescent="0.25">
      <c r="A61" s="36"/>
      <c r="B61" s="40"/>
      <c r="C61" s="40"/>
      <c r="D61" s="40"/>
      <c r="E61" s="40"/>
      <c r="F61" s="40"/>
      <c r="G61" s="111"/>
      <c r="H61" s="41"/>
    </row>
    <row r="62" spans="1:12" x14ac:dyDescent="0.25">
      <c r="A62" s="36"/>
      <c r="B62" s="40"/>
      <c r="C62" s="40"/>
      <c r="D62" s="40"/>
      <c r="E62" s="40"/>
      <c r="F62" s="40"/>
      <c r="G62" s="111"/>
      <c r="H62" s="41"/>
    </row>
    <row r="63" spans="1:12" ht="13" thickBot="1" x14ac:dyDescent="0.3">
      <c r="A63" s="36"/>
      <c r="B63" s="40"/>
      <c r="C63" s="40"/>
      <c r="D63" s="40"/>
      <c r="E63" s="40"/>
      <c r="F63" s="40"/>
      <c r="G63" s="111"/>
      <c r="H63" s="41"/>
    </row>
    <row r="64" spans="1:12" x14ac:dyDescent="0.25">
      <c r="A64" s="26" t="s">
        <v>407</v>
      </c>
      <c r="B64" s="113" t="s">
        <v>415</v>
      </c>
      <c r="C64" s="27" t="s">
        <v>416</v>
      </c>
      <c r="D64" s="27"/>
      <c r="E64" s="27" t="s">
        <v>417</v>
      </c>
      <c r="F64" s="35"/>
      <c r="G64" s="111"/>
      <c r="H64" s="41"/>
    </row>
    <row r="65" spans="1:9" ht="25" x14ac:dyDescent="0.25">
      <c r="A65" s="36"/>
      <c r="B65" s="114"/>
      <c r="C65" s="40" t="s">
        <v>418</v>
      </c>
      <c r="D65" s="40" t="s">
        <v>419</v>
      </c>
      <c r="E65" s="40" t="s">
        <v>418</v>
      </c>
      <c r="F65" s="44" t="s">
        <v>419</v>
      </c>
      <c r="G65" s="111"/>
      <c r="H65" s="41"/>
    </row>
    <row r="66" spans="1:9" x14ac:dyDescent="0.25">
      <c r="A66" s="36"/>
      <c r="B66" s="114"/>
      <c r="C66" s="40"/>
      <c r="D66" s="40"/>
      <c r="E66" s="40"/>
      <c r="F66" s="44"/>
      <c r="G66" s="111"/>
      <c r="H66" s="41"/>
    </row>
    <row r="67" spans="1:9" ht="13" thickBot="1" x14ac:dyDescent="0.3">
      <c r="A67" s="30">
        <f>A60</f>
        <v>320</v>
      </c>
      <c r="B67" s="115">
        <f>IF(C60&gt;0,1,0)*(0.29+0.019*POWER(C60,0.8))+IF(D60&gt;0,1,0)*(0.29+0.019*POWER(D60,0.8))+IF(E60&gt;0,1,0)*(0.29+0.019*POWER(E60,0.8))+IF(F60&gt;0,1,0)*(0.29+0.019*POWER(F60,0.8))+IF(G60&gt;0,1,0)*(0.29+0.019*POWER(G60,0.8))+IF(H60&gt;0,1,0)*(0.29+0.019*POWER(H60,0.8))</f>
        <v>2.9517835047580969</v>
      </c>
      <c r="C67" s="245">
        <f>1*(55-13)/45*350*B67/A67</f>
        <v>3.0132789944405571</v>
      </c>
      <c r="D67" s="245">
        <f>1*(55-20)/45*350*B67/A67</f>
        <v>2.5110658287004641</v>
      </c>
      <c r="E67" s="245">
        <f>185/350*(1-1)*C67</f>
        <v>0</v>
      </c>
      <c r="F67" s="246">
        <f>185/350*(1-0.15)*D67</f>
        <v>1.1281860044661371</v>
      </c>
      <c r="G67" s="32"/>
      <c r="H67" s="33"/>
    </row>
    <row r="68" spans="1:9" ht="13" thickBot="1" x14ac:dyDescent="0.3"/>
    <row r="69" spans="1:9" ht="13" thickBot="1" x14ac:dyDescent="0.3">
      <c r="A69" s="137"/>
      <c r="B69" s="28"/>
      <c r="C69" s="28"/>
      <c r="D69" s="223" t="s">
        <v>643</v>
      </c>
      <c r="E69" s="225"/>
    </row>
    <row r="70" spans="1:9" ht="13" thickBot="1" x14ac:dyDescent="0.3">
      <c r="A70" s="117" t="s">
        <v>400</v>
      </c>
      <c r="B70" s="247">
        <f>(44+0.059*A67)*(170+5*A67^0.5)/1000/A67</f>
        <v>5.0980494303148341E-2</v>
      </c>
      <c r="C70" s="111"/>
      <c r="D70" s="226" t="s">
        <v>681</v>
      </c>
      <c r="E70" s="227"/>
    </row>
    <row r="71" spans="1:9" x14ac:dyDescent="0.25">
      <c r="A71" s="239"/>
      <c r="B71" s="111"/>
      <c r="C71" s="111"/>
      <c r="D71" s="226" t="s">
        <v>682</v>
      </c>
      <c r="E71" s="227">
        <f>44+0.059*B73</f>
        <v>62.879999999999995</v>
      </c>
    </row>
    <row r="72" spans="1:9" ht="13" thickBot="1" x14ac:dyDescent="0.3">
      <c r="A72" s="239"/>
      <c r="B72" s="111"/>
      <c r="C72" s="111"/>
      <c r="D72" s="236" t="s">
        <v>683</v>
      </c>
      <c r="E72" s="235">
        <f>170+5*B73^0.5</f>
        <v>259.44271909999156</v>
      </c>
    </row>
    <row r="73" spans="1:9" ht="13" thickBot="1" x14ac:dyDescent="0.3">
      <c r="A73" s="117" t="s">
        <v>363</v>
      </c>
      <c r="B73" s="243">
        <f>A8</f>
        <v>320</v>
      </c>
      <c r="C73" s="32"/>
      <c r="D73" s="32"/>
      <c r="E73" s="33"/>
    </row>
    <row r="74" spans="1:9" ht="13" thickBot="1" x14ac:dyDescent="0.3"/>
    <row r="75" spans="1:9" ht="36.75" customHeight="1" thickBot="1" x14ac:dyDescent="0.3">
      <c r="A75" s="137" t="s">
        <v>623</v>
      </c>
      <c r="B75" s="28"/>
      <c r="C75" s="28"/>
      <c r="D75" s="28"/>
      <c r="E75" s="28"/>
      <c r="F75" s="137"/>
      <c r="G75" s="28" t="s">
        <v>778</v>
      </c>
      <c r="H75" s="28" t="s">
        <v>415</v>
      </c>
      <c r="I75" s="29" t="s">
        <v>429</v>
      </c>
    </row>
    <row r="76" spans="1:9" x14ac:dyDescent="0.25">
      <c r="A76" s="137" t="s">
        <v>363</v>
      </c>
      <c r="B76" s="28" t="s">
        <v>769</v>
      </c>
      <c r="C76" s="28" t="s">
        <v>770</v>
      </c>
      <c r="D76" s="29" t="s">
        <v>771</v>
      </c>
      <c r="E76" s="151" t="s">
        <v>779</v>
      </c>
      <c r="F76" s="239" t="s">
        <v>772</v>
      </c>
      <c r="G76" s="111">
        <f>IF(D77&lt;=E77,1,0)</f>
        <v>1</v>
      </c>
      <c r="H76" s="111">
        <f>(0.4+(0.2*((B77+C77)^0.4)))*(C77)/(C77+B77)</f>
        <v>1.5306091260385832</v>
      </c>
      <c r="I76" s="41"/>
    </row>
    <row r="77" spans="1:9" ht="13" thickBot="1" x14ac:dyDescent="0.3">
      <c r="A77" s="199">
        <f>A8</f>
        <v>320</v>
      </c>
      <c r="B77" s="32">
        <f>2*A77^0.9</f>
        <v>359.47192400734656</v>
      </c>
      <c r="C77" s="32">
        <f>6*A77^0.7</f>
        <v>340.21717588029185</v>
      </c>
      <c r="D77" s="33">
        <f>B77+C77</f>
        <v>699.68909988763835</v>
      </c>
      <c r="E77" s="241">
        <v>1000</v>
      </c>
      <c r="F77" s="239" t="s">
        <v>777</v>
      </c>
      <c r="G77" s="111">
        <f>IF(D77&gt;E77,1,0)</f>
        <v>0</v>
      </c>
      <c r="H77" s="238">
        <f>B15</f>
        <v>2.4593610279513154</v>
      </c>
      <c r="I77" s="41"/>
    </row>
    <row r="78" spans="1:9" ht="13" thickBot="1" x14ac:dyDescent="0.3">
      <c r="A78" s="240"/>
      <c r="B78" s="111"/>
      <c r="C78" s="111"/>
      <c r="D78" s="111"/>
      <c r="E78" s="111"/>
      <c r="F78" s="49"/>
      <c r="G78" s="32"/>
      <c r="H78" s="32"/>
      <c r="I78" s="33">
        <f>G76*H76+G77*H77</f>
        <v>1.5306091260385832</v>
      </c>
    </row>
    <row r="79" spans="1:9" x14ac:dyDescent="0.25">
      <c r="A79" s="240"/>
      <c r="B79" s="111"/>
      <c r="C79" s="111"/>
      <c r="D79" s="111"/>
      <c r="E79" s="111"/>
      <c r="F79" s="111"/>
      <c r="G79" s="111"/>
      <c r="H79" s="111"/>
      <c r="I79" s="41"/>
    </row>
    <row r="80" spans="1:9" x14ac:dyDescent="0.25">
      <c r="A80" s="240"/>
      <c r="B80" s="111"/>
      <c r="C80" s="111"/>
      <c r="D80" s="111"/>
      <c r="E80" s="111"/>
      <c r="F80" s="111"/>
      <c r="G80" s="111"/>
      <c r="H80" s="111"/>
      <c r="I80" s="41"/>
    </row>
    <row r="81" spans="1:10" ht="13" thickBot="1" x14ac:dyDescent="0.3">
      <c r="A81" s="239"/>
      <c r="B81" s="111"/>
      <c r="C81" s="111"/>
      <c r="D81" s="111"/>
      <c r="E81" s="111"/>
      <c r="F81" s="111"/>
      <c r="G81" s="111"/>
      <c r="H81" s="111"/>
      <c r="I81" s="41"/>
    </row>
    <row r="82" spans="1:10" x14ac:dyDescent="0.25">
      <c r="A82" s="151" t="s">
        <v>407</v>
      </c>
      <c r="B82" s="151" t="s">
        <v>415</v>
      </c>
      <c r="C82" s="27" t="s">
        <v>416</v>
      </c>
      <c r="D82" s="27"/>
      <c r="E82" s="27" t="s">
        <v>417</v>
      </c>
      <c r="F82" s="35"/>
      <c r="G82" s="111"/>
      <c r="H82" s="111"/>
      <c r="I82" s="41"/>
    </row>
    <row r="83" spans="1:10" ht="25" x14ac:dyDescent="0.25">
      <c r="A83" s="152"/>
      <c r="B83" s="152"/>
      <c r="C83" s="40" t="s">
        <v>418</v>
      </c>
      <c r="D83" s="40" t="s">
        <v>419</v>
      </c>
      <c r="E83" s="40" t="s">
        <v>418</v>
      </c>
      <c r="F83" s="44" t="s">
        <v>419</v>
      </c>
      <c r="G83" s="111"/>
      <c r="H83" s="111"/>
      <c r="I83" s="41"/>
    </row>
    <row r="84" spans="1:10" x14ac:dyDescent="0.25">
      <c r="A84" s="152"/>
      <c r="B84" s="152"/>
      <c r="C84" s="40"/>
      <c r="D84" s="40"/>
      <c r="E84" s="40"/>
      <c r="F84" s="44"/>
      <c r="G84" s="111"/>
      <c r="H84" s="111"/>
      <c r="I84" s="41"/>
    </row>
    <row r="85" spans="1:10" ht="13" thickBot="1" x14ac:dyDescent="0.3">
      <c r="A85" s="200">
        <f>A77</f>
        <v>320</v>
      </c>
      <c r="B85" s="153">
        <f>I78</f>
        <v>1.5306091260385832</v>
      </c>
      <c r="C85" s="248">
        <f>1.2*(50-13)/45*350*B85/A77</f>
        <v>1.6517823485166379</v>
      </c>
      <c r="D85" s="248">
        <f>1.2*(50-20)/45*350*B85/A77</f>
        <v>1.3392829852837604</v>
      </c>
      <c r="E85" s="248">
        <f>185/350*(1-1)*C85</f>
        <v>0</v>
      </c>
      <c r="F85" s="249">
        <f>185/350*(1-0.15)*D85</f>
        <v>0.60172071267391813</v>
      </c>
      <c r="G85" s="32"/>
      <c r="H85" s="32"/>
      <c r="I85" s="33"/>
    </row>
    <row r="87" spans="1:10" ht="13" thickBot="1" x14ac:dyDescent="0.3"/>
    <row r="88" spans="1:10" x14ac:dyDescent="0.25">
      <c r="A88" s="137"/>
      <c r="B88" s="28" t="s">
        <v>184</v>
      </c>
      <c r="C88" s="28" t="s">
        <v>616</v>
      </c>
      <c r="D88" s="29"/>
    </row>
    <row r="89" spans="1:10" x14ac:dyDescent="0.25">
      <c r="A89" s="239" t="s">
        <v>185</v>
      </c>
      <c r="B89" s="238">
        <f>B15</f>
        <v>2.4593610279513154</v>
      </c>
      <c r="C89" s="111">
        <f>IF(OR(Rechnungen!F283=2,Rechnungen!F283=3),1,0)</f>
        <v>0</v>
      </c>
      <c r="D89" s="41"/>
    </row>
    <row r="90" spans="1:10" x14ac:dyDescent="0.25">
      <c r="A90" s="239" t="s">
        <v>186</v>
      </c>
      <c r="B90" s="238">
        <f>B28</f>
        <v>14.874945924181777</v>
      </c>
      <c r="C90" s="487">
        <f>IF(OR(Rechnungen!F283=6,Rechnungen!F283=7),1,0)</f>
        <v>0</v>
      </c>
      <c r="D90" s="41"/>
      <c r="E90" s="244"/>
      <c r="F90" s="244"/>
      <c r="G90" s="244"/>
      <c r="H90" s="244"/>
      <c r="I90" s="244"/>
      <c r="J90" s="244"/>
    </row>
    <row r="91" spans="1:10" x14ac:dyDescent="0.25">
      <c r="A91" s="239" t="s">
        <v>187</v>
      </c>
      <c r="B91" s="238">
        <f>B41</f>
        <v>1.7464164711114365</v>
      </c>
      <c r="C91" s="487">
        <f>IF(OR(Rechnungen!F283=8,Rechnungen!F283=9),1,0)</f>
        <v>0</v>
      </c>
      <c r="D91" s="41"/>
    </row>
    <row r="92" spans="1:10" x14ac:dyDescent="0.25">
      <c r="A92" s="239" t="s">
        <v>188</v>
      </c>
      <c r="B92" s="238">
        <f>B54</f>
        <v>1.44</v>
      </c>
      <c r="C92" s="487">
        <f>IF(OR(Rechnungen!F283=12,Rechnungen!F283=13),1,0)</f>
        <v>0</v>
      </c>
      <c r="D92" s="41"/>
    </row>
    <row r="93" spans="1:10" x14ac:dyDescent="0.25">
      <c r="A93" s="239" t="s">
        <v>189</v>
      </c>
      <c r="B93" s="238">
        <f>B67</f>
        <v>2.9517835047580969</v>
      </c>
      <c r="C93" s="487">
        <f>IF(OR(Rechnungen!F283=10,Rechnungen!F283=11),1,0)</f>
        <v>0</v>
      </c>
      <c r="D93" s="41"/>
    </row>
    <row r="94" spans="1:10" x14ac:dyDescent="0.25">
      <c r="A94" s="239" t="s">
        <v>190</v>
      </c>
      <c r="B94" s="238">
        <f>B85</f>
        <v>1.5306091260385832</v>
      </c>
      <c r="C94" s="487">
        <f>IF(OR(Rechnungen!F283=4,Rechnungen!F283=5),1,0)</f>
        <v>0</v>
      </c>
      <c r="D94" s="41"/>
    </row>
    <row r="95" spans="1:10" ht="13" thickBot="1" x14ac:dyDescent="0.3">
      <c r="A95" s="49"/>
      <c r="B95" s="32"/>
      <c r="C95" s="488"/>
      <c r="D95" s="486">
        <f>B89*C89+B90*C90+B91*C91+B92*C92+B93*C93+B94*C94</f>
        <v>0</v>
      </c>
    </row>
  </sheetData>
  <customSheetViews>
    <customSheetView guid="{AB7935E0-18C1-11D5-A405-00409522490A}" showGridLines="0" state="hidden" showRuler="0">
      <selection sqref="A1:IV65536"/>
      <pageMargins left="0.78740157499999996" right="0.78740157499999996" top="0.984251969" bottom="0.984251969" header="0.4921259845" footer="0.4921259845"/>
      <pageSetup paperSize="9" orientation="portrait" horizontalDpi="300" verticalDpi="0" copies="0" r:id="rId1"/>
      <headerFooter alignWithMargins="0"/>
    </customSheetView>
    <customSheetView guid="{586D4F31-1FA3-11D6-B431-009027A4C716}" showGridLines="0" state="hidden" showRuler="0">
      <pageMargins left="0.78740157499999996" right="0.78740157499999996" top="0.984251969" bottom="0.984251969" header="0.4921259845" footer="0.4921259845"/>
      <pageSetup paperSize="9" orientation="portrait" horizontalDpi="300" verticalDpi="300" r:id="rId2"/>
      <headerFooter alignWithMargins="0"/>
    </customSheetView>
  </customSheetViews>
  <phoneticPr fontId="0" type="noConversion"/>
  <pageMargins left="0.78740157499999996" right="0.78740157499999996" top="0.984251969" bottom="0.984251969" header="0.4921259845" footer="0.4921259845"/>
  <pageSetup paperSize="9" orientation="portrait" horizontalDpi="300" verticalDpi="30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pageSetUpPr fitToPage="1"/>
  </sheetPr>
  <dimension ref="A1:W924"/>
  <sheetViews>
    <sheetView showGridLines="0" zoomScale="75" workbookViewId="0"/>
  </sheetViews>
  <sheetFormatPr baseColWidth="10" defaultColWidth="10" defaultRowHeight="15.5" x14ac:dyDescent="0.35"/>
  <cols>
    <col min="1" max="1" width="11.58203125" style="357" customWidth="1"/>
    <col min="2" max="16384" width="10" style="357"/>
  </cols>
  <sheetData>
    <row r="1" spans="1:19" x14ac:dyDescent="0.35">
      <c r="A1" s="356" t="s">
        <v>780</v>
      </c>
    </row>
    <row r="2" spans="1:19" ht="16" thickBot="1" x14ac:dyDescent="0.4"/>
    <row r="3" spans="1:19" ht="16" thickBot="1" x14ac:dyDescent="0.4">
      <c r="A3" s="358" t="s">
        <v>415</v>
      </c>
      <c r="B3" s="359"/>
      <c r="C3" s="360">
        <f>'TW-02'!D95</f>
        <v>0</v>
      </c>
      <c r="E3" s="358" t="s">
        <v>82</v>
      </c>
      <c r="F3" s="361"/>
      <c r="G3" s="362">
        <f>IF(OR(Rechnungen!F283=2,Rechnungen!F283=4,Rechnungen!F283=6,Rechnungen!F283=8,Rechnungen!F283=10,Rechnungen!F283=12),20,13)</f>
        <v>13</v>
      </c>
      <c r="H3" s="363" t="s">
        <v>83</v>
      </c>
    </row>
    <row r="4" spans="1:19" ht="16" thickBot="1" x14ac:dyDescent="0.4">
      <c r="B4" s="779" t="s">
        <v>882</v>
      </c>
      <c r="C4" s="775">
        <f>'TW-02'!B94</f>
        <v>1.5306091260385832</v>
      </c>
      <c r="F4" s="779" t="s">
        <v>882</v>
      </c>
      <c r="G4" s="775">
        <f>IF(Rechnungen!AB289=1,20,13)</f>
        <v>20</v>
      </c>
    </row>
    <row r="5" spans="1:19" ht="17" thickBot="1" x14ac:dyDescent="0.45">
      <c r="B5" s="358" t="s">
        <v>730</v>
      </c>
      <c r="C5" s="359"/>
      <c r="D5" s="359"/>
      <c r="E5" s="359"/>
      <c r="F5" s="359"/>
      <c r="G5" s="359"/>
      <c r="H5" s="359"/>
      <c r="I5" s="359"/>
      <c r="J5" s="359"/>
      <c r="K5" s="361"/>
      <c r="L5" s="364"/>
      <c r="M5" s="365"/>
      <c r="N5" s="365"/>
      <c r="O5" s="366" t="s">
        <v>750</v>
      </c>
      <c r="P5" s="365"/>
      <c r="Q5" s="365"/>
      <c r="R5" s="365"/>
      <c r="S5" s="367"/>
    </row>
    <row r="6" spans="1:19" ht="16.5" x14ac:dyDescent="0.4">
      <c r="A6" s="368" t="s">
        <v>751</v>
      </c>
      <c r="B6" s="369" t="s">
        <v>752</v>
      </c>
      <c r="C6" s="370"/>
      <c r="D6" s="366" t="s">
        <v>753</v>
      </c>
      <c r="E6" s="365"/>
      <c r="F6" s="365"/>
      <c r="G6" s="364"/>
      <c r="H6" s="365"/>
      <c r="I6" s="366" t="s">
        <v>754</v>
      </c>
      <c r="J6" s="367"/>
      <c r="K6" s="371" t="s">
        <v>363</v>
      </c>
      <c r="L6" s="372"/>
      <c r="M6" s="365"/>
      <c r="N6" s="365"/>
      <c r="O6" s="365"/>
      <c r="P6" s="372"/>
      <c r="Q6" s="365"/>
      <c r="R6" s="365"/>
      <c r="S6" s="367"/>
    </row>
    <row r="7" spans="1:19" x14ac:dyDescent="0.35">
      <c r="A7" s="373"/>
      <c r="B7" s="374"/>
      <c r="C7" s="375"/>
      <c r="D7" s="376"/>
      <c r="E7" s="375"/>
      <c r="F7" s="376"/>
      <c r="G7" s="377"/>
      <c r="H7" s="376"/>
      <c r="I7" s="375"/>
      <c r="J7" s="378"/>
      <c r="K7" s="379"/>
      <c r="L7" s="377"/>
      <c r="M7" s="376"/>
      <c r="N7" s="376"/>
      <c r="O7" s="376"/>
      <c r="P7" s="377"/>
      <c r="Q7" s="376"/>
      <c r="R7" s="376"/>
      <c r="S7" s="378"/>
    </row>
    <row r="8" spans="1:19" ht="16" thickBot="1" x14ac:dyDescent="0.4">
      <c r="A8" s="373"/>
      <c r="B8" s="380"/>
      <c r="C8" s="381"/>
      <c r="D8" s="381"/>
      <c r="E8" s="381"/>
      <c r="F8" s="382"/>
      <c r="G8" s="380"/>
      <c r="H8" s="381"/>
      <c r="I8" s="381"/>
      <c r="J8" s="382"/>
      <c r="K8" s="379"/>
      <c r="L8" s="383"/>
      <c r="M8" s="384"/>
      <c r="N8" s="384"/>
      <c r="O8" s="384"/>
      <c r="P8" s="383"/>
      <c r="Q8" s="384"/>
      <c r="R8" s="384"/>
      <c r="S8" s="385"/>
    </row>
    <row r="9" spans="1:19" ht="16" thickBot="1" x14ac:dyDescent="0.4">
      <c r="A9" s="386" t="s">
        <v>731</v>
      </c>
      <c r="B9" s="387" t="s">
        <v>732</v>
      </c>
      <c r="C9" s="388"/>
      <c r="D9" s="388"/>
      <c r="E9" s="388"/>
      <c r="F9" s="389"/>
      <c r="G9" s="390"/>
      <c r="H9" s="388"/>
      <c r="I9" s="388"/>
      <c r="J9" s="389"/>
      <c r="K9" s="386" t="s">
        <v>731</v>
      </c>
      <c r="L9" s="612" t="s">
        <v>84</v>
      </c>
      <c r="M9" s="384"/>
      <c r="N9" s="384"/>
      <c r="O9" s="384"/>
      <c r="P9" s="372" t="s">
        <v>480</v>
      </c>
      <c r="Q9" s="384"/>
      <c r="R9" s="384"/>
      <c r="S9" s="385"/>
    </row>
    <row r="10" spans="1:19" ht="16" thickBot="1" x14ac:dyDescent="0.4">
      <c r="A10" s="391">
        <f>Rechnungen!D14</f>
        <v>320</v>
      </c>
      <c r="B10" s="392">
        <v>12.5</v>
      </c>
      <c r="C10" s="393">
        <f>Rechnungen!F281</f>
        <v>7.56</v>
      </c>
      <c r="D10" s="388"/>
      <c r="E10" s="388"/>
      <c r="F10" s="388"/>
      <c r="G10" s="394">
        <f>Rechnungen!F298</f>
        <v>0</v>
      </c>
      <c r="H10" s="388"/>
      <c r="I10" s="388"/>
      <c r="J10" s="388"/>
      <c r="K10" s="395">
        <f>A10</f>
        <v>320</v>
      </c>
      <c r="L10" s="396">
        <f>A10*(B10+C10+G10)</f>
        <v>6419.2</v>
      </c>
      <c r="M10" s="397"/>
      <c r="N10" s="397"/>
      <c r="O10" s="397"/>
      <c r="P10" s="396">
        <f>A10*(B10+C10+G10)</f>
        <v>6419.2</v>
      </c>
      <c r="Q10" s="397"/>
      <c r="R10" s="397"/>
      <c r="S10" s="398"/>
    </row>
    <row r="11" spans="1:19" ht="16" thickBot="1" x14ac:dyDescent="0.4">
      <c r="B11" s="779" t="s">
        <v>882</v>
      </c>
      <c r="C11" s="776">
        <f>Rechnungen!AF281</f>
        <v>7.56</v>
      </c>
      <c r="F11" s="779" t="s">
        <v>882</v>
      </c>
      <c r="G11" s="776">
        <f>Rechnungen!AF298</f>
        <v>1.34</v>
      </c>
      <c r="K11" s="779" t="s">
        <v>882</v>
      </c>
      <c r="L11" s="777">
        <f>A10*(B10+C11+G11)</f>
        <v>6848</v>
      </c>
    </row>
    <row r="12" spans="1:19" s="401" customFormat="1" ht="16.5" x14ac:dyDescent="0.4">
      <c r="A12" s="368"/>
      <c r="B12" s="399"/>
      <c r="C12" s="400"/>
      <c r="F12" s="369" t="s">
        <v>751</v>
      </c>
      <c r="G12" s="402" t="s">
        <v>755</v>
      </c>
      <c r="H12" s="400"/>
      <c r="I12" s="366" t="s">
        <v>756</v>
      </c>
      <c r="J12" s="399"/>
      <c r="K12" s="399"/>
      <c r="L12" s="400"/>
    </row>
    <row r="13" spans="1:19" s="401" customFormat="1" ht="31" x14ac:dyDescent="0.35">
      <c r="A13" s="373"/>
      <c r="B13" s="403" t="s">
        <v>733</v>
      </c>
      <c r="C13" s="404" t="s">
        <v>734</v>
      </c>
      <c r="D13" s="405"/>
      <c r="E13" s="406"/>
      <c r="F13" s="374"/>
      <c r="G13" s="407"/>
      <c r="H13" s="404"/>
      <c r="I13" s="408" t="s">
        <v>356</v>
      </c>
      <c r="J13" s="409"/>
      <c r="K13" s="410" t="s">
        <v>180</v>
      </c>
      <c r="L13" s="385"/>
    </row>
    <row r="14" spans="1:19" s="401" customFormat="1" x14ac:dyDescent="0.35">
      <c r="A14" s="373"/>
      <c r="B14" s="411"/>
      <c r="C14" s="412"/>
      <c r="F14" s="374"/>
      <c r="G14" s="413" t="s">
        <v>736</v>
      </c>
      <c r="H14" s="412" t="s">
        <v>737</v>
      </c>
      <c r="I14" s="409" t="s">
        <v>736</v>
      </c>
      <c r="J14" s="413" t="s">
        <v>737</v>
      </c>
      <c r="K14" s="413" t="s">
        <v>736</v>
      </c>
      <c r="L14" s="412" t="s">
        <v>737</v>
      </c>
    </row>
    <row r="15" spans="1:19" s="401" customFormat="1" ht="16" thickBot="1" x14ac:dyDescent="0.4">
      <c r="A15" s="414"/>
      <c r="B15" s="415"/>
      <c r="C15" s="416"/>
      <c r="F15" s="417" t="s">
        <v>731</v>
      </c>
      <c r="G15" s="418" t="s">
        <v>731</v>
      </c>
      <c r="H15" s="416" t="s">
        <v>731</v>
      </c>
      <c r="I15" s="419" t="s">
        <v>738</v>
      </c>
      <c r="J15" s="418"/>
      <c r="K15" s="418" t="s">
        <v>738</v>
      </c>
      <c r="L15" s="416"/>
    </row>
    <row r="16" spans="1:19" s="401" customFormat="1" ht="17" thickBot="1" x14ac:dyDescent="0.45">
      <c r="A16" s="420" t="s">
        <v>757</v>
      </c>
      <c r="B16" s="411">
        <v>0.77</v>
      </c>
      <c r="C16" s="412"/>
      <c r="F16" s="421">
        <f>A10</f>
        <v>320</v>
      </c>
      <c r="G16" s="422">
        <f>0.09*A10^0.8</f>
        <v>9.0857857605147814</v>
      </c>
      <c r="H16" s="423"/>
      <c r="I16" s="424">
        <f>IF(A10&lt;500,(271*B16-18.8*B17-653*B18+172*B19-0.792*B20-20.7)*G16,K16)</f>
        <v>2351.7756891945587</v>
      </c>
      <c r="J16" s="425"/>
      <c r="K16" s="425">
        <f>(355*B16-26.8*B17-992*B18+221*B19-0.655*B20)*G16</f>
        <v>3220.166017670128</v>
      </c>
      <c r="L16" s="426"/>
    </row>
    <row r="17" spans="1:15" s="401" customFormat="1" x14ac:dyDescent="0.35">
      <c r="A17" s="383" t="s">
        <v>739</v>
      </c>
      <c r="B17" s="427">
        <v>3.5</v>
      </c>
      <c r="C17" s="428"/>
      <c r="F17" s="429"/>
      <c r="G17" s="430"/>
      <c r="H17" s="430"/>
      <c r="I17" s="431"/>
      <c r="J17" s="431"/>
      <c r="K17" s="431"/>
      <c r="L17" s="431"/>
      <c r="N17" s="431"/>
    </row>
    <row r="18" spans="1:15" s="401" customFormat="1" x14ac:dyDescent="0.35">
      <c r="A18" s="383" t="s">
        <v>740</v>
      </c>
      <c r="B18" s="427">
        <v>0.02</v>
      </c>
      <c r="C18" s="432"/>
      <c r="F18" s="429"/>
      <c r="G18" s="430"/>
      <c r="H18" s="430"/>
      <c r="I18" s="431"/>
      <c r="J18" s="431"/>
      <c r="K18" s="431"/>
      <c r="L18" s="431"/>
      <c r="N18" s="431"/>
    </row>
    <row r="19" spans="1:15" s="401" customFormat="1" x14ac:dyDescent="0.35">
      <c r="A19" s="383" t="s">
        <v>741</v>
      </c>
      <c r="B19" s="427">
        <v>0.9</v>
      </c>
      <c r="C19" s="428"/>
      <c r="F19" s="429"/>
      <c r="G19" s="430"/>
      <c r="H19" s="430"/>
      <c r="I19" s="431"/>
      <c r="J19" s="431"/>
      <c r="K19" s="431"/>
      <c r="L19" s="431"/>
      <c r="N19" s="431"/>
    </row>
    <row r="20" spans="1:15" s="401" customFormat="1" ht="16" thickBot="1" x14ac:dyDescent="0.4">
      <c r="A20" s="414" t="s">
        <v>742</v>
      </c>
      <c r="B20" s="433">
        <v>6.4</v>
      </c>
      <c r="C20" s="423"/>
      <c r="F20" s="429"/>
      <c r="G20" s="430"/>
      <c r="H20" s="430"/>
      <c r="I20" s="431"/>
      <c r="J20" s="431"/>
      <c r="K20" s="431"/>
      <c r="L20" s="431"/>
      <c r="N20" s="431"/>
    </row>
    <row r="21" spans="1:15" s="401" customFormat="1" ht="16" thickBot="1" x14ac:dyDescent="0.4">
      <c r="A21" s="406"/>
      <c r="F21" s="429"/>
      <c r="G21" s="430"/>
      <c r="H21" s="430"/>
      <c r="I21" s="431"/>
      <c r="J21" s="431"/>
      <c r="K21" s="431"/>
      <c r="L21" s="431"/>
      <c r="N21" s="431"/>
    </row>
    <row r="22" spans="1:15" s="401" customFormat="1" ht="17" thickBot="1" x14ac:dyDescent="0.4">
      <c r="E22" s="406"/>
      <c r="F22" s="434" t="s">
        <v>758</v>
      </c>
      <c r="G22" s="435">
        <v>0.96199999999999997</v>
      </c>
      <c r="I22" s="431"/>
      <c r="J22" s="431"/>
      <c r="K22" s="431"/>
      <c r="L22" s="431"/>
      <c r="N22" s="431"/>
    </row>
    <row r="23" spans="1:15" s="401" customFormat="1" x14ac:dyDescent="0.35">
      <c r="F23" s="429"/>
      <c r="G23" s="430"/>
      <c r="H23" s="430"/>
      <c r="I23" s="431"/>
      <c r="J23" s="431"/>
      <c r="K23" s="431"/>
      <c r="L23" s="431"/>
      <c r="N23" s="431"/>
    </row>
    <row r="24" spans="1:15" s="401" customFormat="1" ht="16" thickBot="1" x14ac:dyDescent="0.4"/>
    <row r="25" spans="1:15" s="401" customFormat="1" ht="16.5" x14ac:dyDescent="0.4">
      <c r="A25" s="369" t="s">
        <v>751</v>
      </c>
      <c r="B25" s="436" t="s">
        <v>759</v>
      </c>
      <c r="C25" s="436" t="s">
        <v>760</v>
      </c>
      <c r="E25" s="406"/>
      <c r="F25" s="369" t="s">
        <v>751</v>
      </c>
      <c r="G25" s="402" t="s">
        <v>761</v>
      </c>
      <c r="H25" s="399"/>
      <c r="I25" s="399"/>
      <c r="J25" s="399"/>
      <c r="K25" s="399"/>
      <c r="L25" s="399"/>
      <c r="M25" s="399"/>
      <c r="N25" s="400"/>
      <c r="O25" s="406"/>
    </row>
    <row r="26" spans="1:15" s="401" customFormat="1" x14ac:dyDescent="0.35">
      <c r="A26" s="374"/>
      <c r="B26" s="437"/>
      <c r="C26" s="437"/>
      <c r="F26" s="374"/>
      <c r="G26" s="438" t="s">
        <v>743</v>
      </c>
      <c r="H26" s="384"/>
      <c r="I26" s="384"/>
      <c r="J26" s="384"/>
      <c r="K26" s="384"/>
      <c r="L26" s="384"/>
      <c r="M26" s="384"/>
      <c r="N26" s="385"/>
    </row>
    <row r="27" spans="1:15" s="401" customFormat="1" x14ac:dyDescent="0.35">
      <c r="A27" s="374"/>
      <c r="B27" s="404"/>
      <c r="C27" s="404"/>
      <c r="E27" s="406"/>
      <c r="F27" s="374"/>
      <c r="G27" s="438"/>
      <c r="H27" s="384"/>
      <c r="I27" s="384"/>
      <c r="J27" s="385"/>
      <c r="K27" s="439"/>
      <c r="L27" s="384"/>
      <c r="M27" s="384"/>
      <c r="N27" s="385"/>
      <c r="O27" s="406"/>
    </row>
    <row r="28" spans="1:15" s="401" customFormat="1" x14ac:dyDescent="0.35">
      <c r="A28" s="374"/>
      <c r="B28" s="412"/>
      <c r="C28" s="412"/>
      <c r="F28" s="374"/>
      <c r="G28" s="403"/>
      <c r="H28" s="384"/>
      <c r="I28" s="440"/>
      <c r="J28" s="441"/>
      <c r="K28" s="403"/>
      <c r="L28" s="384"/>
      <c r="M28" s="440"/>
      <c r="N28" s="441"/>
    </row>
    <row r="29" spans="1:15" s="401" customFormat="1" ht="16" thickBot="1" x14ac:dyDescent="0.4">
      <c r="A29" s="414"/>
      <c r="B29" s="416"/>
      <c r="C29" s="442"/>
      <c r="F29" s="374"/>
      <c r="G29" s="413"/>
      <c r="H29" s="384"/>
      <c r="I29" s="384"/>
      <c r="J29" s="385"/>
      <c r="K29" s="413"/>
      <c r="L29" s="384"/>
      <c r="M29" s="384"/>
      <c r="N29" s="385"/>
    </row>
    <row r="30" spans="1:15" s="401" customFormat="1" ht="16" thickBot="1" x14ac:dyDescent="0.4">
      <c r="A30" s="417" t="s">
        <v>731</v>
      </c>
      <c r="B30" s="416" t="s">
        <v>745</v>
      </c>
      <c r="C30" s="416" t="s">
        <v>745</v>
      </c>
      <c r="F30" s="417" t="s">
        <v>731</v>
      </c>
      <c r="G30" s="613" t="s">
        <v>81</v>
      </c>
      <c r="H30" s="415"/>
      <c r="I30" s="415"/>
      <c r="J30" s="442"/>
      <c r="K30" s="418" t="s">
        <v>480</v>
      </c>
      <c r="L30" s="443"/>
      <c r="M30" s="415"/>
      <c r="N30" s="442"/>
    </row>
    <row r="31" spans="1:15" s="401" customFormat="1" ht="16" thickBot="1" x14ac:dyDescent="0.4">
      <c r="A31" s="421">
        <f>A10</f>
        <v>320</v>
      </c>
      <c r="B31" s="426">
        <f>2*A31^0.9</f>
        <v>359.47192400734656</v>
      </c>
      <c r="C31" s="444">
        <f>6*(A31^0.7)</f>
        <v>340.21717588029185</v>
      </c>
      <c r="F31" s="421">
        <f>A10</f>
        <v>320</v>
      </c>
      <c r="G31" s="445">
        <f>IF(A10&lt;500,(-2.73-0.6*(LN(G16/L10))),(-2.9-0.6*(LN(G16/L10))))</f>
        <v>1.2062025542066492</v>
      </c>
      <c r="H31" s="445"/>
      <c r="I31" s="445"/>
      <c r="J31" s="446"/>
      <c r="K31" s="447">
        <f>-2.73-0.6*(LN(G16/P10))</f>
        <v>1.2062025542066492</v>
      </c>
      <c r="L31" s="445"/>
      <c r="M31" s="445"/>
      <c r="N31" s="448"/>
    </row>
    <row r="32" spans="1:15" s="401" customFormat="1" ht="16" thickBot="1" x14ac:dyDescent="0.4">
      <c r="A32" s="429"/>
      <c r="B32" s="431"/>
      <c r="C32" s="431"/>
      <c r="F32" s="779" t="s">
        <v>882</v>
      </c>
      <c r="G32" s="776">
        <f>IF(A10&lt;500,(-2.73-0.6*(LN(G16/L11))),(-2.9-0.6*(LN(G16/L11))))</f>
        <v>1.2450004379030593</v>
      </c>
      <c r="H32" s="430"/>
      <c r="I32" s="430"/>
      <c r="J32" s="430"/>
    </row>
    <row r="33" spans="1:23" s="401" customFormat="1" ht="17" thickBot="1" x14ac:dyDescent="0.4">
      <c r="A33" s="429"/>
      <c r="B33" s="431"/>
      <c r="C33" s="431"/>
      <c r="E33" s="406"/>
      <c r="F33" s="434" t="s">
        <v>762</v>
      </c>
      <c r="G33" s="435">
        <f>IF(A10&lt;500,(1.037-0.00185*40),1)</f>
        <v>0.96299999999999986</v>
      </c>
      <c r="H33" s="430"/>
      <c r="I33" s="430"/>
      <c r="J33" s="430"/>
    </row>
    <row r="34" spans="1:23" s="401" customFormat="1" ht="16" thickBot="1" x14ac:dyDescent="0.4">
      <c r="A34" s="429"/>
      <c r="B34" s="431"/>
      <c r="C34" s="431"/>
      <c r="F34" s="429"/>
      <c r="G34" s="430"/>
      <c r="H34" s="430"/>
      <c r="I34" s="430"/>
      <c r="J34" s="430"/>
    </row>
    <row r="35" spans="1:23" s="401" customFormat="1" ht="16.5" x14ac:dyDescent="0.4">
      <c r="E35" s="406"/>
      <c r="F35" s="369" t="s">
        <v>751</v>
      </c>
      <c r="G35" s="402" t="s">
        <v>763</v>
      </c>
      <c r="H35" s="399"/>
      <c r="I35" s="399"/>
      <c r="J35" s="399"/>
      <c r="K35" s="399"/>
      <c r="L35" s="399"/>
      <c r="M35" s="399"/>
      <c r="N35" s="400"/>
      <c r="O35" s="406"/>
    </row>
    <row r="36" spans="1:23" s="401" customFormat="1" x14ac:dyDescent="0.35">
      <c r="F36" s="374"/>
      <c r="G36" s="438"/>
      <c r="H36" s="384"/>
      <c r="I36" s="384"/>
      <c r="J36" s="384"/>
      <c r="K36" s="384"/>
      <c r="L36" s="384"/>
      <c r="M36" s="384"/>
      <c r="N36" s="385"/>
    </row>
    <row r="37" spans="1:23" s="401" customFormat="1" x14ac:dyDescent="0.35">
      <c r="E37" s="406"/>
      <c r="F37" s="374"/>
      <c r="G37" s="438"/>
      <c r="H37" s="384"/>
      <c r="I37" s="384"/>
      <c r="J37" s="385"/>
      <c r="K37" s="439"/>
      <c r="L37" s="384"/>
      <c r="M37" s="384"/>
      <c r="N37" s="385"/>
      <c r="O37" s="406"/>
    </row>
    <row r="38" spans="1:23" s="401" customFormat="1" x14ac:dyDescent="0.35">
      <c r="C38" s="406"/>
      <c r="F38" s="374"/>
      <c r="G38" s="403"/>
      <c r="H38" s="384"/>
      <c r="I38" s="440"/>
      <c r="J38" s="441"/>
      <c r="K38" s="403"/>
      <c r="L38" s="384"/>
      <c r="M38" s="440"/>
      <c r="N38" s="441"/>
    </row>
    <row r="39" spans="1:23" s="401" customFormat="1" x14ac:dyDescent="0.35">
      <c r="F39" s="374"/>
      <c r="G39" s="413"/>
      <c r="H39" s="384"/>
      <c r="I39" s="384"/>
      <c r="J39" s="385"/>
      <c r="K39" s="413"/>
      <c r="L39" s="384"/>
      <c r="M39" s="384"/>
      <c r="N39" s="385"/>
    </row>
    <row r="40" spans="1:23" s="401" customFormat="1" ht="16" thickBot="1" x14ac:dyDescent="0.4">
      <c r="F40" s="417" t="s">
        <v>731</v>
      </c>
      <c r="G40" s="613" t="str">
        <f>G30</f>
        <v>ind. Beheizt</v>
      </c>
      <c r="H40" s="415"/>
      <c r="I40" s="415"/>
      <c r="J40" s="442"/>
      <c r="K40" s="418" t="str">
        <f>K30</f>
        <v>Elektroheizstab</v>
      </c>
      <c r="L40" s="443"/>
      <c r="M40" s="415"/>
      <c r="N40" s="442"/>
    </row>
    <row r="41" spans="1:23" s="401" customFormat="1" ht="16" thickBot="1" x14ac:dyDescent="0.4">
      <c r="F41" s="421">
        <f>A10</f>
        <v>320</v>
      </c>
      <c r="G41" s="445">
        <f>IF(A10&lt;500,(0.8+5.305*(B31/L10)-27.02*(B31/L10)^2),(1.207*(B31/L10)^0.07))</f>
        <v>1.0123441170441498</v>
      </c>
      <c r="H41" s="445"/>
      <c r="I41" s="445"/>
      <c r="J41" s="446"/>
      <c r="K41" s="447">
        <f>0.8+5.305*(B31/P10)-27.02*(B31/P10)^2</f>
        <v>1.0123441170441498</v>
      </c>
      <c r="L41" s="445"/>
      <c r="M41" s="445"/>
      <c r="N41" s="448"/>
    </row>
    <row r="42" spans="1:23" s="401" customFormat="1" ht="16" thickBot="1" x14ac:dyDescent="0.4">
      <c r="F42" s="779" t="s">
        <v>882</v>
      </c>
      <c r="G42" s="776">
        <f>IF(A10&lt;500,(0.8+5.305*(B31/L11)-27.02*(B31/L11)^2),(1.207*(B31/L11)^0.07))</f>
        <v>1.0040212979173602</v>
      </c>
    </row>
    <row r="43" spans="1:23" s="401" customFormat="1" ht="16.5" x14ac:dyDescent="0.4">
      <c r="E43" s="406"/>
      <c r="F43" s="369" t="s">
        <v>751</v>
      </c>
      <c r="G43" s="402" t="s">
        <v>764</v>
      </c>
      <c r="H43" s="399"/>
      <c r="I43" s="399"/>
      <c r="J43" s="399"/>
      <c r="K43" s="399"/>
      <c r="L43" s="399"/>
      <c r="M43" s="399"/>
      <c r="N43" s="400"/>
      <c r="O43" s="449"/>
      <c r="P43" s="406"/>
    </row>
    <row r="44" spans="1:23" s="401" customFormat="1" x14ac:dyDescent="0.35">
      <c r="F44" s="374"/>
      <c r="G44" s="438" t="s">
        <v>735</v>
      </c>
      <c r="H44" s="384"/>
      <c r="I44" s="384"/>
      <c r="J44" s="384"/>
      <c r="K44" s="384"/>
      <c r="L44" s="384"/>
      <c r="M44" s="384"/>
      <c r="N44" s="385"/>
      <c r="O44" s="450"/>
      <c r="P44" s="451"/>
    </row>
    <row r="45" spans="1:23" s="401" customFormat="1" x14ac:dyDescent="0.35">
      <c r="E45" s="406"/>
      <c r="F45" s="374"/>
      <c r="G45" s="438"/>
      <c r="H45" s="384"/>
      <c r="I45" s="384"/>
      <c r="J45" s="385"/>
      <c r="K45" s="439"/>
      <c r="L45" s="384"/>
      <c r="M45" s="384"/>
      <c r="N45" s="385"/>
      <c r="O45" s="449"/>
      <c r="P45" s="451"/>
      <c r="T45" s="451"/>
    </row>
    <row r="46" spans="1:23" s="401" customFormat="1" x14ac:dyDescent="0.35">
      <c r="E46" s="406"/>
      <c r="F46" s="374"/>
      <c r="G46" s="403"/>
      <c r="H46" s="384"/>
      <c r="I46" s="440"/>
      <c r="J46" s="441"/>
      <c r="K46" s="403"/>
      <c r="L46" s="384"/>
      <c r="M46" s="440"/>
      <c r="N46" s="441"/>
      <c r="P46" s="405"/>
      <c r="R46" s="452"/>
      <c r="S46" s="405"/>
      <c r="T46" s="405"/>
      <c r="V46" s="452"/>
      <c r="W46" s="405"/>
    </row>
    <row r="47" spans="1:23" s="401" customFormat="1" x14ac:dyDescent="0.35">
      <c r="F47" s="374"/>
      <c r="G47" s="413"/>
      <c r="H47" s="384"/>
      <c r="I47" s="384"/>
      <c r="J47" s="385"/>
      <c r="K47" s="413"/>
      <c r="L47" s="384"/>
      <c r="M47" s="384"/>
      <c r="N47" s="385"/>
    </row>
    <row r="48" spans="1:23" s="401" customFormat="1" ht="16" thickBot="1" x14ac:dyDescent="0.4">
      <c r="F48" s="417" t="s">
        <v>731</v>
      </c>
      <c r="G48" s="613" t="str">
        <f>G40</f>
        <v>ind. Beheizt</v>
      </c>
      <c r="H48" s="415"/>
      <c r="I48" s="415"/>
      <c r="J48" s="442"/>
      <c r="K48" s="418" t="str">
        <f>K40</f>
        <v>Elektroheizstab</v>
      </c>
      <c r="L48" s="443"/>
      <c r="M48" s="415"/>
      <c r="N48" s="442"/>
    </row>
    <row r="49" spans="5:23" s="401" customFormat="1" ht="16" thickBot="1" x14ac:dyDescent="0.4">
      <c r="F49" s="453">
        <f>A10</f>
        <v>320</v>
      </c>
      <c r="G49" s="445">
        <f>IF(A10&lt;500,(1.12-2.36*(C31/L10)),1)</f>
        <v>0.9949201559263634</v>
      </c>
      <c r="H49" s="445"/>
      <c r="I49" s="445"/>
      <c r="J49" s="445"/>
      <c r="K49" s="445">
        <f>1.12-2.36*(C31/P10)</f>
        <v>0.9949201559263634</v>
      </c>
      <c r="L49" s="445"/>
      <c r="M49" s="445"/>
      <c r="N49" s="448"/>
      <c r="P49" s="430"/>
      <c r="Q49" s="430"/>
      <c r="R49" s="430"/>
      <c r="S49" s="430"/>
      <c r="T49" s="430"/>
      <c r="U49" s="430"/>
      <c r="V49" s="430"/>
      <c r="W49" s="430"/>
    </row>
    <row r="50" spans="5:23" s="401" customFormat="1" ht="16" thickBot="1" x14ac:dyDescent="0.4">
      <c r="F50" s="779" t="s">
        <v>882</v>
      </c>
      <c r="G50" s="776">
        <f>IF(A10&lt;500,(1.12-2.36*(C31/L11)),1)</f>
        <v>1.0027522583122828</v>
      </c>
    </row>
    <row r="51" spans="5:23" s="401" customFormat="1" ht="16.5" x14ac:dyDescent="0.4">
      <c r="E51" s="406"/>
      <c r="F51" s="369" t="s">
        <v>751</v>
      </c>
      <c r="G51" s="402" t="s">
        <v>765</v>
      </c>
      <c r="H51" s="399"/>
      <c r="I51" s="399"/>
      <c r="J51" s="399"/>
      <c r="K51" s="399"/>
      <c r="L51" s="399"/>
      <c r="M51" s="399"/>
      <c r="N51" s="400"/>
      <c r="O51" s="406"/>
      <c r="P51" s="406"/>
    </row>
    <row r="52" spans="5:23" s="401" customFormat="1" x14ac:dyDescent="0.35">
      <c r="F52" s="374"/>
      <c r="G52" s="438"/>
      <c r="H52" s="384"/>
      <c r="I52" s="384"/>
      <c r="J52" s="384"/>
      <c r="K52" s="384"/>
      <c r="L52" s="384"/>
      <c r="M52" s="384"/>
      <c r="N52" s="385"/>
      <c r="P52" s="451"/>
    </row>
    <row r="53" spans="5:23" s="401" customFormat="1" x14ac:dyDescent="0.35">
      <c r="E53" s="406"/>
      <c r="F53" s="374"/>
      <c r="G53" s="438"/>
      <c r="H53" s="384"/>
      <c r="I53" s="384"/>
      <c r="J53" s="385"/>
      <c r="K53" s="439"/>
      <c r="L53" s="384"/>
      <c r="M53" s="384"/>
      <c r="N53" s="385"/>
      <c r="O53" s="406"/>
      <c r="P53" s="451"/>
      <c r="T53" s="451"/>
    </row>
    <row r="54" spans="5:23" s="401" customFormat="1" x14ac:dyDescent="0.35">
      <c r="E54" s="406"/>
      <c r="F54" s="374"/>
      <c r="G54" s="403"/>
      <c r="H54" s="384"/>
      <c r="I54" s="440"/>
      <c r="J54" s="441"/>
      <c r="K54" s="403"/>
      <c r="L54" s="384"/>
      <c r="M54" s="440"/>
      <c r="N54" s="441"/>
      <c r="P54" s="405"/>
      <c r="R54" s="452"/>
      <c r="S54" s="405"/>
      <c r="T54" s="405"/>
      <c r="V54" s="452"/>
      <c r="W54" s="405"/>
    </row>
    <row r="55" spans="5:23" s="401" customFormat="1" x14ac:dyDescent="0.35">
      <c r="F55" s="374"/>
      <c r="G55" s="413"/>
      <c r="H55" s="384"/>
      <c r="I55" s="384"/>
      <c r="J55" s="385"/>
      <c r="K55" s="413"/>
      <c r="L55" s="384"/>
      <c r="M55" s="384"/>
      <c r="N55" s="385"/>
    </row>
    <row r="56" spans="5:23" s="401" customFormat="1" ht="16" thickBot="1" x14ac:dyDescent="0.4">
      <c r="F56" s="417" t="s">
        <v>731</v>
      </c>
      <c r="G56" s="418" t="str">
        <f>G48</f>
        <v>ind. Beheizt</v>
      </c>
      <c r="H56" s="415"/>
      <c r="I56" s="415"/>
      <c r="J56" s="442"/>
      <c r="K56" s="418" t="str">
        <f>K48</f>
        <v>Elektroheizstab</v>
      </c>
      <c r="L56" s="443"/>
      <c r="M56" s="415"/>
      <c r="N56" s="442"/>
    </row>
    <row r="57" spans="5:23" s="401" customFormat="1" ht="16" thickBot="1" x14ac:dyDescent="0.4">
      <c r="F57" s="453">
        <f>A10</f>
        <v>320</v>
      </c>
      <c r="G57" s="454">
        <f>IF(A10&lt;500,(1.22-0.464*(L10^0.5)*(C3/C31)),1)</f>
        <v>1.22</v>
      </c>
      <c r="H57" s="454"/>
      <c r="I57" s="454"/>
      <c r="J57" s="455"/>
      <c r="K57" s="456">
        <f>1.22-0.464*(P10^0.5)*(C3/C31)</f>
        <v>1.22</v>
      </c>
      <c r="L57" s="454"/>
      <c r="M57" s="454"/>
      <c r="N57" s="457"/>
      <c r="P57" s="430"/>
      <c r="Q57" s="430"/>
      <c r="R57" s="430"/>
      <c r="S57" s="430"/>
      <c r="T57" s="430"/>
      <c r="U57" s="430"/>
      <c r="V57" s="430"/>
      <c r="W57" s="430"/>
    </row>
    <row r="58" spans="5:23" s="401" customFormat="1" ht="16" thickBot="1" x14ac:dyDescent="0.4">
      <c r="F58" s="779" t="s">
        <v>882</v>
      </c>
      <c r="G58" s="778">
        <f>IF(A10&lt;500,(1.22-0.464*(L11^0.5)*(C4/C31)),1)</f>
        <v>1.047254031942372</v>
      </c>
    </row>
    <row r="59" spans="5:23" s="401" customFormat="1" x14ac:dyDescent="0.35">
      <c r="F59" s="458"/>
      <c r="G59" s="459"/>
      <c r="H59" s="459"/>
      <c r="I59" s="459"/>
      <c r="J59" s="460"/>
    </row>
    <row r="60" spans="5:23" s="401" customFormat="1" x14ac:dyDescent="0.35">
      <c r="F60" s="383"/>
      <c r="G60" s="461"/>
      <c r="H60" s="461"/>
      <c r="I60" s="461"/>
      <c r="J60" s="412"/>
    </row>
    <row r="61" spans="5:23" s="401" customFormat="1" ht="23.25" customHeight="1" thickBot="1" x14ac:dyDescent="0.4">
      <c r="F61" s="414"/>
      <c r="G61" s="418"/>
      <c r="H61" s="418"/>
      <c r="I61" s="418"/>
      <c r="J61" s="416"/>
    </row>
    <row r="62" spans="5:23" s="401" customFormat="1" ht="18" thickBot="1" x14ac:dyDescent="0.4">
      <c r="E62" s="406"/>
      <c r="F62" s="462" t="s">
        <v>766</v>
      </c>
      <c r="G62" s="463">
        <f>47/(50-G3)</f>
        <v>1.2702702702702702</v>
      </c>
      <c r="H62" s="463"/>
      <c r="I62" s="463"/>
      <c r="J62" s="464"/>
    </row>
    <row r="63" spans="5:23" s="401" customFormat="1" ht="16" thickBot="1" x14ac:dyDescent="0.4">
      <c r="F63" s="779" t="s">
        <v>882</v>
      </c>
      <c r="G63" s="776">
        <f>47/(50-G4)</f>
        <v>1.5666666666666667</v>
      </c>
    </row>
    <row r="64" spans="5:23" s="401" customFormat="1" ht="17" thickBot="1" x14ac:dyDescent="0.4">
      <c r="E64" s="406"/>
      <c r="F64" s="434" t="s">
        <v>767</v>
      </c>
      <c r="G64" s="465">
        <f>365/350</f>
        <v>1.0428571428571429</v>
      </c>
    </row>
    <row r="65" spans="4:15" s="401" customFormat="1" ht="16" thickBot="1" x14ac:dyDescent="0.4"/>
    <row r="66" spans="4:15" s="401" customFormat="1" ht="16" thickBot="1" x14ac:dyDescent="0.4">
      <c r="F66" s="466"/>
      <c r="G66" s="467" t="s">
        <v>746</v>
      </c>
      <c r="H66" s="468" t="s">
        <v>747</v>
      </c>
    </row>
    <row r="67" spans="4:15" s="401" customFormat="1" ht="17" thickBot="1" x14ac:dyDescent="0.4">
      <c r="E67" s="406"/>
      <c r="F67" s="462" t="s">
        <v>768</v>
      </c>
      <c r="G67" s="463">
        <f>1/1.2</f>
        <v>0.83333333333333337</v>
      </c>
      <c r="H67" s="464">
        <v>1</v>
      </c>
      <c r="I67" s="469"/>
      <c r="J67" s="469"/>
    </row>
    <row r="68" spans="4:15" s="401" customFormat="1" ht="16" thickBot="1" x14ac:dyDescent="0.4"/>
    <row r="69" spans="4:15" s="401" customFormat="1" ht="16.5" x14ac:dyDescent="0.4">
      <c r="F69" s="369" t="s">
        <v>751</v>
      </c>
      <c r="G69" s="402"/>
      <c r="H69" s="399"/>
      <c r="I69" s="399"/>
      <c r="J69" s="399"/>
      <c r="K69" s="399"/>
      <c r="L69" s="399"/>
      <c r="M69" s="399"/>
      <c r="N69" s="400"/>
    </row>
    <row r="70" spans="4:15" s="401" customFormat="1" x14ac:dyDescent="0.35">
      <c r="E70" s="470"/>
      <c r="F70" s="374"/>
      <c r="G70" s="438" t="s">
        <v>748</v>
      </c>
      <c r="H70" s="384"/>
      <c r="I70" s="384"/>
      <c r="J70" s="384"/>
      <c r="K70" s="384"/>
      <c r="L70" s="384"/>
      <c r="M70" s="384"/>
      <c r="N70" s="385"/>
      <c r="O70" s="470"/>
    </row>
    <row r="71" spans="4:15" s="401" customFormat="1" x14ac:dyDescent="0.35">
      <c r="F71" s="374"/>
      <c r="G71" s="438" t="s">
        <v>744</v>
      </c>
      <c r="H71" s="384"/>
      <c r="I71" s="384"/>
      <c r="J71" s="385"/>
      <c r="K71" s="439" t="s">
        <v>480</v>
      </c>
      <c r="L71" s="384"/>
      <c r="M71" s="384"/>
      <c r="N71" s="385"/>
    </row>
    <row r="72" spans="4:15" s="401" customFormat="1" x14ac:dyDescent="0.35">
      <c r="F72" s="374"/>
      <c r="G72" s="403"/>
      <c r="H72" s="384"/>
      <c r="I72" s="440"/>
      <c r="J72" s="441"/>
      <c r="K72" s="403"/>
      <c r="L72" s="384"/>
      <c r="M72" s="440"/>
      <c r="N72" s="441"/>
    </row>
    <row r="73" spans="4:15" s="401" customFormat="1" x14ac:dyDescent="0.35">
      <c r="F73" s="374"/>
      <c r="G73" s="413"/>
      <c r="H73" s="413"/>
      <c r="I73" s="413"/>
      <c r="J73" s="411"/>
      <c r="K73" s="471"/>
      <c r="L73" s="413"/>
      <c r="M73" s="413"/>
      <c r="N73" s="412"/>
    </row>
    <row r="74" spans="4:15" s="401" customFormat="1" ht="16" thickBot="1" x14ac:dyDescent="0.4">
      <c r="F74" s="417" t="s">
        <v>731</v>
      </c>
      <c r="G74" s="418"/>
      <c r="H74" s="415"/>
      <c r="I74" s="418"/>
      <c r="J74" s="415"/>
      <c r="K74" s="387"/>
      <c r="L74" s="418"/>
      <c r="M74" s="418"/>
      <c r="N74" s="416"/>
    </row>
    <row r="75" spans="4:15" s="401" customFormat="1" ht="16" thickBot="1" x14ac:dyDescent="0.4">
      <c r="F75" s="472">
        <f>A10</f>
        <v>320</v>
      </c>
      <c r="G75" s="473">
        <f>I16*G22*G31*G33*G41*G49*G57+(G10*A10*G62*G64*G67)</f>
        <v>3229.190922339375</v>
      </c>
      <c r="H75" s="473"/>
      <c r="I75" s="473"/>
      <c r="J75" s="474"/>
      <c r="K75" s="475">
        <f>I16*G22*K31*G33*K41*K49*K57+(I10*A10*G62*G64*H67)</f>
        <v>3229.190922339375</v>
      </c>
      <c r="L75" s="473"/>
      <c r="M75" s="473"/>
      <c r="N75" s="476"/>
    </row>
    <row r="76" spans="4:15" s="401" customFormat="1" ht="16" thickBot="1" x14ac:dyDescent="0.4">
      <c r="F76" s="779" t="s">
        <v>882</v>
      </c>
      <c r="G76" s="777">
        <f>I16*G22*G32*G33*G42*G50*G58+(G11*A10*G63*G64*G67)</f>
        <v>3443.7444176964964</v>
      </c>
    </row>
    <row r="77" spans="4:15" s="401" customFormat="1" ht="16.5" x14ac:dyDescent="0.4">
      <c r="F77" s="369" t="s">
        <v>751</v>
      </c>
      <c r="G77" s="402"/>
      <c r="H77" s="399"/>
      <c r="I77" s="399"/>
      <c r="J77" s="399"/>
      <c r="K77" s="399"/>
      <c r="L77" s="399"/>
      <c r="M77" s="399"/>
      <c r="N77" s="400"/>
    </row>
    <row r="78" spans="4:15" s="401" customFormat="1" x14ac:dyDescent="0.35">
      <c r="D78" s="406"/>
      <c r="E78" s="477"/>
      <c r="F78" s="374"/>
      <c r="G78" s="438" t="s">
        <v>749</v>
      </c>
      <c r="H78" s="384"/>
      <c r="I78" s="384"/>
      <c r="J78" s="384"/>
      <c r="K78" s="384"/>
      <c r="L78" s="384"/>
      <c r="M78" s="384"/>
      <c r="N78" s="385"/>
      <c r="O78" s="477"/>
    </row>
    <row r="79" spans="4:15" s="401" customFormat="1" x14ac:dyDescent="0.35">
      <c r="F79" s="374"/>
      <c r="G79" s="438"/>
      <c r="H79" s="384"/>
      <c r="I79" s="384"/>
      <c r="J79" s="385"/>
      <c r="K79" s="439" t="s">
        <v>480</v>
      </c>
      <c r="L79" s="384"/>
      <c r="M79" s="384"/>
      <c r="N79" s="385"/>
    </row>
    <row r="80" spans="4:15" s="401" customFormat="1" x14ac:dyDescent="0.35">
      <c r="F80" s="374"/>
      <c r="G80" s="403"/>
      <c r="H80" s="384"/>
      <c r="I80" s="440"/>
      <c r="J80" s="441"/>
      <c r="K80" s="403"/>
      <c r="L80" s="384"/>
      <c r="M80" s="440"/>
      <c r="N80" s="441"/>
    </row>
    <row r="81" spans="6:14" s="401" customFormat="1" x14ac:dyDescent="0.35">
      <c r="F81" s="374"/>
      <c r="G81" s="413"/>
      <c r="H81" s="384"/>
      <c r="I81" s="384"/>
      <c r="J81" s="385"/>
      <c r="K81" s="413"/>
      <c r="L81" s="384"/>
      <c r="M81" s="384"/>
      <c r="N81" s="385"/>
    </row>
    <row r="82" spans="6:14" s="401" customFormat="1" ht="16" thickBot="1" x14ac:dyDescent="0.4">
      <c r="F82" s="417" t="s">
        <v>731</v>
      </c>
      <c r="G82" s="418"/>
      <c r="H82" s="415"/>
      <c r="I82" s="415"/>
      <c r="J82" s="442"/>
      <c r="K82" s="418"/>
      <c r="L82" s="443"/>
      <c r="M82" s="415"/>
      <c r="N82" s="442"/>
    </row>
    <row r="83" spans="6:14" s="401" customFormat="1" ht="16" thickBot="1" x14ac:dyDescent="0.4">
      <c r="F83" s="453">
        <f>A10</f>
        <v>320</v>
      </c>
      <c r="G83" s="478">
        <f>G75/L10</f>
        <v>0.50305192583801328</v>
      </c>
      <c r="H83" s="445"/>
      <c r="I83" s="445"/>
      <c r="J83" s="445"/>
      <c r="K83" s="614">
        <f>K75/P10</f>
        <v>0.50305192583801328</v>
      </c>
      <c r="L83" s="445"/>
      <c r="M83" s="445"/>
      <c r="N83" s="448"/>
    </row>
    <row r="84" spans="6:14" s="401" customFormat="1" ht="16" thickBot="1" x14ac:dyDescent="0.4">
      <c r="F84" s="779" t="s">
        <v>882</v>
      </c>
      <c r="G84" s="776">
        <f>G76/L11</f>
        <v>0.502883238565493</v>
      </c>
    </row>
    <row r="85" spans="6:14" s="401" customFormat="1" x14ac:dyDescent="0.35"/>
    <row r="86" spans="6:14" s="401" customFormat="1" x14ac:dyDescent="0.35"/>
    <row r="87" spans="6:14" s="401" customFormat="1" x14ac:dyDescent="0.35"/>
    <row r="88" spans="6:14" s="401" customFormat="1" x14ac:dyDescent="0.35"/>
    <row r="89" spans="6:14" s="401" customFormat="1" x14ac:dyDescent="0.35"/>
    <row r="90" spans="6:14" s="401" customFormat="1" x14ac:dyDescent="0.35"/>
    <row r="91" spans="6:14" s="401" customFormat="1" x14ac:dyDescent="0.35"/>
    <row r="92" spans="6:14" s="401" customFormat="1" x14ac:dyDescent="0.35"/>
    <row r="93" spans="6:14" s="401" customFormat="1" x14ac:dyDescent="0.35"/>
    <row r="94" spans="6:14" s="401" customFormat="1" x14ac:dyDescent="0.35"/>
    <row r="95" spans="6:14" s="401" customFormat="1" x14ac:dyDescent="0.35"/>
    <row r="96" spans="6:14" s="401" customFormat="1" x14ac:dyDescent="0.35"/>
    <row r="97" s="401" customFormat="1" x14ac:dyDescent="0.35"/>
    <row r="98" s="401" customFormat="1" x14ac:dyDescent="0.35"/>
    <row r="99" s="401" customFormat="1" x14ac:dyDescent="0.35"/>
    <row r="100" s="401" customFormat="1" x14ac:dyDescent="0.35"/>
    <row r="101" s="401" customFormat="1" x14ac:dyDescent="0.35"/>
    <row r="102" s="401" customFormat="1" x14ac:dyDescent="0.35"/>
    <row r="103" s="401" customFormat="1" x14ac:dyDescent="0.35"/>
    <row r="104" s="401" customFormat="1" x14ac:dyDescent="0.35"/>
    <row r="105" s="401" customFormat="1" x14ac:dyDescent="0.35"/>
    <row r="106" s="401" customFormat="1" x14ac:dyDescent="0.35"/>
    <row r="107" s="401" customFormat="1" x14ac:dyDescent="0.35"/>
    <row r="108" s="401" customFormat="1" x14ac:dyDescent="0.35"/>
    <row r="109" s="401" customFormat="1" x14ac:dyDescent="0.35"/>
    <row r="110" s="401" customFormat="1" x14ac:dyDescent="0.35"/>
    <row r="111" s="401" customFormat="1" x14ac:dyDescent="0.35"/>
    <row r="112" s="401" customFormat="1" x14ac:dyDescent="0.35"/>
    <row r="113" s="401" customFormat="1" x14ac:dyDescent="0.35"/>
    <row r="114" s="401" customFormat="1" x14ac:dyDescent="0.35"/>
    <row r="115" s="401" customFormat="1" x14ac:dyDescent="0.35"/>
    <row r="116" s="401" customFormat="1" x14ac:dyDescent="0.35"/>
    <row r="117" s="401" customFormat="1" x14ac:dyDescent="0.35"/>
    <row r="118" s="401" customFormat="1" x14ac:dyDescent="0.35"/>
    <row r="119" s="401" customFormat="1" x14ac:dyDescent="0.35"/>
    <row r="120" s="401" customFormat="1" x14ac:dyDescent="0.35"/>
    <row r="121" s="401" customFormat="1" x14ac:dyDescent="0.35"/>
    <row r="122" s="401" customFormat="1" x14ac:dyDescent="0.35"/>
    <row r="123" s="401" customFormat="1" x14ac:dyDescent="0.35"/>
    <row r="124" s="401" customFormat="1" x14ac:dyDescent="0.35"/>
    <row r="125" s="401" customFormat="1" x14ac:dyDescent="0.35"/>
    <row r="126" s="401" customFormat="1" x14ac:dyDescent="0.35"/>
    <row r="127" s="401" customFormat="1" x14ac:dyDescent="0.35"/>
    <row r="128" s="401" customFormat="1" x14ac:dyDescent="0.35"/>
    <row r="129" s="401" customFormat="1" x14ac:dyDescent="0.35"/>
    <row r="130" s="401" customFormat="1" x14ac:dyDescent="0.35"/>
    <row r="131" s="401" customFormat="1" x14ac:dyDescent="0.35"/>
    <row r="132" s="401" customFormat="1" x14ac:dyDescent="0.35"/>
    <row r="133" s="401" customFormat="1" x14ac:dyDescent="0.35"/>
    <row r="134" s="401" customFormat="1" x14ac:dyDescent="0.35"/>
    <row r="135" s="401" customFormat="1" x14ac:dyDescent="0.35"/>
    <row r="136" s="401" customFormat="1" x14ac:dyDescent="0.35"/>
    <row r="137" s="401" customFormat="1" x14ac:dyDescent="0.35"/>
    <row r="138" s="401" customFormat="1" x14ac:dyDescent="0.35"/>
    <row r="139" s="401" customFormat="1" x14ac:dyDescent="0.35"/>
    <row r="140" s="401" customFormat="1" x14ac:dyDescent="0.35"/>
    <row r="141" s="401" customFormat="1" x14ac:dyDescent="0.35"/>
    <row r="142" s="401" customFormat="1" x14ac:dyDescent="0.35"/>
    <row r="143" s="401" customFormat="1" x14ac:dyDescent="0.35"/>
    <row r="144" s="401" customFormat="1" x14ac:dyDescent="0.35"/>
    <row r="145" s="401" customFormat="1" x14ac:dyDescent="0.35"/>
    <row r="146" s="401" customFormat="1" x14ac:dyDescent="0.35"/>
    <row r="147" s="401" customFormat="1" x14ac:dyDescent="0.35"/>
    <row r="148" s="401" customFormat="1" x14ac:dyDescent="0.35"/>
    <row r="149" s="401" customFormat="1" x14ac:dyDescent="0.35"/>
    <row r="150" s="401" customFormat="1" x14ac:dyDescent="0.35"/>
    <row r="151" s="401" customFormat="1" x14ac:dyDescent="0.35"/>
    <row r="152" s="401" customFormat="1" x14ac:dyDescent="0.35"/>
    <row r="153" s="401" customFormat="1" x14ac:dyDescent="0.35"/>
    <row r="154" s="401" customFormat="1" x14ac:dyDescent="0.35"/>
    <row r="155" s="401" customFormat="1" x14ac:dyDescent="0.35"/>
    <row r="156" s="401" customFormat="1" x14ac:dyDescent="0.35"/>
    <row r="157" s="401" customFormat="1" x14ac:dyDescent="0.35"/>
    <row r="158" s="401" customFormat="1" x14ac:dyDescent="0.35"/>
    <row r="159" s="401" customFormat="1" x14ac:dyDescent="0.35"/>
    <row r="160" s="401" customFormat="1" x14ac:dyDescent="0.35"/>
    <row r="161" s="401" customFormat="1" x14ac:dyDescent="0.35"/>
    <row r="162" s="401" customFormat="1" x14ac:dyDescent="0.35"/>
    <row r="163" s="401" customFormat="1" x14ac:dyDescent="0.35"/>
    <row r="164" s="401" customFormat="1" x14ac:dyDescent="0.35"/>
    <row r="165" s="401" customFormat="1" x14ac:dyDescent="0.35"/>
    <row r="166" s="401" customFormat="1" x14ac:dyDescent="0.35"/>
    <row r="167" s="401" customFormat="1" x14ac:dyDescent="0.35"/>
    <row r="168" s="401" customFormat="1" x14ac:dyDescent="0.35"/>
    <row r="169" s="401" customFormat="1" x14ac:dyDescent="0.35"/>
    <row r="170" s="401" customFormat="1" x14ac:dyDescent="0.35"/>
    <row r="171" s="401" customFormat="1" x14ac:dyDescent="0.35"/>
    <row r="172" s="401" customFormat="1" x14ac:dyDescent="0.35"/>
    <row r="173" s="401" customFormat="1" x14ac:dyDescent="0.35"/>
    <row r="174" s="401" customFormat="1" x14ac:dyDescent="0.35"/>
    <row r="175" s="401" customFormat="1" x14ac:dyDescent="0.35"/>
    <row r="176" s="401" customFormat="1" x14ac:dyDescent="0.35"/>
    <row r="177" s="401" customFormat="1" x14ac:dyDescent="0.35"/>
    <row r="178" s="401" customFormat="1" x14ac:dyDescent="0.35"/>
    <row r="179" s="401" customFormat="1" x14ac:dyDescent="0.35"/>
    <row r="180" s="401" customFormat="1" x14ac:dyDescent="0.35"/>
    <row r="181" s="401" customFormat="1" x14ac:dyDescent="0.35"/>
    <row r="182" s="401" customFormat="1" x14ac:dyDescent="0.35"/>
    <row r="183" s="401" customFormat="1" x14ac:dyDescent="0.35"/>
    <row r="184" s="401" customFormat="1" x14ac:dyDescent="0.35"/>
    <row r="185" s="401" customFormat="1" x14ac:dyDescent="0.35"/>
    <row r="186" s="401" customFormat="1" x14ac:dyDescent="0.35"/>
    <row r="187" s="401" customFormat="1" x14ac:dyDescent="0.35"/>
    <row r="188" s="401" customFormat="1" x14ac:dyDescent="0.35"/>
    <row r="189" s="401" customFormat="1" x14ac:dyDescent="0.35"/>
    <row r="190" s="401" customFormat="1" x14ac:dyDescent="0.35"/>
    <row r="191" s="401" customFormat="1" x14ac:dyDescent="0.35"/>
    <row r="192" s="401" customFormat="1" x14ac:dyDescent="0.35"/>
    <row r="193" s="401" customFormat="1" x14ac:dyDescent="0.35"/>
    <row r="194" s="401" customFormat="1" x14ac:dyDescent="0.35"/>
    <row r="195" s="401" customFormat="1" x14ac:dyDescent="0.35"/>
    <row r="196" s="401" customFormat="1" x14ac:dyDescent="0.35"/>
    <row r="197" s="401" customFormat="1" x14ac:dyDescent="0.35"/>
    <row r="198" s="401" customFormat="1" x14ac:dyDescent="0.35"/>
    <row r="199" s="401" customFormat="1" x14ac:dyDescent="0.35"/>
    <row r="200" s="401" customFormat="1" x14ac:dyDescent="0.35"/>
    <row r="201" s="401" customFormat="1" x14ac:dyDescent="0.35"/>
    <row r="202" s="401" customFormat="1" x14ac:dyDescent="0.35"/>
    <row r="203" s="401" customFormat="1" x14ac:dyDescent="0.35"/>
    <row r="204" s="401" customFormat="1" x14ac:dyDescent="0.35"/>
    <row r="205" s="401" customFormat="1" x14ac:dyDescent="0.35"/>
    <row r="206" s="401" customFormat="1" x14ac:dyDescent="0.35"/>
    <row r="207" s="401" customFormat="1" x14ac:dyDescent="0.35"/>
    <row r="208" s="401" customFormat="1" x14ac:dyDescent="0.35"/>
    <row r="209" s="401" customFormat="1" x14ac:dyDescent="0.35"/>
    <row r="210" s="401" customFormat="1" x14ac:dyDescent="0.35"/>
    <row r="211" s="401" customFormat="1" x14ac:dyDescent="0.35"/>
    <row r="212" s="401" customFormat="1" x14ac:dyDescent="0.35"/>
    <row r="213" s="401" customFormat="1" x14ac:dyDescent="0.35"/>
    <row r="214" s="401" customFormat="1" x14ac:dyDescent="0.35"/>
    <row r="215" s="401" customFormat="1" x14ac:dyDescent="0.35"/>
    <row r="216" s="401" customFormat="1" x14ac:dyDescent="0.35"/>
    <row r="217" s="401" customFormat="1" x14ac:dyDescent="0.35"/>
    <row r="218" s="401" customFormat="1" x14ac:dyDescent="0.35"/>
    <row r="219" s="401" customFormat="1" x14ac:dyDescent="0.35"/>
    <row r="220" s="401" customFormat="1" x14ac:dyDescent="0.35"/>
    <row r="221" s="401" customFormat="1" x14ac:dyDescent="0.35"/>
    <row r="222" s="401" customFormat="1" x14ac:dyDescent="0.35"/>
    <row r="223" s="401" customFormat="1" x14ac:dyDescent="0.35"/>
    <row r="224" s="401" customFormat="1" x14ac:dyDescent="0.35"/>
    <row r="225" s="401" customFormat="1" x14ac:dyDescent="0.35"/>
    <row r="226" s="401" customFormat="1" x14ac:dyDescent="0.35"/>
    <row r="227" s="401" customFormat="1" x14ac:dyDescent="0.35"/>
    <row r="228" s="401" customFormat="1" x14ac:dyDescent="0.35"/>
    <row r="229" s="401" customFormat="1" x14ac:dyDescent="0.35"/>
    <row r="230" s="401" customFormat="1" x14ac:dyDescent="0.35"/>
    <row r="231" s="401" customFormat="1" x14ac:dyDescent="0.35"/>
    <row r="232" s="401" customFormat="1" x14ac:dyDescent="0.35"/>
    <row r="233" s="401" customFormat="1" x14ac:dyDescent="0.35"/>
    <row r="234" s="401" customFormat="1" x14ac:dyDescent="0.35"/>
    <row r="235" s="401" customFormat="1" x14ac:dyDescent="0.35"/>
    <row r="236" s="401" customFormat="1" x14ac:dyDescent="0.35"/>
    <row r="237" s="401" customFormat="1" x14ac:dyDescent="0.35"/>
    <row r="238" s="401" customFormat="1" x14ac:dyDescent="0.35"/>
    <row r="239" s="401" customFormat="1" x14ac:dyDescent="0.35"/>
    <row r="240" s="401" customFormat="1" x14ac:dyDescent="0.35"/>
    <row r="241" s="401" customFormat="1" x14ac:dyDescent="0.35"/>
    <row r="242" s="401" customFormat="1" x14ac:dyDescent="0.35"/>
    <row r="243" s="401" customFormat="1" x14ac:dyDescent="0.35"/>
    <row r="244" s="401" customFormat="1" x14ac:dyDescent="0.35"/>
    <row r="245" s="401" customFormat="1" x14ac:dyDescent="0.35"/>
    <row r="246" s="401" customFormat="1" x14ac:dyDescent="0.35"/>
    <row r="247" s="401" customFormat="1" x14ac:dyDescent="0.35"/>
    <row r="248" s="401" customFormat="1" x14ac:dyDescent="0.35"/>
    <row r="249" s="401" customFormat="1" x14ac:dyDescent="0.35"/>
    <row r="250" s="401" customFormat="1" x14ac:dyDescent="0.35"/>
    <row r="251" s="401" customFormat="1" x14ac:dyDescent="0.35"/>
    <row r="252" s="401" customFormat="1" x14ac:dyDescent="0.35"/>
    <row r="253" s="401" customFormat="1" x14ac:dyDescent="0.35"/>
    <row r="254" s="401" customFormat="1" x14ac:dyDescent="0.35"/>
    <row r="255" s="401" customFormat="1" x14ac:dyDescent="0.35"/>
    <row r="256" s="401" customFormat="1" x14ac:dyDescent="0.35"/>
    <row r="257" s="401" customFormat="1" x14ac:dyDescent="0.35"/>
    <row r="258" s="401" customFormat="1" x14ac:dyDescent="0.35"/>
    <row r="259" s="401" customFormat="1" x14ac:dyDescent="0.35"/>
    <row r="260" s="401" customFormat="1" x14ac:dyDescent="0.35"/>
    <row r="261" s="401" customFormat="1" x14ac:dyDescent="0.35"/>
    <row r="262" s="401" customFormat="1" x14ac:dyDescent="0.35"/>
    <row r="263" s="401" customFormat="1" x14ac:dyDescent="0.35"/>
    <row r="264" s="401" customFormat="1" x14ac:dyDescent="0.35"/>
    <row r="265" s="401" customFormat="1" x14ac:dyDescent="0.35"/>
    <row r="266" s="401" customFormat="1" x14ac:dyDescent="0.35"/>
    <row r="267" s="401" customFormat="1" x14ac:dyDescent="0.35"/>
    <row r="268" s="401" customFormat="1" x14ac:dyDescent="0.35"/>
    <row r="269" s="401" customFormat="1" x14ac:dyDescent="0.35"/>
    <row r="270" s="401" customFormat="1" x14ac:dyDescent="0.35"/>
    <row r="271" s="401" customFormat="1" x14ac:dyDescent="0.35"/>
    <row r="272" s="401" customFormat="1" x14ac:dyDescent="0.35"/>
    <row r="273" s="401" customFormat="1" x14ac:dyDescent="0.35"/>
    <row r="274" s="401" customFormat="1" x14ac:dyDescent="0.35"/>
    <row r="275" s="401" customFormat="1" x14ac:dyDescent="0.35"/>
    <row r="276" s="401" customFormat="1" x14ac:dyDescent="0.35"/>
    <row r="277" s="401" customFormat="1" x14ac:dyDescent="0.35"/>
    <row r="278" s="401" customFormat="1" x14ac:dyDescent="0.35"/>
    <row r="279" s="401" customFormat="1" x14ac:dyDescent="0.35"/>
    <row r="280" s="401" customFormat="1" x14ac:dyDescent="0.35"/>
    <row r="281" s="401" customFormat="1" x14ac:dyDescent="0.35"/>
    <row r="282" s="401" customFormat="1" x14ac:dyDescent="0.35"/>
    <row r="283" s="401" customFormat="1" x14ac:dyDescent="0.35"/>
    <row r="284" s="401" customFormat="1" x14ac:dyDescent="0.35"/>
    <row r="285" s="401" customFormat="1" x14ac:dyDescent="0.35"/>
    <row r="286" s="401" customFormat="1" x14ac:dyDescent="0.35"/>
    <row r="287" s="401" customFormat="1" x14ac:dyDescent="0.35"/>
    <row r="288" s="401" customFormat="1" x14ac:dyDescent="0.35"/>
    <row r="289" s="401" customFormat="1" x14ac:dyDescent="0.35"/>
    <row r="290" s="401" customFormat="1" x14ac:dyDescent="0.35"/>
    <row r="291" s="401" customFormat="1" x14ac:dyDescent="0.35"/>
    <row r="292" s="401" customFormat="1" x14ac:dyDescent="0.35"/>
    <row r="293" s="401" customFormat="1" x14ac:dyDescent="0.35"/>
    <row r="294" s="401" customFormat="1" x14ac:dyDescent="0.35"/>
    <row r="295" s="401" customFormat="1" x14ac:dyDescent="0.35"/>
    <row r="296" s="401" customFormat="1" x14ac:dyDescent="0.35"/>
    <row r="297" s="401" customFormat="1" x14ac:dyDescent="0.35"/>
    <row r="298" s="401" customFormat="1" x14ac:dyDescent="0.35"/>
    <row r="299" s="401" customFormat="1" x14ac:dyDescent="0.35"/>
    <row r="300" s="401" customFormat="1" x14ac:dyDescent="0.35"/>
    <row r="301" s="401" customFormat="1" x14ac:dyDescent="0.35"/>
    <row r="302" s="401" customFormat="1" x14ac:dyDescent="0.35"/>
    <row r="303" s="401" customFormat="1" x14ac:dyDescent="0.35"/>
    <row r="304" s="401" customFormat="1" x14ac:dyDescent="0.35"/>
    <row r="305" s="401" customFormat="1" x14ac:dyDescent="0.35"/>
    <row r="306" s="401" customFormat="1" x14ac:dyDescent="0.35"/>
    <row r="307" s="401" customFormat="1" x14ac:dyDescent="0.35"/>
    <row r="308" s="401" customFormat="1" x14ac:dyDescent="0.35"/>
    <row r="309" s="401" customFormat="1" x14ac:dyDescent="0.35"/>
    <row r="310" s="401" customFormat="1" x14ac:dyDescent="0.35"/>
    <row r="311" s="401" customFormat="1" x14ac:dyDescent="0.35"/>
    <row r="312" s="401" customFormat="1" x14ac:dyDescent="0.35"/>
    <row r="313" s="401" customFormat="1" x14ac:dyDescent="0.35"/>
    <row r="314" s="401" customFormat="1" x14ac:dyDescent="0.35"/>
    <row r="315" s="401" customFormat="1" x14ac:dyDescent="0.35"/>
    <row r="316" s="401" customFormat="1" x14ac:dyDescent="0.35"/>
    <row r="317" s="401" customFormat="1" x14ac:dyDescent="0.35"/>
    <row r="318" s="401" customFormat="1" x14ac:dyDescent="0.35"/>
    <row r="319" s="401" customFormat="1" x14ac:dyDescent="0.35"/>
    <row r="320" s="401" customFormat="1" x14ac:dyDescent="0.35"/>
    <row r="321" s="401" customFormat="1" x14ac:dyDescent="0.35"/>
    <row r="322" s="401" customFormat="1" x14ac:dyDescent="0.35"/>
    <row r="323" s="401" customFormat="1" x14ac:dyDescent="0.35"/>
    <row r="324" s="401" customFormat="1" x14ac:dyDescent="0.35"/>
    <row r="325" s="401" customFormat="1" x14ac:dyDescent="0.35"/>
    <row r="326" s="401" customFormat="1" x14ac:dyDescent="0.35"/>
    <row r="327" s="401" customFormat="1" x14ac:dyDescent="0.35"/>
    <row r="328" s="401" customFormat="1" x14ac:dyDescent="0.35"/>
    <row r="329" s="401" customFormat="1" x14ac:dyDescent="0.35"/>
    <row r="330" s="401" customFormat="1" x14ac:dyDescent="0.35"/>
    <row r="331" s="401" customFormat="1" x14ac:dyDescent="0.35"/>
    <row r="332" s="401" customFormat="1" x14ac:dyDescent="0.35"/>
    <row r="333" s="401" customFormat="1" x14ac:dyDescent="0.35"/>
    <row r="334" s="401" customFormat="1" x14ac:dyDescent="0.35"/>
    <row r="335" s="401" customFormat="1" x14ac:dyDescent="0.35"/>
    <row r="336" s="401" customFormat="1" x14ac:dyDescent="0.35"/>
    <row r="337" s="401" customFormat="1" x14ac:dyDescent="0.35"/>
    <row r="338" s="401" customFormat="1" x14ac:dyDescent="0.35"/>
    <row r="339" s="401" customFormat="1" x14ac:dyDescent="0.35"/>
    <row r="340" s="401" customFormat="1" x14ac:dyDescent="0.35"/>
    <row r="341" s="401" customFormat="1" x14ac:dyDescent="0.35"/>
    <row r="342" s="401" customFormat="1" x14ac:dyDescent="0.35"/>
    <row r="343" s="401" customFormat="1" x14ac:dyDescent="0.35"/>
    <row r="344" s="401" customFormat="1" x14ac:dyDescent="0.35"/>
    <row r="345" s="401" customFormat="1" x14ac:dyDescent="0.35"/>
    <row r="346" s="401" customFormat="1" x14ac:dyDescent="0.35"/>
    <row r="347" s="401" customFormat="1" x14ac:dyDescent="0.35"/>
    <row r="348" s="401" customFormat="1" x14ac:dyDescent="0.35"/>
    <row r="349" s="401" customFormat="1" x14ac:dyDescent="0.35"/>
    <row r="350" s="401" customFormat="1" x14ac:dyDescent="0.35"/>
    <row r="351" s="401" customFormat="1" x14ac:dyDescent="0.35"/>
    <row r="352" s="401" customFormat="1" x14ac:dyDescent="0.35"/>
    <row r="353" s="401" customFormat="1" x14ac:dyDescent="0.35"/>
    <row r="354" s="401" customFormat="1" x14ac:dyDescent="0.35"/>
    <row r="355" s="401" customFormat="1" x14ac:dyDescent="0.35"/>
    <row r="356" s="401" customFormat="1" x14ac:dyDescent="0.35"/>
    <row r="357" s="401" customFormat="1" x14ac:dyDescent="0.35"/>
    <row r="358" s="401" customFormat="1" x14ac:dyDescent="0.35"/>
    <row r="359" s="401" customFormat="1" x14ac:dyDescent="0.35"/>
    <row r="360" s="401" customFormat="1" x14ac:dyDescent="0.35"/>
    <row r="361" s="401" customFormat="1" x14ac:dyDescent="0.35"/>
    <row r="362" s="401" customFormat="1" x14ac:dyDescent="0.35"/>
    <row r="363" s="401" customFormat="1" x14ac:dyDescent="0.35"/>
    <row r="364" s="401" customFormat="1" x14ac:dyDescent="0.35"/>
    <row r="365" s="401" customFormat="1" x14ac:dyDescent="0.35"/>
    <row r="366" s="401" customFormat="1" x14ac:dyDescent="0.35"/>
    <row r="367" s="401" customFormat="1" x14ac:dyDescent="0.35"/>
    <row r="368" s="401" customFormat="1" x14ac:dyDescent="0.35"/>
    <row r="369" s="401" customFormat="1" x14ac:dyDescent="0.35"/>
    <row r="370" s="401" customFormat="1" x14ac:dyDescent="0.35"/>
    <row r="371" s="401" customFormat="1" x14ac:dyDescent="0.35"/>
    <row r="372" s="401" customFormat="1" x14ac:dyDescent="0.35"/>
    <row r="373" s="401" customFormat="1" x14ac:dyDescent="0.35"/>
    <row r="374" s="401" customFormat="1" x14ac:dyDescent="0.35"/>
    <row r="375" s="401" customFormat="1" x14ac:dyDescent="0.35"/>
    <row r="376" s="401" customFormat="1" x14ac:dyDescent="0.35"/>
    <row r="377" s="401" customFormat="1" x14ac:dyDescent="0.35"/>
    <row r="378" s="401" customFormat="1" x14ac:dyDescent="0.35"/>
    <row r="379" s="401" customFormat="1" x14ac:dyDescent="0.35"/>
    <row r="380" s="401" customFormat="1" x14ac:dyDescent="0.35"/>
    <row r="381" s="401" customFormat="1" x14ac:dyDescent="0.35"/>
    <row r="382" s="401" customFormat="1" x14ac:dyDescent="0.35"/>
    <row r="383" s="401" customFormat="1" x14ac:dyDescent="0.35"/>
    <row r="384" s="401" customFormat="1" x14ac:dyDescent="0.35"/>
    <row r="385" s="401" customFormat="1" x14ac:dyDescent="0.35"/>
    <row r="386" s="401" customFormat="1" x14ac:dyDescent="0.35"/>
    <row r="387" s="401" customFormat="1" x14ac:dyDescent="0.35"/>
    <row r="388" s="401" customFormat="1" x14ac:dyDescent="0.35"/>
    <row r="389" s="401" customFormat="1" x14ac:dyDescent="0.35"/>
    <row r="390" s="401" customFormat="1" x14ac:dyDescent="0.35"/>
    <row r="391" s="401" customFormat="1" x14ac:dyDescent="0.35"/>
    <row r="392" s="401" customFormat="1" x14ac:dyDescent="0.35"/>
    <row r="393" s="401" customFormat="1" x14ac:dyDescent="0.35"/>
    <row r="394" s="401" customFormat="1" x14ac:dyDescent="0.35"/>
    <row r="395" s="401" customFormat="1" x14ac:dyDescent="0.35"/>
    <row r="396" s="401" customFormat="1" x14ac:dyDescent="0.35"/>
    <row r="397" s="401" customFormat="1" x14ac:dyDescent="0.35"/>
    <row r="398" s="401" customFormat="1" x14ac:dyDescent="0.35"/>
    <row r="399" s="401" customFormat="1" x14ac:dyDescent="0.35"/>
    <row r="400" s="401" customFormat="1" x14ac:dyDescent="0.35"/>
    <row r="401" s="401" customFormat="1" x14ac:dyDescent="0.35"/>
    <row r="402" s="401" customFormat="1" x14ac:dyDescent="0.35"/>
    <row r="403" s="401" customFormat="1" x14ac:dyDescent="0.35"/>
    <row r="404" s="401" customFormat="1" x14ac:dyDescent="0.35"/>
    <row r="405" s="401" customFormat="1" x14ac:dyDescent="0.35"/>
    <row r="406" s="401" customFormat="1" x14ac:dyDescent="0.35"/>
    <row r="407" s="401" customFormat="1" x14ac:dyDescent="0.35"/>
    <row r="408" s="401" customFormat="1" x14ac:dyDescent="0.35"/>
    <row r="409" s="401" customFormat="1" x14ac:dyDescent="0.35"/>
    <row r="410" s="401" customFormat="1" x14ac:dyDescent="0.35"/>
    <row r="411" s="401" customFormat="1" x14ac:dyDescent="0.35"/>
    <row r="412" s="401" customFormat="1" x14ac:dyDescent="0.35"/>
    <row r="413" s="401" customFormat="1" x14ac:dyDescent="0.35"/>
    <row r="414" s="401" customFormat="1" x14ac:dyDescent="0.35"/>
    <row r="415" s="401" customFormat="1" x14ac:dyDescent="0.35"/>
    <row r="416" s="401" customFormat="1" x14ac:dyDescent="0.35"/>
    <row r="417" s="401" customFormat="1" x14ac:dyDescent="0.35"/>
    <row r="418" s="401" customFormat="1" x14ac:dyDescent="0.35"/>
    <row r="419" s="401" customFormat="1" x14ac:dyDescent="0.35"/>
    <row r="420" s="401" customFormat="1" x14ac:dyDescent="0.35"/>
    <row r="421" s="401" customFormat="1" x14ac:dyDescent="0.35"/>
    <row r="422" s="401" customFormat="1" x14ac:dyDescent="0.35"/>
    <row r="423" s="401" customFormat="1" x14ac:dyDescent="0.35"/>
    <row r="424" s="401" customFormat="1" x14ac:dyDescent="0.35"/>
    <row r="425" s="401" customFormat="1" x14ac:dyDescent="0.35"/>
    <row r="426" s="401" customFormat="1" x14ac:dyDescent="0.35"/>
    <row r="427" s="401" customFormat="1" x14ac:dyDescent="0.35"/>
    <row r="428" s="401" customFormat="1" x14ac:dyDescent="0.35"/>
    <row r="429" s="401" customFormat="1" x14ac:dyDescent="0.35"/>
    <row r="430" s="401" customFormat="1" x14ac:dyDescent="0.35"/>
    <row r="431" s="401" customFormat="1" x14ac:dyDescent="0.35"/>
    <row r="432" s="401" customFormat="1" x14ac:dyDescent="0.35"/>
    <row r="433" s="401" customFormat="1" x14ac:dyDescent="0.35"/>
    <row r="434" s="401" customFormat="1" x14ac:dyDescent="0.35"/>
    <row r="435" s="401" customFormat="1" x14ac:dyDescent="0.35"/>
    <row r="436" s="401" customFormat="1" x14ac:dyDescent="0.35"/>
    <row r="437" s="401" customFormat="1" x14ac:dyDescent="0.35"/>
    <row r="438" s="401" customFormat="1" x14ac:dyDescent="0.35"/>
    <row r="439" s="401" customFormat="1" x14ac:dyDescent="0.35"/>
    <row r="440" s="401" customFormat="1" x14ac:dyDescent="0.35"/>
    <row r="441" s="401" customFormat="1" x14ac:dyDescent="0.35"/>
    <row r="442" s="401" customFormat="1" x14ac:dyDescent="0.35"/>
    <row r="443" s="401" customFormat="1" x14ac:dyDescent="0.35"/>
    <row r="444" s="401" customFormat="1" x14ac:dyDescent="0.35"/>
    <row r="445" s="401" customFormat="1" x14ac:dyDescent="0.35"/>
    <row r="446" s="401" customFormat="1" x14ac:dyDescent="0.35"/>
    <row r="447" s="401" customFormat="1" x14ac:dyDescent="0.35"/>
    <row r="448" s="401" customFormat="1" x14ac:dyDescent="0.35"/>
    <row r="449" s="401" customFormat="1" x14ac:dyDescent="0.35"/>
    <row r="450" s="401" customFormat="1" x14ac:dyDescent="0.35"/>
    <row r="451" s="401" customFormat="1" x14ac:dyDescent="0.35"/>
    <row r="452" s="401" customFormat="1" x14ac:dyDescent="0.35"/>
    <row r="453" s="401" customFormat="1" x14ac:dyDescent="0.35"/>
    <row r="454" s="401" customFormat="1" x14ac:dyDescent="0.35"/>
    <row r="455" s="401" customFormat="1" x14ac:dyDescent="0.35"/>
    <row r="456" s="401" customFormat="1" x14ac:dyDescent="0.35"/>
    <row r="457" s="401" customFormat="1" x14ac:dyDescent="0.35"/>
    <row r="458" s="401" customFormat="1" x14ac:dyDescent="0.35"/>
    <row r="459" s="401" customFormat="1" x14ac:dyDescent="0.35"/>
    <row r="460" s="401" customFormat="1" x14ac:dyDescent="0.35"/>
    <row r="461" s="401" customFormat="1" x14ac:dyDescent="0.35"/>
    <row r="462" s="401" customFormat="1" x14ac:dyDescent="0.35"/>
    <row r="463" s="401" customFormat="1" x14ac:dyDescent="0.35"/>
    <row r="464" s="401" customFormat="1" x14ac:dyDescent="0.35"/>
    <row r="465" s="401" customFormat="1" x14ac:dyDescent="0.35"/>
    <row r="466" s="401" customFormat="1" x14ac:dyDescent="0.35"/>
    <row r="467" s="401" customFormat="1" x14ac:dyDescent="0.35"/>
    <row r="468" s="401" customFormat="1" x14ac:dyDescent="0.35"/>
    <row r="469" s="401" customFormat="1" x14ac:dyDescent="0.35"/>
    <row r="470" s="401" customFormat="1" x14ac:dyDescent="0.35"/>
    <row r="471" s="401" customFormat="1" x14ac:dyDescent="0.35"/>
    <row r="472" s="401" customFormat="1" x14ac:dyDescent="0.35"/>
    <row r="473" s="401" customFormat="1" x14ac:dyDescent="0.35"/>
    <row r="474" s="401" customFormat="1" x14ac:dyDescent="0.35"/>
    <row r="475" s="401" customFormat="1" x14ac:dyDescent="0.35"/>
    <row r="476" s="401" customFormat="1" x14ac:dyDescent="0.35"/>
    <row r="477" s="401" customFormat="1" x14ac:dyDescent="0.35"/>
    <row r="478" s="401" customFormat="1" x14ac:dyDescent="0.35"/>
    <row r="479" s="401" customFormat="1" x14ac:dyDescent="0.35"/>
    <row r="480" s="401" customFormat="1" x14ac:dyDescent="0.35"/>
    <row r="481" s="401" customFormat="1" x14ac:dyDescent="0.35"/>
    <row r="482" s="401" customFormat="1" x14ac:dyDescent="0.35"/>
    <row r="483" s="401" customFormat="1" x14ac:dyDescent="0.35"/>
    <row r="484" s="401" customFormat="1" x14ac:dyDescent="0.35"/>
    <row r="485" s="401" customFormat="1" x14ac:dyDescent="0.35"/>
    <row r="486" s="401" customFormat="1" x14ac:dyDescent="0.35"/>
    <row r="487" s="401" customFormat="1" x14ac:dyDescent="0.35"/>
    <row r="488" s="401" customFormat="1" x14ac:dyDescent="0.35"/>
    <row r="489" s="401" customFormat="1" x14ac:dyDescent="0.35"/>
    <row r="490" s="401" customFormat="1" x14ac:dyDescent="0.35"/>
    <row r="491" s="401" customFormat="1" x14ac:dyDescent="0.35"/>
    <row r="492" s="401" customFormat="1" x14ac:dyDescent="0.35"/>
    <row r="493" s="401" customFormat="1" x14ac:dyDescent="0.35"/>
    <row r="494" s="401" customFormat="1" x14ac:dyDescent="0.35"/>
    <row r="495" s="401" customFormat="1" x14ac:dyDescent="0.35"/>
    <row r="496" s="401" customFormat="1" x14ac:dyDescent="0.35"/>
    <row r="497" s="401" customFormat="1" x14ac:dyDescent="0.35"/>
    <row r="498" s="401" customFormat="1" x14ac:dyDescent="0.35"/>
    <row r="499" s="401" customFormat="1" x14ac:dyDescent="0.35"/>
    <row r="500" s="401" customFormat="1" x14ac:dyDescent="0.35"/>
    <row r="501" s="401" customFormat="1" x14ac:dyDescent="0.35"/>
    <row r="502" s="401" customFormat="1" x14ac:dyDescent="0.35"/>
    <row r="503" s="401" customFormat="1" x14ac:dyDescent="0.35"/>
    <row r="504" s="401" customFormat="1" x14ac:dyDescent="0.35"/>
    <row r="505" s="401" customFormat="1" x14ac:dyDescent="0.35"/>
    <row r="506" s="401" customFormat="1" x14ac:dyDescent="0.35"/>
    <row r="507" s="401" customFormat="1" x14ac:dyDescent="0.35"/>
    <row r="508" s="401" customFormat="1" x14ac:dyDescent="0.35"/>
    <row r="509" s="401" customFormat="1" x14ac:dyDescent="0.35"/>
    <row r="510" s="401" customFormat="1" x14ac:dyDescent="0.35"/>
    <row r="511" s="401" customFormat="1" x14ac:dyDescent="0.35"/>
    <row r="512" s="401" customFormat="1" x14ac:dyDescent="0.35"/>
    <row r="513" s="401" customFormat="1" x14ac:dyDescent="0.35"/>
    <row r="514" s="401" customFormat="1" x14ac:dyDescent="0.35"/>
    <row r="515" s="401" customFormat="1" x14ac:dyDescent="0.35"/>
    <row r="516" s="401" customFormat="1" x14ac:dyDescent="0.35"/>
    <row r="517" s="401" customFormat="1" x14ac:dyDescent="0.35"/>
    <row r="518" s="401" customFormat="1" x14ac:dyDescent="0.35"/>
    <row r="519" s="401" customFormat="1" x14ac:dyDescent="0.35"/>
    <row r="520" s="401" customFormat="1" x14ac:dyDescent="0.35"/>
    <row r="521" s="401" customFormat="1" x14ac:dyDescent="0.35"/>
    <row r="522" s="401" customFormat="1" x14ac:dyDescent="0.35"/>
    <row r="523" s="401" customFormat="1" x14ac:dyDescent="0.35"/>
    <row r="524" s="401" customFormat="1" x14ac:dyDescent="0.35"/>
    <row r="525" s="401" customFormat="1" x14ac:dyDescent="0.35"/>
    <row r="526" s="401" customFormat="1" x14ac:dyDescent="0.35"/>
    <row r="527" s="401" customFormat="1" x14ac:dyDescent="0.35"/>
    <row r="528" s="401" customFormat="1" x14ac:dyDescent="0.35"/>
    <row r="529" s="401" customFormat="1" x14ac:dyDescent="0.35"/>
    <row r="530" s="401" customFormat="1" x14ac:dyDescent="0.35"/>
    <row r="531" s="401" customFormat="1" x14ac:dyDescent="0.35"/>
    <row r="532" s="401" customFormat="1" x14ac:dyDescent="0.35"/>
    <row r="533" s="401" customFormat="1" x14ac:dyDescent="0.35"/>
    <row r="534" s="401" customFormat="1" x14ac:dyDescent="0.35"/>
    <row r="535" s="401" customFormat="1" x14ac:dyDescent="0.35"/>
    <row r="536" s="401" customFormat="1" x14ac:dyDescent="0.35"/>
    <row r="537" s="401" customFormat="1" x14ac:dyDescent="0.35"/>
    <row r="538" s="401" customFormat="1" x14ac:dyDescent="0.35"/>
    <row r="539" s="401" customFormat="1" x14ac:dyDescent="0.35"/>
    <row r="540" s="401" customFormat="1" x14ac:dyDescent="0.35"/>
    <row r="541" s="401" customFormat="1" x14ac:dyDescent="0.35"/>
    <row r="542" s="401" customFormat="1" x14ac:dyDescent="0.35"/>
    <row r="543" s="401" customFormat="1" x14ac:dyDescent="0.35"/>
    <row r="544" s="401" customFormat="1" x14ac:dyDescent="0.35"/>
    <row r="545" s="401" customFormat="1" x14ac:dyDescent="0.35"/>
    <row r="546" s="401" customFormat="1" x14ac:dyDescent="0.35"/>
    <row r="547" s="401" customFormat="1" x14ac:dyDescent="0.35"/>
    <row r="548" s="401" customFormat="1" x14ac:dyDescent="0.35"/>
    <row r="549" s="401" customFormat="1" x14ac:dyDescent="0.35"/>
    <row r="550" s="401" customFormat="1" x14ac:dyDescent="0.35"/>
    <row r="551" s="401" customFormat="1" x14ac:dyDescent="0.35"/>
    <row r="552" s="401" customFormat="1" x14ac:dyDescent="0.35"/>
    <row r="553" s="401" customFormat="1" x14ac:dyDescent="0.35"/>
    <row r="554" s="401" customFormat="1" x14ac:dyDescent="0.35"/>
    <row r="555" s="401" customFormat="1" x14ac:dyDescent="0.35"/>
    <row r="556" s="401" customFormat="1" x14ac:dyDescent="0.35"/>
    <row r="557" s="401" customFormat="1" x14ac:dyDescent="0.35"/>
    <row r="558" s="401" customFormat="1" x14ac:dyDescent="0.35"/>
    <row r="559" s="401" customFormat="1" x14ac:dyDescent="0.35"/>
    <row r="560" s="401" customFormat="1" x14ac:dyDescent="0.35"/>
    <row r="561" s="401" customFormat="1" x14ac:dyDescent="0.35"/>
    <row r="562" s="401" customFormat="1" x14ac:dyDescent="0.35"/>
    <row r="563" s="401" customFormat="1" x14ac:dyDescent="0.35"/>
    <row r="564" s="401" customFormat="1" x14ac:dyDescent="0.35"/>
    <row r="565" s="401" customFormat="1" x14ac:dyDescent="0.35"/>
    <row r="566" s="401" customFormat="1" x14ac:dyDescent="0.35"/>
    <row r="567" s="401" customFormat="1" x14ac:dyDescent="0.35"/>
    <row r="568" s="401" customFormat="1" x14ac:dyDescent="0.35"/>
    <row r="569" s="401" customFormat="1" x14ac:dyDescent="0.35"/>
    <row r="570" s="401" customFormat="1" x14ac:dyDescent="0.35"/>
    <row r="571" s="401" customFormat="1" x14ac:dyDescent="0.35"/>
    <row r="572" s="401" customFormat="1" x14ac:dyDescent="0.35"/>
    <row r="573" s="401" customFormat="1" x14ac:dyDescent="0.35"/>
    <row r="574" s="401" customFormat="1" x14ac:dyDescent="0.35"/>
    <row r="575" s="401" customFormat="1" x14ac:dyDescent="0.35"/>
    <row r="576" s="401" customFormat="1" x14ac:dyDescent="0.35"/>
    <row r="577" s="401" customFormat="1" x14ac:dyDescent="0.35"/>
    <row r="578" s="401" customFormat="1" x14ac:dyDescent="0.35"/>
    <row r="579" s="401" customFormat="1" x14ac:dyDescent="0.35"/>
    <row r="580" s="401" customFormat="1" x14ac:dyDescent="0.35"/>
    <row r="581" s="401" customFormat="1" x14ac:dyDescent="0.35"/>
    <row r="582" s="401" customFormat="1" x14ac:dyDescent="0.35"/>
    <row r="583" s="401" customFormat="1" x14ac:dyDescent="0.35"/>
    <row r="584" s="401" customFormat="1" x14ac:dyDescent="0.35"/>
    <row r="585" s="401" customFormat="1" x14ac:dyDescent="0.35"/>
    <row r="586" s="401" customFormat="1" x14ac:dyDescent="0.35"/>
    <row r="587" s="401" customFormat="1" x14ac:dyDescent="0.35"/>
    <row r="588" s="401" customFormat="1" x14ac:dyDescent="0.35"/>
    <row r="589" s="401" customFormat="1" x14ac:dyDescent="0.35"/>
    <row r="590" s="401" customFormat="1" x14ac:dyDescent="0.35"/>
    <row r="591" s="401" customFormat="1" x14ac:dyDescent="0.35"/>
    <row r="592" s="401" customFormat="1" x14ac:dyDescent="0.35"/>
    <row r="593" s="401" customFormat="1" x14ac:dyDescent="0.35"/>
    <row r="594" s="401" customFormat="1" x14ac:dyDescent="0.35"/>
    <row r="595" s="401" customFormat="1" x14ac:dyDescent="0.35"/>
    <row r="596" s="401" customFormat="1" x14ac:dyDescent="0.35"/>
    <row r="597" s="401" customFormat="1" x14ac:dyDescent="0.35"/>
    <row r="598" s="401" customFormat="1" x14ac:dyDescent="0.35"/>
    <row r="599" s="401" customFormat="1" x14ac:dyDescent="0.35"/>
    <row r="600" s="401" customFormat="1" x14ac:dyDescent="0.35"/>
    <row r="601" s="401" customFormat="1" x14ac:dyDescent="0.35"/>
    <row r="602" s="401" customFormat="1" x14ac:dyDescent="0.35"/>
    <row r="603" s="401" customFormat="1" x14ac:dyDescent="0.35"/>
    <row r="604" s="401" customFormat="1" x14ac:dyDescent="0.35"/>
    <row r="605" s="401" customFormat="1" x14ac:dyDescent="0.35"/>
    <row r="606" s="401" customFormat="1" x14ac:dyDescent="0.35"/>
    <row r="607" s="401" customFormat="1" x14ac:dyDescent="0.35"/>
    <row r="608" s="401" customFormat="1" x14ac:dyDescent="0.35"/>
    <row r="609" s="401" customFormat="1" x14ac:dyDescent="0.35"/>
    <row r="610" s="401" customFormat="1" x14ac:dyDescent="0.35"/>
    <row r="611" s="401" customFormat="1" x14ac:dyDescent="0.35"/>
    <row r="612" s="401" customFormat="1" x14ac:dyDescent="0.35"/>
    <row r="613" s="401" customFormat="1" x14ac:dyDescent="0.35"/>
    <row r="614" s="401" customFormat="1" x14ac:dyDescent="0.35"/>
    <row r="615" s="401" customFormat="1" x14ac:dyDescent="0.35"/>
    <row r="616" s="401" customFormat="1" x14ac:dyDescent="0.35"/>
    <row r="617" s="401" customFormat="1" x14ac:dyDescent="0.35"/>
    <row r="618" s="401" customFormat="1" x14ac:dyDescent="0.35"/>
    <row r="619" s="401" customFormat="1" x14ac:dyDescent="0.35"/>
    <row r="620" s="401" customFormat="1" x14ac:dyDescent="0.35"/>
    <row r="621" s="401" customFormat="1" x14ac:dyDescent="0.35"/>
    <row r="622" s="401" customFormat="1" x14ac:dyDescent="0.35"/>
    <row r="623" s="401" customFormat="1" x14ac:dyDescent="0.35"/>
    <row r="624" s="401" customFormat="1" x14ac:dyDescent="0.35"/>
    <row r="625" s="401" customFormat="1" x14ac:dyDescent="0.35"/>
    <row r="626" s="401" customFormat="1" x14ac:dyDescent="0.35"/>
    <row r="627" s="401" customFormat="1" x14ac:dyDescent="0.35"/>
    <row r="628" s="401" customFormat="1" x14ac:dyDescent="0.35"/>
    <row r="629" s="401" customFormat="1" x14ac:dyDescent="0.35"/>
    <row r="630" s="401" customFormat="1" x14ac:dyDescent="0.35"/>
    <row r="631" s="401" customFormat="1" x14ac:dyDescent="0.35"/>
    <row r="632" s="401" customFormat="1" x14ac:dyDescent="0.35"/>
    <row r="633" s="401" customFormat="1" x14ac:dyDescent="0.35"/>
    <row r="634" s="401" customFormat="1" x14ac:dyDescent="0.35"/>
    <row r="635" s="401" customFormat="1" x14ac:dyDescent="0.35"/>
    <row r="636" s="401" customFormat="1" x14ac:dyDescent="0.35"/>
    <row r="637" s="401" customFormat="1" x14ac:dyDescent="0.35"/>
    <row r="638" s="401" customFormat="1" x14ac:dyDescent="0.35"/>
    <row r="639" s="401" customFormat="1" x14ac:dyDescent="0.35"/>
    <row r="640" s="401" customFormat="1" x14ac:dyDescent="0.35"/>
    <row r="641" s="401" customFormat="1" x14ac:dyDescent="0.35"/>
    <row r="642" s="401" customFormat="1" x14ac:dyDescent="0.35"/>
    <row r="643" s="401" customFormat="1" x14ac:dyDescent="0.35"/>
    <row r="644" s="401" customFormat="1" x14ac:dyDescent="0.35"/>
    <row r="645" s="401" customFormat="1" x14ac:dyDescent="0.35"/>
    <row r="646" s="401" customFormat="1" x14ac:dyDescent="0.35"/>
    <row r="647" s="401" customFormat="1" x14ac:dyDescent="0.35"/>
    <row r="648" s="401" customFormat="1" x14ac:dyDescent="0.35"/>
    <row r="649" s="401" customFormat="1" x14ac:dyDescent="0.35"/>
    <row r="650" s="401" customFormat="1" x14ac:dyDescent="0.35"/>
    <row r="651" s="401" customFormat="1" x14ac:dyDescent="0.35"/>
    <row r="652" s="401" customFormat="1" x14ac:dyDescent="0.35"/>
    <row r="653" s="401" customFormat="1" x14ac:dyDescent="0.35"/>
    <row r="654" s="401" customFormat="1" x14ac:dyDescent="0.35"/>
    <row r="655" s="401" customFormat="1" x14ac:dyDescent="0.35"/>
    <row r="656" s="401" customFormat="1" x14ac:dyDescent="0.35"/>
    <row r="657" s="401" customFormat="1" x14ac:dyDescent="0.35"/>
    <row r="658" s="401" customFormat="1" x14ac:dyDescent="0.35"/>
    <row r="659" s="401" customFormat="1" x14ac:dyDescent="0.35"/>
    <row r="660" s="401" customFormat="1" x14ac:dyDescent="0.35"/>
    <row r="661" s="401" customFormat="1" x14ac:dyDescent="0.35"/>
    <row r="662" s="401" customFormat="1" x14ac:dyDescent="0.35"/>
    <row r="663" s="401" customFormat="1" x14ac:dyDescent="0.35"/>
    <row r="664" s="401" customFormat="1" x14ac:dyDescent="0.35"/>
    <row r="665" s="401" customFormat="1" x14ac:dyDescent="0.35"/>
    <row r="666" s="401" customFormat="1" x14ac:dyDescent="0.35"/>
    <row r="667" s="401" customFormat="1" x14ac:dyDescent="0.35"/>
    <row r="668" s="401" customFormat="1" x14ac:dyDescent="0.35"/>
    <row r="669" s="401" customFormat="1" x14ac:dyDescent="0.35"/>
    <row r="670" s="401" customFormat="1" x14ac:dyDescent="0.35"/>
    <row r="671" s="401" customFormat="1" x14ac:dyDescent="0.35"/>
    <row r="672" s="401" customFormat="1" x14ac:dyDescent="0.35"/>
    <row r="673" s="401" customFormat="1" x14ac:dyDescent="0.35"/>
    <row r="674" s="401" customFormat="1" x14ac:dyDescent="0.35"/>
    <row r="675" s="401" customFormat="1" x14ac:dyDescent="0.35"/>
    <row r="676" s="401" customFormat="1" x14ac:dyDescent="0.35"/>
    <row r="677" s="401" customFormat="1" x14ac:dyDescent="0.35"/>
    <row r="678" s="401" customFormat="1" x14ac:dyDescent="0.35"/>
    <row r="679" s="401" customFormat="1" x14ac:dyDescent="0.35"/>
    <row r="680" s="401" customFormat="1" x14ac:dyDescent="0.35"/>
    <row r="681" s="401" customFormat="1" x14ac:dyDescent="0.35"/>
    <row r="682" s="401" customFormat="1" x14ac:dyDescent="0.35"/>
    <row r="683" s="401" customFormat="1" x14ac:dyDescent="0.35"/>
    <row r="684" s="401" customFormat="1" x14ac:dyDescent="0.35"/>
    <row r="685" s="401" customFormat="1" x14ac:dyDescent="0.35"/>
    <row r="686" s="401" customFormat="1" x14ac:dyDescent="0.35"/>
    <row r="687" s="401" customFormat="1" x14ac:dyDescent="0.35"/>
    <row r="688" s="401" customFormat="1" x14ac:dyDescent="0.35"/>
    <row r="689" s="401" customFormat="1" x14ac:dyDescent="0.35"/>
    <row r="690" s="401" customFormat="1" x14ac:dyDescent="0.35"/>
    <row r="691" s="401" customFormat="1" x14ac:dyDescent="0.35"/>
    <row r="692" s="401" customFormat="1" x14ac:dyDescent="0.35"/>
    <row r="693" s="401" customFormat="1" x14ac:dyDescent="0.35"/>
    <row r="694" s="401" customFormat="1" x14ac:dyDescent="0.35"/>
    <row r="695" s="401" customFormat="1" x14ac:dyDescent="0.35"/>
    <row r="696" s="401" customFormat="1" x14ac:dyDescent="0.35"/>
    <row r="697" s="401" customFormat="1" x14ac:dyDescent="0.35"/>
    <row r="698" s="401" customFormat="1" x14ac:dyDescent="0.35"/>
    <row r="699" s="401" customFormat="1" x14ac:dyDescent="0.35"/>
    <row r="700" s="401" customFormat="1" x14ac:dyDescent="0.35"/>
    <row r="701" s="401" customFormat="1" x14ac:dyDescent="0.35"/>
    <row r="702" s="401" customFormat="1" x14ac:dyDescent="0.35"/>
    <row r="703" s="401" customFormat="1" x14ac:dyDescent="0.35"/>
    <row r="704" s="401" customFormat="1" x14ac:dyDescent="0.35"/>
    <row r="705" s="401" customFormat="1" x14ac:dyDescent="0.35"/>
    <row r="706" s="401" customFormat="1" x14ac:dyDescent="0.35"/>
    <row r="707" s="401" customFormat="1" x14ac:dyDescent="0.35"/>
    <row r="708" s="401" customFormat="1" x14ac:dyDescent="0.35"/>
    <row r="709" s="401" customFormat="1" x14ac:dyDescent="0.35"/>
    <row r="710" s="401" customFormat="1" x14ac:dyDescent="0.35"/>
    <row r="711" s="401" customFormat="1" x14ac:dyDescent="0.35"/>
    <row r="712" s="401" customFormat="1" x14ac:dyDescent="0.35"/>
    <row r="713" s="401" customFormat="1" x14ac:dyDescent="0.35"/>
    <row r="714" s="401" customFormat="1" x14ac:dyDescent="0.35"/>
    <row r="715" s="401" customFormat="1" x14ac:dyDescent="0.35"/>
    <row r="716" s="401" customFormat="1" x14ac:dyDescent="0.35"/>
    <row r="717" s="401" customFormat="1" x14ac:dyDescent="0.35"/>
    <row r="718" s="401" customFormat="1" x14ac:dyDescent="0.35"/>
    <row r="719" s="401" customFormat="1" x14ac:dyDescent="0.35"/>
    <row r="720" s="401" customFormat="1" x14ac:dyDescent="0.35"/>
    <row r="721" s="401" customFormat="1" x14ac:dyDescent="0.35"/>
    <row r="722" s="401" customFormat="1" x14ac:dyDescent="0.35"/>
    <row r="723" s="401" customFormat="1" x14ac:dyDescent="0.35"/>
    <row r="724" s="401" customFormat="1" x14ac:dyDescent="0.35"/>
    <row r="725" s="401" customFormat="1" x14ac:dyDescent="0.35"/>
    <row r="726" s="401" customFormat="1" x14ac:dyDescent="0.35"/>
    <row r="727" s="401" customFormat="1" x14ac:dyDescent="0.35"/>
    <row r="728" s="401" customFormat="1" x14ac:dyDescent="0.35"/>
    <row r="729" s="401" customFormat="1" x14ac:dyDescent="0.35"/>
    <row r="730" s="401" customFormat="1" x14ac:dyDescent="0.35"/>
    <row r="731" s="401" customFormat="1" x14ac:dyDescent="0.35"/>
    <row r="732" s="401" customFormat="1" x14ac:dyDescent="0.35"/>
    <row r="733" s="401" customFormat="1" x14ac:dyDescent="0.35"/>
    <row r="734" s="401" customFormat="1" x14ac:dyDescent="0.35"/>
    <row r="735" s="401" customFormat="1" x14ac:dyDescent="0.35"/>
    <row r="736" s="401" customFormat="1" x14ac:dyDescent="0.35"/>
    <row r="737" s="401" customFormat="1" x14ac:dyDescent="0.35"/>
    <row r="738" s="401" customFormat="1" x14ac:dyDescent="0.35"/>
    <row r="739" s="401" customFormat="1" x14ac:dyDescent="0.35"/>
    <row r="740" s="401" customFormat="1" x14ac:dyDescent="0.35"/>
    <row r="741" s="401" customFormat="1" x14ac:dyDescent="0.35"/>
    <row r="742" s="401" customFormat="1" x14ac:dyDescent="0.35"/>
    <row r="743" s="401" customFormat="1" x14ac:dyDescent="0.35"/>
    <row r="744" s="401" customFormat="1" x14ac:dyDescent="0.35"/>
    <row r="745" s="401" customFormat="1" x14ac:dyDescent="0.35"/>
    <row r="746" s="401" customFormat="1" x14ac:dyDescent="0.35"/>
    <row r="747" s="401" customFormat="1" x14ac:dyDescent="0.35"/>
    <row r="748" s="401" customFormat="1" x14ac:dyDescent="0.35"/>
    <row r="749" s="401" customFormat="1" x14ac:dyDescent="0.35"/>
    <row r="750" s="401" customFormat="1" x14ac:dyDescent="0.35"/>
    <row r="751" s="401" customFormat="1" x14ac:dyDescent="0.35"/>
    <row r="752" s="401" customFormat="1" x14ac:dyDescent="0.35"/>
    <row r="753" s="401" customFormat="1" x14ac:dyDescent="0.35"/>
    <row r="754" s="401" customFormat="1" x14ac:dyDescent="0.35"/>
    <row r="755" s="401" customFormat="1" x14ac:dyDescent="0.35"/>
    <row r="756" s="401" customFormat="1" x14ac:dyDescent="0.35"/>
    <row r="757" s="401" customFormat="1" x14ac:dyDescent="0.35"/>
    <row r="758" s="401" customFormat="1" x14ac:dyDescent="0.35"/>
    <row r="759" s="401" customFormat="1" x14ac:dyDescent="0.35"/>
    <row r="760" s="401" customFormat="1" x14ac:dyDescent="0.35"/>
    <row r="761" s="401" customFormat="1" x14ac:dyDescent="0.35"/>
    <row r="762" s="401" customFormat="1" x14ac:dyDescent="0.35"/>
    <row r="763" s="401" customFormat="1" x14ac:dyDescent="0.35"/>
    <row r="764" s="401" customFormat="1" x14ac:dyDescent="0.35"/>
    <row r="765" s="401" customFormat="1" x14ac:dyDescent="0.35"/>
    <row r="766" s="401" customFormat="1" x14ac:dyDescent="0.35"/>
    <row r="767" s="401" customFormat="1" x14ac:dyDescent="0.35"/>
    <row r="768" s="401" customFormat="1" x14ac:dyDescent="0.35"/>
    <row r="769" s="401" customFormat="1" x14ac:dyDescent="0.35"/>
    <row r="770" s="401" customFormat="1" x14ac:dyDescent="0.35"/>
    <row r="771" s="401" customFormat="1" x14ac:dyDescent="0.35"/>
    <row r="772" s="401" customFormat="1" x14ac:dyDescent="0.35"/>
    <row r="773" s="401" customFormat="1" x14ac:dyDescent="0.35"/>
    <row r="774" s="401" customFormat="1" x14ac:dyDescent="0.35"/>
    <row r="775" s="401" customFormat="1" x14ac:dyDescent="0.35"/>
    <row r="776" s="401" customFormat="1" x14ac:dyDescent="0.35"/>
    <row r="777" s="401" customFormat="1" x14ac:dyDescent="0.35"/>
    <row r="778" s="401" customFormat="1" x14ac:dyDescent="0.35"/>
    <row r="779" s="401" customFormat="1" x14ac:dyDescent="0.35"/>
    <row r="780" s="401" customFormat="1" x14ac:dyDescent="0.35"/>
    <row r="781" s="401" customFormat="1" x14ac:dyDescent="0.35"/>
    <row r="782" s="401" customFormat="1" x14ac:dyDescent="0.35"/>
    <row r="783" s="401" customFormat="1" x14ac:dyDescent="0.35"/>
    <row r="784" s="401" customFormat="1" x14ac:dyDescent="0.35"/>
    <row r="785" s="401" customFormat="1" x14ac:dyDescent="0.35"/>
    <row r="786" s="401" customFormat="1" x14ac:dyDescent="0.35"/>
    <row r="787" s="401" customFormat="1" x14ac:dyDescent="0.35"/>
    <row r="788" s="401" customFormat="1" x14ac:dyDescent="0.35"/>
    <row r="789" s="401" customFormat="1" x14ac:dyDescent="0.35"/>
    <row r="790" s="401" customFormat="1" x14ac:dyDescent="0.35"/>
    <row r="791" s="401" customFormat="1" x14ac:dyDescent="0.35"/>
    <row r="792" s="401" customFormat="1" x14ac:dyDescent="0.35"/>
    <row r="793" s="401" customFormat="1" x14ac:dyDescent="0.35"/>
    <row r="794" s="401" customFormat="1" x14ac:dyDescent="0.35"/>
    <row r="795" s="401" customFormat="1" x14ac:dyDescent="0.35"/>
    <row r="796" s="401" customFormat="1" x14ac:dyDescent="0.35"/>
    <row r="797" s="401" customFormat="1" x14ac:dyDescent="0.35"/>
    <row r="798" s="401" customFormat="1" x14ac:dyDescent="0.35"/>
    <row r="799" s="401" customFormat="1" x14ac:dyDescent="0.35"/>
    <row r="800" s="401" customFormat="1" x14ac:dyDescent="0.35"/>
    <row r="801" s="401" customFormat="1" x14ac:dyDescent="0.35"/>
    <row r="802" s="401" customFormat="1" x14ac:dyDescent="0.35"/>
    <row r="803" s="401" customFormat="1" x14ac:dyDescent="0.35"/>
    <row r="804" s="401" customFormat="1" x14ac:dyDescent="0.35"/>
    <row r="805" s="401" customFormat="1" x14ac:dyDescent="0.35"/>
    <row r="806" s="401" customFormat="1" x14ac:dyDescent="0.35"/>
    <row r="807" s="401" customFormat="1" x14ac:dyDescent="0.35"/>
    <row r="808" s="401" customFormat="1" x14ac:dyDescent="0.35"/>
    <row r="809" s="401" customFormat="1" x14ac:dyDescent="0.35"/>
    <row r="810" s="401" customFormat="1" x14ac:dyDescent="0.35"/>
    <row r="811" s="401" customFormat="1" x14ac:dyDescent="0.35"/>
    <row r="812" s="401" customFormat="1" x14ac:dyDescent="0.35"/>
    <row r="813" s="401" customFormat="1" x14ac:dyDescent="0.35"/>
    <row r="814" s="401" customFormat="1" x14ac:dyDescent="0.35"/>
    <row r="815" s="401" customFormat="1" x14ac:dyDescent="0.35"/>
    <row r="816" s="401" customFormat="1" x14ac:dyDescent="0.35"/>
    <row r="817" s="401" customFormat="1" x14ac:dyDescent="0.35"/>
    <row r="818" s="401" customFormat="1" x14ac:dyDescent="0.35"/>
    <row r="819" s="401" customFormat="1" x14ac:dyDescent="0.35"/>
    <row r="820" s="401" customFormat="1" x14ac:dyDescent="0.35"/>
    <row r="821" s="401" customFormat="1" x14ac:dyDescent="0.35"/>
    <row r="822" s="401" customFormat="1" x14ac:dyDescent="0.35"/>
    <row r="823" s="401" customFormat="1" x14ac:dyDescent="0.35"/>
    <row r="824" s="401" customFormat="1" x14ac:dyDescent="0.35"/>
    <row r="825" s="401" customFormat="1" x14ac:dyDescent="0.35"/>
    <row r="826" s="401" customFormat="1" x14ac:dyDescent="0.35"/>
    <row r="827" s="401" customFormat="1" x14ac:dyDescent="0.35"/>
    <row r="828" s="401" customFormat="1" x14ac:dyDescent="0.35"/>
    <row r="829" s="401" customFormat="1" x14ac:dyDescent="0.35"/>
    <row r="830" s="401" customFormat="1" x14ac:dyDescent="0.35"/>
    <row r="831" s="401" customFormat="1" x14ac:dyDescent="0.35"/>
    <row r="832" s="401" customFormat="1" x14ac:dyDescent="0.35"/>
    <row r="833" s="401" customFormat="1" x14ac:dyDescent="0.35"/>
    <row r="834" s="401" customFormat="1" x14ac:dyDescent="0.35"/>
    <row r="835" s="401" customFormat="1" x14ac:dyDescent="0.35"/>
    <row r="836" s="401" customFormat="1" x14ac:dyDescent="0.35"/>
    <row r="837" s="401" customFormat="1" x14ac:dyDescent="0.35"/>
    <row r="838" s="401" customFormat="1" x14ac:dyDescent="0.35"/>
    <row r="839" s="401" customFormat="1" x14ac:dyDescent="0.35"/>
    <row r="840" s="401" customFormat="1" x14ac:dyDescent="0.35"/>
    <row r="841" s="401" customFormat="1" x14ac:dyDescent="0.35"/>
    <row r="842" s="401" customFormat="1" x14ac:dyDescent="0.35"/>
    <row r="843" s="401" customFormat="1" x14ac:dyDescent="0.35"/>
    <row r="844" s="401" customFormat="1" x14ac:dyDescent="0.35"/>
    <row r="845" s="401" customFormat="1" x14ac:dyDescent="0.35"/>
    <row r="846" s="401" customFormat="1" x14ac:dyDescent="0.35"/>
    <row r="847" s="401" customFormat="1" x14ac:dyDescent="0.35"/>
    <row r="848" s="401" customFormat="1" x14ac:dyDescent="0.35"/>
    <row r="849" s="401" customFormat="1" x14ac:dyDescent="0.35"/>
    <row r="850" s="401" customFormat="1" x14ac:dyDescent="0.35"/>
    <row r="851" s="401" customFormat="1" x14ac:dyDescent="0.35"/>
    <row r="852" s="401" customFormat="1" x14ac:dyDescent="0.35"/>
    <row r="853" s="401" customFormat="1" x14ac:dyDescent="0.35"/>
    <row r="854" s="401" customFormat="1" x14ac:dyDescent="0.35"/>
    <row r="855" s="401" customFormat="1" x14ac:dyDescent="0.35"/>
    <row r="856" s="401" customFormat="1" x14ac:dyDescent="0.35"/>
    <row r="857" s="401" customFormat="1" x14ac:dyDescent="0.35"/>
    <row r="858" s="401" customFormat="1" x14ac:dyDescent="0.35"/>
    <row r="859" s="401" customFormat="1" x14ac:dyDescent="0.35"/>
    <row r="860" s="401" customFormat="1" x14ac:dyDescent="0.35"/>
    <row r="861" s="401" customFormat="1" x14ac:dyDescent="0.35"/>
    <row r="862" s="401" customFormat="1" x14ac:dyDescent="0.35"/>
    <row r="863" s="401" customFormat="1" x14ac:dyDescent="0.35"/>
    <row r="864" s="401" customFormat="1" x14ac:dyDescent="0.35"/>
    <row r="865" s="401" customFormat="1" x14ac:dyDescent="0.35"/>
    <row r="866" s="401" customFormat="1" x14ac:dyDescent="0.35"/>
    <row r="867" s="401" customFormat="1" x14ac:dyDescent="0.35"/>
    <row r="868" s="401" customFormat="1" x14ac:dyDescent="0.35"/>
    <row r="869" s="401" customFormat="1" x14ac:dyDescent="0.35"/>
    <row r="870" s="401" customFormat="1" x14ac:dyDescent="0.35"/>
    <row r="871" s="401" customFormat="1" x14ac:dyDescent="0.35"/>
    <row r="872" s="401" customFormat="1" x14ac:dyDescent="0.35"/>
    <row r="873" s="401" customFormat="1" x14ac:dyDescent="0.35"/>
    <row r="874" s="401" customFormat="1" x14ac:dyDescent="0.35"/>
    <row r="875" s="401" customFormat="1" x14ac:dyDescent="0.35"/>
    <row r="876" s="401" customFormat="1" x14ac:dyDescent="0.35"/>
    <row r="877" s="401" customFormat="1" x14ac:dyDescent="0.35"/>
    <row r="878" s="401" customFormat="1" x14ac:dyDescent="0.35"/>
    <row r="879" s="401" customFormat="1" x14ac:dyDescent="0.35"/>
    <row r="880" s="401" customFormat="1" x14ac:dyDescent="0.35"/>
    <row r="881" s="401" customFormat="1" x14ac:dyDescent="0.35"/>
    <row r="882" s="401" customFormat="1" x14ac:dyDescent="0.35"/>
    <row r="883" s="401" customFormat="1" x14ac:dyDescent="0.35"/>
    <row r="884" s="401" customFormat="1" x14ac:dyDescent="0.35"/>
    <row r="885" s="401" customFormat="1" x14ac:dyDescent="0.35"/>
    <row r="886" s="401" customFormat="1" x14ac:dyDescent="0.35"/>
    <row r="887" s="401" customFormat="1" x14ac:dyDescent="0.35"/>
    <row r="888" s="401" customFormat="1" x14ac:dyDescent="0.35"/>
    <row r="889" s="401" customFormat="1" x14ac:dyDescent="0.35"/>
    <row r="890" s="401" customFormat="1" x14ac:dyDescent="0.35"/>
    <row r="891" s="401" customFormat="1" x14ac:dyDescent="0.35"/>
    <row r="892" s="401" customFormat="1" x14ac:dyDescent="0.35"/>
    <row r="893" s="401" customFormat="1" x14ac:dyDescent="0.35"/>
    <row r="894" s="401" customFormat="1" x14ac:dyDescent="0.35"/>
    <row r="895" s="401" customFormat="1" x14ac:dyDescent="0.35"/>
    <row r="896" s="401" customFormat="1" x14ac:dyDescent="0.35"/>
    <row r="897" s="401" customFormat="1" x14ac:dyDescent="0.35"/>
    <row r="898" s="401" customFormat="1" x14ac:dyDescent="0.35"/>
    <row r="899" s="401" customFormat="1" x14ac:dyDescent="0.35"/>
    <row r="900" s="401" customFormat="1" x14ac:dyDescent="0.35"/>
    <row r="901" s="401" customFormat="1" x14ac:dyDescent="0.35"/>
    <row r="902" s="401" customFormat="1" x14ac:dyDescent="0.35"/>
    <row r="903" s="401" customFormat="1" x14ac:dyDescent="0.35"/>
    <row r="904" s="401" customFormat="1" x14ac:dyDescent="0.35"/>
    <row r="905" s="401" customFormat="1" x14ac:dyDescent="0.35"/>
    <row r="906" s="401" customFormat="1" x14ac:dyDescent="0.35"/>
    <row r="907" s="401" customFormat="1" x14ac:dyDescent="0.35"/>
    <row r="908" s="401" customFormat="1" x14ac:dyDescent="0.35"/>
    <row r="909" s="401" customFormat="1" x14ac:dyDescent="0.35"/>
    <row r="910" s="401" customFormat="1" x14ac:dyDescent="0.35"/>
    <row r="911" s="401" customFormat="1" x14ac:dyDescent="0.35"/>
    <row r="912" s="401" customFormat="1" x14ac:dyDescent="0.35"/>
    <row r="913" s="401" customFormat="1" x14ac:dyDescent="0.35"/>
    <row r="914" s="401" customFormat="1" x14ac:dyDescent="0.35"/>
    <row r="915" s="401" customFormat="1" x14ac:dyDescent="0.35"/>
    <row r="916" s="401" customFormat="1" x14ac:dyDescent="0.35"/>
    <row r="917" s="401" customFormat="1" x14ac:dyDescent="0.35"/>
    <row r="918" s="401" customFormat="1" x14ac:dyDescent="0.35"/>
    <row r="919" s="401" customFormat="1" x14ac:dyDescent="0.35"/>
    <row r="920" s="401" customFormat="1" x14ac:dyDescent="0.35"/>
    <row r="921" s="401" customFormat="1" x14ac:dyDescent="0.35"/>
    <row r="922" s="401" customFormat="1" x14ac:dyDescent="0.35"/>
    <row r="923" s="401" customFormat="1" x14ac:dyDescent="0.35"/>
    <row r="924" s="401" customFormat="1" x14ac:dyDescent="0.35"/>
  </sheetData>
  <customSheetViews>
    <customSheetView guid="{586D4F31-1FA3-11D6-B431-009027A4C716}" scale="75" showGridLines="0" fitToPage="1" state="hidden" showRuler="0">
      <pageMargins left="0.78740157480314965" right="0.78740157480314965" top="0.39370078740157483" bottom="0.39370078740157483" header="0.51181102362204722" footer="0.51181102362204722"/>
      <printOptions headings="1"/>
      <pageSetup paperSize="9" scale="47" fitToHeight="5" orientation="landscape" horizontalDpi="300" verticalDpi="300" r:id="rId1"/>
      <headerFooter alignWithMargins="0"/>
    </customSheetView>
  </customSheetViews>
  <phoneticPr fontId="0" type="noConversion"/>
  <printOptions headings="1"/>
  <pageMargins left="0.78740157480314965" right="0.78740157480314965" top="0.39370078740157483" bottom="0.39370078740157483" header="0.51181102362204722" footer="0.51181102362204722"/>
  <pageSetup paperSize="9" scale="59" fitToHeight="5" orientation="landscape" horizontalDpi="300" verticalDpi="300"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S54"/>
  <sheetViews>
    <sheetView showGridLines="0" workbookViewId="0"/>
  </sheetViews>
  <sheetFormatPr baseColWidth="10" defaultColWidth="10" defaultRowHeight="12.5" x14ac:dyDescent="0.25"/>
  <cols>
    <col min="1" max="1" width="10" style="253" customWidth="1"/>
    <col min="2" max="8" width="10" style="251" customWidth="1"/>
    <col min="9" max="16384" width="10" style="252"/>
  </cols>
  <sheetData>
    <row r="1" spans="1:14" ht="25" x14ac:dyDescent="0.25">
      <c r="A1" s="118" t="s">
        <v>489</v>
      </c>
      <c r="K1" s="491"/>
      <c r="L1" s="492" t="s">
        <v>196</v>
      </c>
      <c r="M1" s="492" t="s">
        <v>402</v>
      </c>
      <c r="N1" s="126" t="s">
        <v>109</v>
      </c>
    </row>
    <row r="2" spans="1:14" ht="13" thickBot="1" x14ac:dyDescent="0.3">
      <c r="K2" s="129" t="s">
        <v>209</v>
      </c>
      <c r="L2" s="508">
        <f>Rechnungen!F330</f>
        <v>1</v>
      </c>
      <c r="M2" s="508">
        <f>Rechnungen!G536</f>
        <v>5</v>
      </c>
      <c r="N2" s="128">
        <f>IF(OR(AND(OR(M2=5,M2=6,M3=4,M3=5),OR(L2=1)),AND(OR(M2=7,M2=8,M3=6,M3=7),OR(L2=2,L2=9,L2=10)),AND(OR(M2=9,M2=11,M3=8,M3=9),OR(L2=3,L2=5,L2=7)),AND(OR(M2=10,M2=12,M3=8,M3=9),OR(L2=4,L2=6,L2=8))),185,0)</f>
        <v>185</v>
      </c>
    </row>
    <row r="3" spans="1:14" ht="13" thickBot="1" x14ac:dyDescent="0.3">
      <c r="A3" s="121"/>
      <c r="B3" s="1708" t="s">
        <v>467</v>
      </c>
      <c r="C3" s="1708"/>
      <c r="D3" s="1708"/>
      <c r="E3" s="634" t="s">
        <v>400</v>
      </c>
      <c r="F3" s="1709" t="s">
        <v>467</v>
      </c>
      <c r="G3" s="1710"/>
      <c r="H3" s="135" t="s">
        <v>400</v>
      </c>
      <c r="K3" s="130" t="s">
        <v>210</v>
      </c>
      <c r="L3" s="131"/>
      <c r="M3" s="493">
        <f>Rechnungen!G579</f>
        <v>1</v>
      </c>
      <c r="N3" s="132"/>
    </row>
    <row r="4" spans="1:14" ht="38" thickBot="1" x14ac:dyDescent="0.3">
      <c r="A4" s="123" t="s">
        <v>407</v>
      </c>
      <c r="B4" s="119" t="s">
        <v>444</v>
      </c>
      <c r="C4" s="119" t="s">
        <v>445</v>
      </c>
      <c r="D4" s="119" t="s">
        <v>446</v>
      </c>
      <c r="E4" s="635"/>
      <c r="F4" s="635" t="s">
        <v>468</v>
      </c>
      <c r="G4" s="136" t="s">
        <v>469</v>
      </c>
      <c r="H4" s="136"/>
      <c r="M4" s="781" t="s">
        <v>882</v>
      </c>
      <c r="N4" s="780">
        <f>IF(Rechnungen!AB333=1,185,0)</f>
        <v>185</v>
      </c>
    </row>
    <row r="5" spans="1:14" ht="13" thickBot="1" x14ac:dyDescent="0.3">
      <c r="A5" s="254">
        <f>Rechnungen!D14</f>
        <v>320</v>
      </c>
      <c r="B5" s="255">
        <f>I14</f>
        <v>1.5436538706827085</v>
      </c>
      <c r="C5" s="255">
        <f>I19</f>
        <v>1.1654151986946171</v>
      </c>
      <c r="D5" s="255">
        <f>I24</f>
        <v>1.1303245997287548</v>
      </c>
      <c r="E5" s="636">
        <f>E49</f>
        <v>0.16636724997241248</v>
      </c>
      <c r="F5" s="638">
        <f>I29</f>
        <v>1.2179250733544573</v>
      </c>
      <c r="G5" s="639">
        <f>I34</f>
        <v>1.1812766146250258</v>
      </c>
      <c r="H5" s="637">
        <f>E54</f>
        <v>0.16569988815185382</v>
      </c>
    </row>
    <row r="6" spans="1:14" ht="13" thickBot="1" x14ac:dyDescent="0.3">
      <c r="D6" s="122"/>
      <c r="F6" s="636">
        <f>I39</f>
        <v>1.235796155324669</v>
      </c>
      <c r="G6" s="637">
        <f>I44</f>
        <v>1.1986099396967513</v>
      </c>
    </row>
    <row r="7" spans="1:14" ht="13" thickBot="1" x14ac:dyDescent="0.3">
      <c r="D7" s="643" t="s">
        <v>335</v>
      </c>
      <c r="F7" s="122" t="s">
        <v>335</v>
      </c>
      <c r="G7" s="642">
        <f>S34</f>
        <v>1.1565067677302345</v>
      </c>
    </row>
    <row r="8" spans="1:14" ht="13" thickBot="1" x14ac:dyDescent="0.3">
      <c r="D8" s="641">
        <f>S24</f>
        <v>1.1203990861751278</v>
      </c>
      <c r="F8" s="643" t="s">
        <v>335</v>
      </c>
      <c r="G8" s="256">
        <f>S44</f>
        <v>1.1073834667741522</v>
      </c>
    </row>
    <row r="10" spans="1:14" ht="13" thickBot="1" x14ac:dyDescent="0.3"/>
    <row r="11" spans="1:14" ht="25" x14ac:dyDescent="0.25">
      <c r="A11" s="124" t="s">
        <v>490</v>
      </c>
      <c r="B11" s="125"/>
      <c r="C11" s="125"/>
      <c r="D11" s="125"/>
      <c r="E11" s="125"/>
      <c r="F11" s="125"/>
      <c r="G11" s="125"/>
      <c r="H11" s="125"/>
      <c r="I11" s="126"/>
    </row>
    <row r="12" spans="1:14" x14ac:dyDescent="0.25">
      <c r="A12" s="127"/>
      <c r="B12" s="119"/>
      <c r="C12" s="119"/>
      <c r="D12" s="119"/>
      <c r="E12" s="119"/>
      <c r="F12" s="119"/>
      <c r="G12" s="119"/>
      <c r="H12" s="119"/>
      <c r="I12" s="128"/>
    </row>
    <row r="13" spans="1:14" x14ac:dyDescent="0.25">
      <c r="A13" s="129" t="s">
        <v>363</v>
      </c>
      <c r="B13" s="120" t="s">
        <v>452</v>
      </c>
      <c r="C13" s="120" t="s">
        <v>470</v>
      </c>
      <c r="D13" s="120" t="s">
        <v>471</v>
      </c>
      <c r="E13" s="120" t="s">
        <v>457</v>
      </c>
      <c r="F13" s="120" t="s">
        <v>453</v>
      </c>
      <c r="G13" s="120" t="s">
        <v>472</v>
      </c>
      <c r="H13" s="120" t="s">
        <v>456</v>
      </c>
      <c r="I13" s="128" t="s">
        <v>473</v>
      </c>
    </row>
    <row r="14" spans="1:14" ht="13" thickBot="1" x14ac:dyDescent="0.3">
      <c r="A14" s="130">
        <f>A5</f>
        <v>320</v>
      </c>
      <c r="B14" s="131">
        <f>0.42*A14^0.7</f>
        <v>23.815202311620425</v>
      </c>
      <c r="C14" s="131">
        <f>(85+2*LOG(B14))/100</f>
        <v>0.87753708550443665</v>
      </c>
      <c r="D14" s="131">
        <f>70.56*A14^0.7+2.12*A14^1.2</f>
        <v>6151.3370718834703</v>
      </c>
      <c r="E14" s="131">
        <f>D14/350/24/B14</f>
        <v>3.074935172857042E-2</v>
      </c>
      <c r="F14" s="131">
        <f>0.12*(B14/0.42)^-0.4</f>
        <v>2.3863780851864823E-2</v>
      </c>
      <c r="G14" s="131">
        <f>70</f>
        <v>70</v>
      </c>
      <c r="H14" s="131">
        <f>F14*(G14-20)/50</f>
        <v>2.3863780851864823E-2</v>
      </c>
      <c r="I14" s="132">
        <f>(1+(1/E14-1)*(1-N2/350)*H14)/C14</f>
        <v>1.5436538706827085</v>
      </c>
    </row>
    <row r="15" spans="1:14" ht="13" thickBot="1" x14ac:dyDescent="0.3"/>
    <row r="16" spans="1:14" x14ac:dyDescent="0.25">
      <c r="A16" s="124" t="s">
        <v>491</v>
      </c>
      <c r="B16" s="125"/>
      <c r="C16" s="125"/>
      <c r="D16" s="125"/>
      <c r="E16" s="125"/>
      <c r="F16" s="125"/>
      <c r="G16" s="125"/>
      <c r="H16" s="125"/>
      <c r="I16" s="126"/>
    </row>
    <row r="17" spans="1:19" x14ac:dyDescent="0.25">
      <c r="A17" s="127"/>
      <c r="B17" s="119"/>
      <c r="C17" s="119"/>
      <c r="D17" s="119"/>
      <c r="E17" s="119"/>
      <c r="F17" s="119"/>
      <c r="G17" s="119"/>
      <c r="H17" s="119"/>
      <c r="I17" s="128"/>
    </row>
    <row r="18" spans="1:19" x14ac:dyDescent="0.25">
      <c r="A18" s="129" t="s">
        <v>363</v>
      </c>
      <c r="B18" s="120" t="s">
        <v>452</v>
      </c>
      <c r="C18" s="120" t="s">
        <v>470</v>
      </c>
      <c r="D18" s="120" t="s">
        <v>471</v>
      </c>
      <c r="E18" s="120" t="s">
        <v>457</v>
      </c>
      <c r="F18" s="120" t="s">
        <v>453</v>
      </c>
      <c r="G18" s="120" t="s">
        <v>472</v>
      </c>
      <c r="H18" s="120" t="s">
        <v>456</v>
      </c>
      <c r="I18" s="133" t="s">
        <v>473</v>
      </c>
    </row>
    <row r="19" spans="1:19" ht="13" thickBot="1" x14ac:dyDescent="0.3">
      <c r="A19" s="130">
        <f>A5</f>
        <v>320</v>
      </c>
      <c r="B19" s="131">
        <f>0.42*A19^0.7</f>
        <v>23.815202311620425</v>
      </c>
      <c r="C19" s="131">
        <f>(88.5+1.5*LOG(B19))/100</f>
        <v>0.90565281412832743</v>
      </c>
      <c r="D19" s="131">
        <f>70.56*A19^0.7+2.12*A19^1.2</f>
        <v>6151.3370718834703</v>
      </c>
      <c r="E19" s="131">
        <f>D19/350/24/B19</f>
        <v>3.074935172857042E-2</v>
      </c>
      <c r="F19" s="131">
        <f>0.06*(B19/0.42)^-0.4</f>
        <v>1.1931890425932411E-2</v>
      </c>
      <c r="G19" s="131">
        <f>35+0.002*A19</f>
        <v>35.64</v>
      </c>
      <c r="H19" s="131">
        <f>F19*(G19-20)/50</f>
        <v>3.7322953252316581E-3</v>
      </c>
      <c r="I19" s="134">
        <f>(1+(1/E19-1)*(1-N2/350)*H19)/C19</f>
        <v>1.1654151986946171</v>
      </c>
    </row>
    <row r="20" spans="1:19" ht="13" thickBot="1" x14ac:dyDescent="0.3"/>
    <row r="21" spans="1:19" x14ac:dyDescent="0.25">
      <c r="A21" s="124" t="s">
        <v>492</v>
      </c>
      <c r="B21" s="125"/>
      <c r="C21" s="125"/>
      <c r="D21" s="125"/>
      <c r="E21" s="125"/>
      <c r="F21" s="125"/>
      <c r="G21" s="125"/>
      <c r="H21" s="125"/>
      <c r="I21" s="126"/>
      <c r="K21" s="124" t="s">
        <v>492</v>
      </c>
      <c r="L21" s="125" t="s">
        <v>334</v>
      </c>
      <c r="M21" s="125"/>
      <c r="N21" s="125"/>
      <c r="O21" s="125"/>
      <c r="P21" s="125"/>
      <c r="Q21" s="125"/>
      <c r="R21" s="125"/>
      <c r="S21" s="126"/>
    </row>
    <row r="22" spans="1:19" x14ac:dyDescent="0.25">
      <c r="A22" s="127"/>
      <c r="B22" s="119"/>
      <c r="C22" s="119"/>
      <c r="D22" s="119"/>
      <c r="E22" s="119"/>
      <c r="F22" s="119"/>
      <c r="G22" s="119"/>
      <c r="H22" s="119"/>
      <c r="I22" s="128"/>
      <c r="K22" s="127"/>
      <c r="L22" s="119"/>
      <c r="M22" s="119"/>
      <c r="N22" s="119"/>
      <c r="O22" s="119"/>
      <c r="P22" s="119"/>
      <c r="Q22" s="119"/>
      <c r="R22" s="119"/>
      <c r="S22" s="128"/>
    </row>
    <row r="23" spans="1:19" x14ac:dyDescent="0.25">
      <c r="A23" s="129" t="s">
        <v>363</v>
      </c>
      <c r="B23" s="120" t="s">
        <v>452</v>
      </c>
      <c r="C23" s="120" t="s">
        <v>470</v>
      </c>
      <c r="D23" s="120" t="s">
        <v>471</v>
      </c>
      <c r="E23" s="120" t="s">
        <v>457</v>
      </c>
      <c r="F23" s="120" t="s">
        <v>453</v>
      </c>
      <c r="G23" s="120" t="s">
        <v>472</v>
      </c>
      <c r="H23" s="120" t="s">
        <v>456</v>
      </c>
      <c r="I23" s="133" t="s">
        <v>473</v>
      </c>
      <c r="K23" s="129" t="s">
        <v>363</v>
      </c>
      <c r="L23" s="120" t="s">
        <v>452</v>
      </c>
      <c r="M23" s="120" t="s">
        <v>470</v>
      </c>
      <c r="N23" s="120" t="s">
        <v>471</v>
      </c>
      <c r="O23" s="120" t="s">
        <v>457</v>
      </c>
      <c r="P23" s="120" t="s">
        <v>453</v>
      </c>
      <c r="Q23" s="120" t="s">
        <v>472</v>
      </c>
      <c r="R23" s="120" t="s">
        <v>456</v>
      </c>
      <c r="S23" s="133" t="s">
        <v>473</v>
      </c>
    </row>
    <row r="24" spans="1:19" ht="13" thickBot="1" x14ac:dyDescent="0.3">
      <c r="A24" s="130">
        <f>A5</f>
        <v>320</v>
      </c>
      <c r="B24" s="131">
        <f>0.42*A24^0.7</f>
        <v>23.815202311620425</v>
      </c>
      <c r="C24" s="131">
        <f>(92+1*LOG(B24))/100</f>
        <v>0.93376854275221832</v>
      </c>
      <c r="D24" s="131">
        <f>70.56*A24^0.7+2.12*A24^1.2</f>
        <v>6151.3370718834703</v>
      </c>
      <c r="E24" s="131">
        <f>D24/350/24/B24</f>
        <v>3.074935172857042E-2</v>
      </c>
      <c r="F24" s="131">
        <f>0.06*(B24/0.42)^-0.4</f>
        <v>1.1931890425932411E-2</v>
      </c>
      <c r="G24" s="131">
        <f>35+0.002*A24</f>
        <v>35.64</v>
      </c>
      <c r="H24" s="131">
        <f>F24*(G24-20)/50</f>
        <v>3.7322953252316581E-3</v>
      </c>
      <c r="I24" s="134">
        <f>(1+(1/E24-1)*(1-N2/350)*H24)/C24</f>
        <v>1.1303245997287548</v>
      </c>
      <c r="K24" s="130">
        <f>A5</f>
        <v>320</v>
      </c>
      <c r="L24" s="131">
        <f>0.42*K24^0.7</f>
        <v>23.815202311620425</v>
      </c>
      <c r="M24" s="131">
        <f>1/1.09</f>
        <v>0.9174311926605504</v>
      </c>
      <c r="N24" s="131">
        <f>70.56*K24^0.7+2.12*K24^1.2</f>
        <v>6151.3370718834703</v>
      </c>
      <c r="O24" s="131">
        <f>N24/350/24/L24</f>
        <v>3.074935172857042E-2</v>
      </c>
      <c r="P24" s="131">
        <v>6.0000000000000001E-3</v>
      </c>
      <c r="Q24" s="131">
        <f>35+0.002*K24</f>
        <v>35.64</v>
      </c>
      <c r="R24" s="131">
        <f>P24*(Q24-20)/50</f>
        <v>1.8768000000000001E-3</v>
      </c>
      <c r="S24" s="134">
        <f>(1+(1/O24-1)*(1-N2/350)*R24)/M24</f>
        <v>1.1203990861751278</v>
      </c>
    </row>
    <row r="25" spans="1:19" ht="13" thickBot="1" x14ac:dyDescent="0.3">
      <c r="R25" s="782" t="s">
        <v>882</v>
      </c>
      <c r="S25" s="783">
        <f>(1+(1/O24-1)*(1-N4/350)*R24)/M24</f>
        <v>1.1203990861751278</v>
      </c>
    </row>
    <row r="26" spans="1:19" ht="25" x14ac:dyDescent="0.25">
      <c r="A26" s="124" t="s">
        <v>320</v>
      </c>
      <c r="B26" s="125"/>
      <c r="C26" s="125"/>
      <c r="D26" s="125"/>
      <c r="E26" s="125"/>
      <c r="F26" s="125"/>
      <c r="G26" s="125"/>
      <c r="H26" s="125"/>
      <c r="I26" s="126"/>
    </row>
    <row r="27" spans="1:19" x14ac:dyDescent="0.25">
      <c r="A27" s="127"/>
      <c r="B27" s="119"/>
      <c r="C27" s="119"/>
      <c r="D27" s="119"/>
      <c r="E27" s="119"/>
      <c r="F27" s="119"/>
      <c r="G27" s="119"/>
      <c r="H27" s="119"/>
      <c r="I27" s="128"/>
    </row>
    <row r="28" spans="1:19" x14ac:dyDescent="0.25">
      <c r="A28" s="129" t="s">
        <v>363</v>
      </c>
      <c r="B28" s="120" t="s">
        <v>452</v>
      </c>
      <c r="C28" s="120" t="s">
        <v>470</v>
      </c>
      <c r="D28" s="120" t="s">
        <v>471</v>
      </c>
      <c r="E28" s="120" t="s">
        <v>457</v>
      </c>
      <c r="F28" s="120" t="s">
        <v>453</v>
      </c>
      <c r="G28" s="120" t="s">
        <v>472</v>
      </c>
      <c r="H28" s="120" t="s">
        <v>456</v>
      </c>
      <c r="I28" s="133" t="s">
        <v>473</v>
      </c>
    </row>
    <row r="29" spans="1:19" ht="13" thickBot="1" x14ac:dyDescent="0.3">
      <c r="A29" s="130">
        <f>A5</f>
        <v>320</v>
      </c>
      <c r="B29" s="131">
        <v>24</v>
      </c>
      <c r="C29" s="131">
        <f>(88.5+1.5*LOG(B29))/100</f>
        <v>0.90570316862567413</v>
      </c>
      <c r="D29" s="131">
        <f>70.56*A29^0.7+2.12*A29^1.2</f>
        <v>6151.3370718834703</v>
      </c>
      <c r="E29" s="131">
        <f>D29/350/24/B29</f>
        <v>3.051258468196166E-2</v>
      </c>
      <c r="F29" s="131">
        <v>2.1999999999999999E-2</v>
      </c>
      <c r="G29" s="131">
        <f>35+0.002*A29</f>
        <v>35.64</v>
      </c>
      <c r="H29" s="131">
        <f>F29*(G29-20)/50</f>
        <v>6.8815999999999999E-3</v>
      </c>
      <c r="I29" s="134">
        <f>(1+(1/E29-1)*(1-N2/350)*H29)/C29</f>
        <v>1.2179250733544573</v>
      </c>
    </row>
    <row r="30" spans="1:19" ht="13" thickBot="1" x14ac:dyDescent="0.3"/>
    <row r="31" spans="1:19" ht="25" x14ac:dyDescent="0.25">
      <c r="A31" s="124" t="s">
        <v>333</v>
      </c>
      <c r="B31" s="125"/>
      <c r="C31" s="125"/>
      <c r="D31" s="125"/>
      <c r="E31" s="125"/>
      <c r="F31" s="125"/>
      <c r="G31" s="125"/>
      <c r="H31" s="125"/>
      <c r="I31" s="126"/>
      <c r="K31" s="124" t="s">
        <v>333</v>
      </c>
      <c r="L31" s="125" t="s">
        <v>334</v>
      </c>
      <c r="M31" s="125"/>
      <c r="N31" s="125"/>
      <c r="O31" s="125"/>
      <c r="P31" s="125"/>
      <c r="Q31" s="125"/>
      <c r="R31" s="125"/>
      <c r="S31" s="126"/>
    </row>
    <row r="32" spans="1:19" x14ac:dyDescent="0.25">
      <c r="A32" s="127"/>
      <c r="B32" s="119"/>
      <c r="C32" s="119"/>
      <c r="D32" s="119"/>
      <c r="E32" s="119"/>
      <c r="F32" s="119"/>
      <c r="G32" s="119"/>
      <c r="H32" s="119"/>
      <c r="I32" s="128"/>
      <c r="K32" s="127"/>
      <c r="L32" s="119"/>
      <c r="M32" s="119"/>
      <c r="N32" s="119"/>
      <c r="O32" s="119"/>
      <c r="P32" s="119"/>
      <c r="Q32" s="119"/>
      <c r="R32" s="119"/>
      <c r="S32" s="128"/>
    </row>
    <row r="33" spans="1:19" x14ac:dyDescent="0.25">
      <c r="A33" s="129" t="s">
        <v>363</v>
      </c>
      <c r="B33" s="120" t="s">
        <v>452</v>
      </c>
      <c r="C33" s="120" t="s">
        <v>470</v>
      </c>
      <c r="D33" s="120" t="s">
        <v>471</v>
      </c>
      <c r="E33" s="120" t="s">
        <v>457</v>
      </c>
      <c r="F33" s="120" t="s">
        <v>453</v>
      </c>
      <c r="G33" s="120" t="s">
        <v>472</v>
      </c>
      <c r="H33" s="120" t="s">
        <v>456</v>
      </c>
      <c r="I33" s="133" t="s">
        <v>473</v>
      </c>
      <c r="K33" s="129" t="s">
        <v>363</v>
      </c>
      <c r="L33" s="120" t="s">
        <v>452</v>
      </c>
      <c r="M33" s="120" t="s">
        <v>470</v>
      </c>
      <c r="N33" s="120" t="s">
        <v>471</v>
      </c>
      <c r="O33" s="120" t="s">
        <v>457</v>
      </c>
      <c r="P33" s="120" t="s">
        <v>453</v>
      </c>
      <c r="Q33" s="120" t="s">
        <v>472</v>
      </c>
      <c r="R33" s="120" t="s">
        <v>456</v>
      </c>
      <c r="S33" s="133" t="s">
        <v>473</v>
      </c>
    </row>
    <row r="34" spans="1:19" ht="13" thickBot="1" x14ac:dyDescent="0.3">
      <c r="A34" s="130">
        <f>A5</f>
        <v>320</v>
      </c>
      <c r="B34" s="131">
        <v>24</v>
      </c>
      <c r="C34" s="131">
        <f>(92+1*LOG(B34))/100</f>
        <v>0.93380211241711608</v>
      </c>
      <c r="D34" s="131">
        <f>70.56*A34^0.7+2.12*A34^1.2</f>
        <v>6151.3370718834703</v>
      </c>
      <c r="E34" s="131">
        <f>D34/350/24/B34</f>
        <v>3.051258468196166E-2</v>
      </c>
      <c r="F34" s="131">
        <v>2.1999999999999999E-2</v>
      </c>
      <c r="G34" s="131">
        <f>35+0.002*A34</f>
        <v>35.64</v>
      </c>
      <c r="H34" s="131">
        <f>F34*(G34-20)/50</f>
        <v>6.8815999999999999E-3</v>
      </c>
      <c r="I34" s="134">
        <f>(1+(1/E34-1)*(1-N2/350)*H34)/C34</f>
        <v>1.1812766146250258</v>
      </c>
      <c r="K34" s="130">
        <f>A5</f>
        <v>320</v>
      </c>
      <c r="L34" s="131">
        <v>24</v>
      </c>
      <c r="M34" s="131">
        <f>(94+1*LOG(L34))/100</f>
        <v>0.9538021124171161</v>
      </c>
      <c r="N34" s="131">
        <f>70.56*K34^0.7+2.12*K34^1.2</f>
        <v>6151.3370718834703</v>
      </c>
      <c r="O34" s="131">
        <f>N34/350/24/L34</f>
        <v>3.051258468196166E-2</v>
      </c>
      <c r="P34" s="131">
        <v>2.1999999999999999E-2</v>
      </c>
      <c r="Q34" s="131">
        <f>35+0.002*K34</f>
        <v>35.64</v>
      </c>
      <c r="R34" s="131">
        <f>P34*(Q34-20)/50</f>
        <v>6.8815999999999999E-3</v>
      </c>
      <c r="S34" s="134">
        <f>(1+(1/O34-1)*(1-N2/350)*R34)/M34</f>
        <v>1.1565067677302345</v>
      </c>
    </row>
    <row r="35" spans="1:19" ht="13" thickBot="1" x14ac:dyDescent="0.3"/>
    <row r="36" spans="1:19" ht="25" x14ac:dyDescent="0.25">
      <c r="A36" s="124" t="s">
        <v>321</v>
      </c>
      <c r="B36" s="125"/>
      <c r="C36" s="125"/>
      <c r="D36" s="125"/>
      <c r="E36" s="125"/>
      <c r="F36" s="125"/>
      <c r="G36" s="125"/>
      <c r="H36" s="125"/>
      <c r="I36" s="126"/>
    </row>
    <row r="37" spans="1:19" x14ac:dyDescent="0.25">
      <c r="A37" s="127"/>
      <c r="B37" s="119"/>
      <c r="C37" s="119"/>
      <c r="D37" s="119"/>
      <c r="E37" s="119"/>
      <c r="F37" s="119"/>
      <c r="G37" s="119"/>
      <c r="H37" s="119"/>
      <c r="I37" s="128"/>
    </row>
    <row r="38" spans="1:19" x14ac:dyDescent="0.25">
      <c r="A38" s="129" t="s">
        <v>363</v>
      </c>
      <c r="B38" s="120" t="s">
        <v>452</v>
      </c>
      <c r="C38" s="120" t="s">
        <v>470</v>
      </c>
      <c r="D38" s="120" t="s">
        <v>471</v>
      </c>
      <c r="E38" s="120" t="s">
        <v>457</v>
      </c>
      <c r="F38" s="120" t="s">
        <v>453</v>
      </c>
      <c r="G38" s="120" t="s">
        <v>472</v>
      </c>
      <c r="H38" s="120" t="s">
        <v>456</v>
      </c>
      <c r="I38" s="133" t="s">
        <v>473</v>
      </c>
    </row>
    <row r="39" spans="1:19" ht="13" thickBot="1" x14ac:dyDescent="0.3">
      <c r="A39" s="130">
        <f>A5</f>
        <v>320</v>
      </c>
      <c r="B39" s="131">
        <v>24</v>
      </c>
      <c r="C39" s="131">
        <f>(88.5+1.5*LOG(B39))/100</f>
        <v>0.90570316862567413</v>
      </c>
      <c r="D39" s="131">
        <f>70.56*A39^0.7+2.12*A39^1.2</f>
        <v>6151.3370718834703</v>
      </c>
      <c r="E39" s="131">
        <f>D39/350/24/B39</f>
        <v>3.051258468196166E-2</v>
      </c>
      <c r="F39" s="131">
        <v>1.2E-2</v>
      </c>
      <c r="G39" s="131">
        <f>35+0.002*A39</f>
        <v>35.64</v>
      </c>
      <c r="H39" s="131">
        <f>F39*(G39-20)/50</f>
        <v>3.7536000000000002E-3</v>
      </c>
      <c r="I39" s="134">
        <f>(1+(1/E39-1)*(1-N16/350)*H39)/C39</f>
        <v>1.235796155324669</v>
      </c>
    </row>
    <row r="40" spans="1:19" ht="13" thickBot="1" x14ac:dyDescent="0.3"/>
    <row r="41" spans="1:19" ht="25" x14ac:dyDescent="0.25">
      <c r="A41" s="124" t="s">
        <v>322</v>
      </c>
      <c r="B41" s="125"/>
      <c r="C41" s="125"/>
      <c r="D41" s="125"/>
      <c r="E41" s="125"/>
      <c r="F41" s="125"/>
      <c r="G41" s="125"/>
      <c r="H41" s="125"/>
      <c r="I41" s="126"/>
      <c r="K41" s="124" t="s">
        <v>322</v>
      </c>
      <c r="L41" s="125" t="s">
        <v>334</v>
      </c>
      <c r="M41" s="125"/>
      <c r="N41" s="125"/>
      <c r="O41" s="125"/>
      <c r="P41" s="125"/>
      <c r="Q41" s="125"/>
      <c r="R41" s="125"/>
      <c r="S41" s="126"/>
    </row>
    <row r="42" spans="1:19" x14ac:dyDescent="0.25">
      <c r="A42" s="127"/>
      <c r="B42" s="119"/>
      <c r="C42" s="119"/>
      <c r="D42" s="119"/>
      <c r="E42" s="119"/>
      <c r="F42" s="119"/>
      <c r="G42" s="119"/>
      <c r="H42" s="119"/>
      <c r="I42" s="128"/>
      <c r="K42" s="127"/>
      <c r="L42" s="119"/>
      <c r="M42" s="119"/>
      <c r="N42" s="119"/>
      <c r="O42" s="119"/>
      <c r="P42" s="119"/>
      <c r="Q42" s="119"/>
      <c r="R42" s="119"/>
      <c r="S42" s="128"/>
    </row>
    <row r="43" spans="1:19" x14ac:dyDescent="0.25">
      <c r="A43" s="129" t="s">
        <v>363</v>
      </c>
      <c r="B43" s="120" t="s">
        <v>452</v>
      </c>
      <c r="C43" s="120" t="s">
        <v>470</v>
      </c>
      <c r="D43" s="120" t="s">
        <v>471</v>
      </c>
      <c r="E43" s="120" t="s">
        <v>457</v>
      </c>
      <c r="F43" s="120" t="s">
        <v>453</v>
      </c>
      <c r="G43" s="120" t="s">
        <v>472</v>
      </c>
      <c r="H43" s="120" t="s">
        <v>456</v>
      </c>
      <c r="I43" s="133" t="s">
        <v>473</v>
      </c>
      <c r="K43" s="129" t="s">
        <v>363</v>
      </c>
      <c r="L43" s="120" t="s">
        <v>452</v>
      </c>
      <c r="M43" s="120" t="s">
        <v>470</v>
      </c>
      <c r="N43" s="120" t="s">
        <v>471</v>
      </c>
      <c r="O43" s="120" t="s">
        <v>457</v>
      </c>
      <c r="P43" s="120" t="s">
        <v>453</v>
      </c>
      <c r="Q43" s="120" t="s">
        <v>472</v>
      </c>
      <c r="R43" s="120" t="s">
        <v>456</v>
      </c>
      <c r="S43" s="133" t="s">
        <v>473</v>
      </c>
    </row>
    <row r="44" spans="1:19" ht="13" thickBot="1" x14ac:dyDescent="0.3">
      <c r="A44" s="130">
        <f>A5</f>
        <v>320</v>
      </c>
      <c r="B44" s="131">
        <v>24</v>
      </c>
      <c r="C44" s="131">
        <f>(92+1*LOG(B44))/100</f>
        <v>0.93380211241711608</v>
      </c>
      <c r="D44" s="131">
        <f>70.56*A44^0.7+2.12*A44^1.2</f>
        <v>6151.3370718834703</v>
      </c>
      <c r="E44" s="131">
        <f>D44/350/24/B44</f>
        <v>3.051258468196166E-2</v>
      </c>
      <c r="F44" s="131">
        <v>1.2E-2</v>
      </c>
      <c r="G44" s="131">
        <f>35+0.002*A44</f>
        <v>35.64</v>
      </c>
      <c r="H44" s="131">
        <f>F44*(G44-20)/50</f>
        <v>3.7536000000000002E-3</v>
      </c>
      <c r="I44" s="134">
        <f>(1+(1/E44-1)*(1-N16/350)*H44)/C44</f>
        <v>1.1986099396967513</v>
      </c>
      <c r="K44" s="130">
        <f>A5</f>
        <v>320</v>
      </c>
      <c r="L44" s="131">
        <v>24</v>
      </c>
      <c r="M44" s="131">
        <f>(94+1*LOG(L44))/100</f>
        <v>0.9538021124171161</v>
      </c>
      <c r="N44" s="131">
        <f>70.56*K44^0.7+2.12*K44^1.2</f>
        <v>6151.3370718834703</v>
      </c>
      <c r="O44" s="131">
        <f>N44/350/24/L44</f>
        <v>3.051258468196166E-2</v>
      </c>
      <c r="P44" s="131">
        <v>1.2E-2</v>
      </c>
      <c r="Q44" s="131">
        <f>35+0.002*K44</f>
        <v>35.64</v>
      </c>
      <c r="R44" s="131">
        <f>P44*(Q44-20)/50</f>
        <v>3.7536000000000002E-3</v>
      </c>
      <c r="S44" s="134">
        <f>(1+(1/O44-1)*(1-N2/350)*R44)/M44</f>
        <v>1.1073834667741522</v>
      </c>
    </row>
    <row r="45" spans="1:19" ht="13" thickBot="1" x14ac:dyDescent="0.3"/>
    <row r="46" spans="1:19" x14ac:dyDescent="0.25">
      <c r="A46" s="124" t="s">
        <v>494</v>
      </c>
      <c r="B46" s="125"/>
      <c r="C46" s="125"/>
      <c r="D46" s="125"/>
      <c r="E46" s="135"/>
    </row>
    <row r="47" spans="1:19" x14ac:dyDescent="0.25">
      <c r="A47" s="127"/>
      <c r="B47" s="119"/>
      <c r="C47" s="119"/>
      <c r="D47" s="119"/>
      <c r="E47" s="136"/>
    </row>
    <row r="48" spans="1:19" x14ac:dyDescent="0.25">
      <c r="A48" s="129" t="s">
        <v>363</v>
      </c>
      <c r="B48" s="120" t="s">
        <v>452</v>
      </c>
      <c r="C48" s="120" t="s">
        <v>465</v>
      </c>
      <c r="D48" s="120" t="s">
        <v>457</v>
      </c>
      <c r="E48" s="133" t="s">
        <v>474</v>
      </c>
    </row>
    <row r="49" spans="1:5" ht="13" thickBot="1" x14ac:dyDescent="0.3">
      <c r="A49" s="130">
        <f>A34</f>
        <v>320</v>
      </c>
      <c r="B49" s="131">
        <f>B24</f>
        <v>23.815202311620425</v>
      </c>
      <c r="C49" s="131">
        <f>0.045*B49^0.48</f>
        <v>0.20611166228458569</v>
      </c>
      <c r="D49" s="131">
        <f>E19</f>
        <v>3.074935172857042E-2</v>
      </c>
      <c r="E49" s="134">
        <f>D49*350*24*C49/A49</f>
        <v>0.16636724997241248</v>
      </c>
    </row>
    <row r="50" spans="1:5" ht="13" thickBot="1" x14ac:dyDescent="0.3"/>
    <row r="51" spans="1:5" x14ac:dyDescent="0.25">
      <c r="A51" s="124" t="s">
        <v>493</v>
      </c>
      <c r="B51" s="125"/>
      <c r="C51" s="125"/>
      <c r="D51" s="125"/>
      <c r="E51" s="135"/>
    </row>
    <row r="52" spans="1:5" x14ac:dyDescent="0.25">
      <c r="A52" s="127"/>
      <c r="B52" s="119"/>
      <c r="C52" s="119"/>
      <c r="D52" s="119"/>
      <c r="E52" s="136"/>
    </row>
    <row r="53" spans="1:5" x14ac:dyDescent="0.25">
      <c r="A53" s="129" t="s">
        <v>363</v>
      </c>
      <c r="B53" s="120" t="s">
        <v>452</v>
      </c>
      <c r="C53" s="120" t="s">
        <v>465</v>
      </c>
      <c r="D53" s="120" t="s">
        <v>457</v>
      </c>
      <c r="E53" s="133" t="s">
        <v>474</v>
      </c>
    </row>
    <row r="54" spans="1:5" ht="13" thickBot="1" x14ac:dyDescent="0.3">
      <c r="A54" s="130">
        <f>A49</f>
        <v>320</v>
      </c>
      <c r="B54" s="131">
        <f>B34</f>
        <v>24</v>
      </c>
      <c r="C54" s="131">
        <f>0.045*B54^0.48</f>
        <v>0.2068778098379494</v>
      </c>
      <c r="D54" s="131">
        <f>E34</f>
        <v>3.051258468196166E-2</v>
      </c>
      <c r="E54" s="134">
        <f>D54*350*24*C54/A54</f>
        <v>0.16569988815185382</v>
      </c>
    </row>
  </sheetData>
  <customSheetViews>
    <customSheetView guid="{AB7935E0-18C1-11D5-A405-00409522490A}" state="hidden" showRuler="0">
      <selection sqref="A1:IV65536"/>
      <pageMargins left="0.78740157499999996" right="0.78740157499999996" top="0.984251969" bottom="0.984251969" header="0.4921259845" footer="0.4921259845"/>
      <headerFooter alignWithMargins="0"/>
    </customSheetView>
    <customSheetView guid="{586D4F31-1FA3-11D6-B431-009027A4C716}" showGridLines="0" state="hidden" showRuler="0">
      <pageMargins left="0.78740157499999996" right="0.78740157499999996" top="0.984251969" bottom="0.984251969" header="0.4921259845" footer="0.4921259845"/>
      <headerFooter alignWithMargins="0"/>
    </customSheetView>
  </customSheetViews>
  <mergeCells count="2">
    <mergeCell ref="B3:D3"/>
    <mergeCell ref="F3:G3"/>
  </mergeCells>
  <phoneticPr fontId="0" type="noConversion"/>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dimension ref="A1:H67"/>
  <sheetViews>
    <sheetView showGridLines="0" workbookViewId="0"/>
  </sheetViews>
  <sheetFormatPr baseColWidth="10" defaultRowHeight="14" x14ac:dyDescent="0.3"/>
  <sheetData>
    <row r="1" spans="1:8" ht="14.5" thickBot="1" x14ac:dyDescent="0.35">
      <c r="A1" s="615" t="s">
        <v>341</v>
      </c>
      <c r="C1" s="691" t="s">
        <v>363</v>
      </c>
      <c r="D1" s="692">
        <f>Rechnungen!D14</f>
        <v>320</v>
      </c>
    </row>
    <row r="2" spans="1:8" ht="14.5" thickBot="1" x14ac:dyDescent="0.35">
      <c r="A2" s="661"/>
      <c r="C2" s="691" t="s">
        <v>296</v>
      </c>
      <c r="D2" s="697">
        <f>Rechnungen!F305</f>
        <v>0</v>
      </c>
      <c r="F2" s="691" t="s">
        <v>307</v>
      </c>
      <c r="G2" s="693"/>
      <c r="H2" s="692">
        <f>Rechnungen!G536</f>
        <v>5</v>
      </c>
    </row>
    <row r="3" spans="1:8" x14ac:dyDescent="0.3">
      <c r="A3" s="661"/>
    </row>
    <row r="4" spans="1:8" ht="14.5" thickBot="1" x14ac:dyDescent="0.35"/>
    <row r="5" spans="1:8" x14ac:dyDescent="0.3">
      <c r="A5" s="646" t="s">
        <v>363</v>
      </c>
      <c r="B5" s="647" t="s">
        <v>704</v>
      </c>
      <c r="C5" s="647" t="s">
        <v>281</v>
      </c>
      <c r="D5" s="647" t="s">
        <v>282</v>
      </c>
      <c r="E5" s="647" t="s">
        <v>283</v>
      </c>
      <c r="F5" s="648" t="s">
        <v>471</v>
      </c>
    </row>
    <row r="6" spans="1:8" ht="14.5" thickBot="1" x14ac:dyDescent="0.35">
      <c r="A6" s="649">
        <f>D1</f>
        <v>320</v>
      </c>
      <c r="B6" s="652">
        <f>'Ergebnisse IST (05,06,07)'!G71</f>
        <v>12.5</v>
      </c>
      <c r="C6" s="652">
        <f>'Ergebnisse IST (05,06,07)'!G72</f>
        <v>0</v>
      </c>
      <c r="D6" s="652">
        <f>'Ergebnisse IST (05,06,07)'!G73</f>
        <v>7.56</v>
      </c>
      <c r="E6" s="652">
        <f>'Ergebnisse IST (05,06,07)'!G74</f>
        <v>0</v>
      </c>
      <c r="F6" s="651">
        <f>(B6+C6+D6+E6)*A6</f>
        <v>6419.2</v>
      </c>
    </row>
    <row r="7" spans="1:8" x14ac:dyDescent="0.3">
      <c r="B7" s="660"/>
      <c r="C7" s="660"/>
      <c r="D7" s="660"/>
      <c r="E7" s="660"/>
    </row>
    <row r="8" spans="1:8" ht="14.5" thickBot="1" x14ac:dyDescent="0.35">
      <c r="A8" s="645" t="s">
        <v>277</v>
      </c>
    </row>
    <row r="9" spans="1:8" x14ac:dyDescent="0.3">
      <c r="A9" s="646" t="s">
        <v>289</v>
      </c>
      <c r="B9" s="647" t="s">
        <v>290</v>
      </c>
      <c r="C9" s="647" t="s">
        <v>291</v>
      </c>
      <c r="D9" s="648" t="s">
        <v>292</v>
      </c>
      <c r="G9" s="662" t="s">
        <v>292</v>
      </c>
    </row>
    <row r="10" spans="1:8" ht="14.5" thickBot="1" x14ac:dyDescent="0.35">
      <c r="A10" s="649">
        <f>E13</f>
        <v>0.47142857142857142</v>
      </c>
      <c r="B10" s="650">
        <f>E16</f>
        <v>4.2016806722689077</v>
      </c>
      <c r="C10" s="655">
        <f>'H-05'!E12</f>
        <v>1.7718149224099951</v>
      </c>
      <c r="D10" s="651">
        <f>A10*B10+(1-A10)*C10</f>
        <v>2.9173230616291965</v>
      </c>
      <c r="G10" s="666">
        <f>0*B10+(1-0)*C10</f>
        <v>1.7718149224099951</v>
      </c>
    </row>
    <row r="11" spans="1:8" ht="14.5" thickBot="1" x14ac:dyDescent="0.35"/>
    <row r="12" spans="1:8" x14ac:dyDescent="0.3">
      <c r="A12" s="646" t="s">
        <v>109</v>
      </c>
      <c r="B12" s="647" t="s">
        <v>266</v>
      </c>
      <c r="C12" s="647" t="s">
        <v>293</v>
      </c>
      <c r="D12" s="647"/>
      <c r="E12" s="648" t="s">
        <v>289</v>
      </c>
    </row>
    <row r="13" spans="1:8" ht="14.5" thickBot="1" x14ac:dyDescent="0.35">
      <c r="A13" s="649">
        <f>185</f>
        <v>185</v>
      </c>
      <c r="B13" s="650">
        <f>350</f>
        <v>350</v>
      </c>
      <c r="C13" s="653">
        <f>D2</f>
        <v>0</v>
      </c>
      <c r="D13" s="650">
        <f>(1-A13/B13-0.8*C13)/(1-C13)</f>
        <v>0.47142857142857142</v>
      </c>
      <c r="E13" s="651">
        <f>IF(D13&lt;0,0,D13)</f>
        <v>0.47142857142857142</v>
      </c>
    </row>
    <row r="14" spans="1:8" ht="14.5" thickBot="1" x14ac:dyDescent="0.35"/>
    <row r="15" spans="1:8" x14ac:dyDescent="0.3">
      <c r="A15" s="646" t="s">
        <v>267</v>
      </c>
      <c r="B15" s="647" t="s">
        <v>294</v>
      </c>
      <c r="C15" s="647" t="s">
        <v>260</v>
      </c>
      <c r="D15" s="647" t="s">
        <v>295</v>
      </c>
      <c r="E15" s="648" t="s">
        <v>290</v>
      </c>
    </row>
    <row r="16" spans="1:8" ht="14.5" thickBot="1" x14ac:dyDescent="0.35">
      <c r="A16" s="657">
        <f>'H-05'!A18</f>
        <v>0.4</v>
      </c>
      <c r="B16" s="650">
        <f>E19</f>
        <v>1</v>
      </c>
      <c r="C16" s="655">
        <f>'H-05'!B12</f>
        <v>0.59499999999999997</v>
      </c>
      <c r="D16" s="655">
        <f>'H-05'!D12</f>
        <v>0.7</v>
      </c>
      <c r="E16" s="651">
        <f>(1/A16)*(B16/C16+(1-B16)/D16)</f>
        <v>4.2016806722689077</v>
      </c>
    </row>
    <row r="17" spans="1:7" ht="14.5" thickBot="1" x14ac:dyDescent="0.35"/>
    <row r="18" spans="1:7" x14ac:dyDescent="0.3">
      <c r="A18" s="646" t="s">
        <v>264</v>
      </c>
      <c r="B18" s="647" t="s">
        <v>266</v>
      </c>
      <c r="C18" s="647" t="s">
        <v>471</v>
      </c>
      <c r="D18" s="647"/>
      <c r="E18" s="648" t="s">
        <v>294</v>
      </c>
    </row>
    <row r="19" spans="1:7" ht="14.5" thickBot="1" x14ac:dyDescent="0.35">
      <c r="A19" s="657">
        <f>'H-05'!B15</f>
        <v>31.222803467430637</v>
      </c>
      <c r="B19" s="650">
        <f>350</f>
        <v>350</v>
      </c>
      <c r="C19" s="650">
        <f>F6</f>
        <v>6419.2</v>
      </c>
      <c r="D19" s="650">
        <f>A19*B19/C19</f>
        <v>1.702389894940292</v>
      </c>
      <c r="E19" s="651">
        <f>IF(D19&lt;0,0,IF(D19&gt;1,1,D19))</f>
        <v>1</v>
      </c>
    </row>
    <row r="21" spans="1:7" ht="14.5" thickBot="1" x14ac:dyDescent="0.35">
      <c r="A21" s="301" t="s">
        <v>400</v>
      </c>
    </row>
    <row r="22" spans="1:7" x14ac:dyDescent="0.3">
      <c r="A22" s="646" t="s">
        <v>289</v>
      </c>
      <c r="B22" s="647" t="s">
        <v>471</v>
      </c>
      <c r="C22" s="647" t="s">
        <v>265</v>
      </c>
      <c r="D22" s="647" t="s">
        <v>297</v>
      </c>
      <c r="E22" s="648" t="s">
        <v>303</v>
      </c>
      <c r="G22" s="662" t="s">
        <v>303</v>
      </c>
    </row>
    <row r="23" spans="1:7" ht="14.5" thickBot="1" x14ac:dyDescent="0.35">
      <c r="A23" s="649">
        <f>E13</f>
        <v>0.47142857142857142</v>
      </c>
      <c r="B23" s="650">
        <f>F6</f>
        <v>6419.2</v>
      </c>
      <c r="C23" s="652">
        <f>'H-05'!H5</f>
        <v>22809.486601894347</v>
      </c>
      <c r="D23" s="655">
        <f>'H-05'!G28</f>
        <v>5.5321100204527698E-2</v>
      </c>
      <c r="E23" s="651">
        <f>D23*(A23*B23)/(C23+(1-A23)*B23)</f>
        <v>6.3891783765543482E-3</v>
      </c>
      <c r="G23" s="666">
        <f>D23*(0*B23)/(C23+(1-0)*B23)</f>
        <v>0</v>
      </c>
    </row>
    <row r="25" spans="1:7" ht="14.5" thickBot="1" x14ac:dyDescent="0.35">
      <c r="A25" s="645" t="s">
        <v>284</v>
      </c>
    </row>
    <row r="26" spans="1:7" x14ac:dyDescent="0.3">
      <c r="A26" s="646" t="s">
        <v>289</v>
      </c>
      <c r="B26" s="647" t="s">
        <v>290</v>
      </c>
      <c r="C26" s="647" t="s">
        <v>291</v>
      </c>
      <c r="D26" s="648" t="s">
        <v>292</v>
      </c>
      <c r="G26" s="662" t="s">
        <v>292</v>
      </c>
    </row>
    <row r="27" spans="1:7" ht="14.5" thickBot="1" x14ac:dyDescent="0.35">
      <c r="A27" s="649">
        <f>E30</f>
        <v>0.47142857142857142</v>
      </c>
      <c r="B27" s="650">
        <f>E33</f>
        <v>2.7777777777777772</v>
      </c>
      <c r="C27" s="655">
        <f>'H-05'!E35</f>
        <v>1.5058797202391254</v>
      </c>
      <c r="D27" s="651">
        <f>A27*B27+(1-A27)*C27</f>
        <v>2.1054888045073472</v>
      </c>
      <c r="G27" s="666">
        <f>0*B27+(1-0)*C27</f>
        <v>1.5058797202391254</v>
      </c>
    </row>
    <row r="28" spans="1:7" ht="14.5" thickBot="1" x14ac:dyDescent="0.35"/>
    <row r="29" spans="1:7" x14ac:dyDescent="0.3">
      <c r="A29" s="646" t="s">
        <v>109</v>
      </c>
      <c r="B29" s="647" t="s">
        <v>266</v>
      </c>
      <c r="C29" s="647" t="s">
        <v>293</v>
      </c>
      <c r="D29" s="647"/>
      <c r="E29" s="648" t="s">
        <v>289</v>
      </c>
    </row>
    <row r="30" spans="1:7" ht="14.5" thickBot="1" x14ac:dyDescent="0.35">
      <c r="A30" s="649">
        <f>185</f>
        <v>185</v>
      </c>
      <c r="B30" s="650">
        <f>350</f>
        <v>350</v>
      </c>
      <c r="C30" s="653">
        <f>D2</f>
        <v>0</v>
      </c>
      <c r="D30" s="650">
        <f>(1-A30/B30-0.8*C30)/(1-C30)</f>
        <v>0.47142857142857142</v>
      </c>
      <c r="E30" s="651">
        <f>IF(H1=1,0,IF(D30&lt;0,0,D30))</f>
        <v>0.47142857142857142</v>
      </c>
    </row>
    <row r="31" spans="1:7" ht="14.5" thickBot="1" x14ac:dyDescent="0.35"/>
    <row r="32" spans="1:7" x14ac:dyDescent="0.3">
      <c r="A32" s="646" t="s">
        <v>267</v>
      </c>
      <c r="B32" s="647" t="s">
        <v>294</v>
      </c>
      <c r="C32" s="647" t="s">
        <v>260</v>
      </c>
      <c r="D32" s="647" t="s">
        <v>295</v>
      </c>
      <c r="E32" s="648" t="s">
        <v>290</v>
      </c>
    </row>
    <row r="33" spans="1:7" ht="14.5" thickBot="1" x14ac:dyDescent="0.35">
      <c r="A33" s="657">
        <f>'H-05'!A41</f>
        <v>0.5</v>
      </c>
      <c r="B33" s="650">
        <f>E36</f>
        <v>1</v>
      </c>
      <c r="C33" s="655">
        <f>'H-05'!B35</f>
        <v>0.72000000000000008</v>
      </c>
      <c r="D33" s="655">
        <f>'H-05'!D35</f>
        <v>0.8</v>
      </c>
      <c r="E33" s="651">
        <f>(1/A33)*(B33/C33+(1-B33)/D33)</f>
        <v>2.7777777777777772</v>
      </c>
    </row>
    <row r="34" spans="1:7" ht="14.5" thickBot="1" x14ac:dyDescent="0.35"/>
    <row r="35" spans="1:7" x14ac:dyDescent="0.3">
      <c r="A35" s="646" t="s">
        <v>264</v>
      </c>
      <c r="B35" s="647" t="s">
        <v>266</v>
      </c>
      <c r="C35" s="647" t="s">
        <v>471</v>
      </c>
      <c r="D35" s="647"/>
      <c r="E35" s="648" t="s">
        <v>294</v>
      </c>
    </row>
    <row r="36" spans="1:7" ht="14.5" thickBot="1" x14ac:dyDescent="0.35">
      <c r="A36" s="657">
        <f>'H-05'!B38</f>
        <v>18.733682080458383</v>
      </c>
      <c r="B36" s="650">
        <f>350</f>
        <v>350</v>
      </c>
      <c r="C36" s="650">
        <f>F6</f>
        <v>6419.2</v>
      </c>
      <c r="D36" s="650">
        <f>A36*B36/C36</f>
        <v>1.0214339369641754</v>
      </c>
      <c r="E36" s="651">
        <f>IF(D36&lt;0,0,IF(D36&gt;1,1,D36))</f>
        <v>1</v>
      </c>
    </row>
    <row r="38" spans="1:7" ht="14.5" thickBot="1" x14ac:dyDescent="0.35">
      <c r="A38" s="301" t="s">
        <v>400</v>
      </c>
    </row>
    <row r="39" spans="1:7" x14ac:dyDescent="0.3">
      <c r="A39" s="646" t="s">
        <v>289</v>
      </c>
      <c r="B39" s="647" t="s">
        <v>471</v>
      </c>
      <c r="C39" s="647" t="s">
        <v>265</v>
      </c>
      <c r="D39" s="647" t="s">
        <v>297</v>
      </c>
      <c r="E39" s="648" t="s">
        <v>303</v>
      </c>
      <c r="G39" s="662" t="s">
        <v>303</v>
      </c>
    </row>
    <row r="40" spans="1:7" ht="14.5" thickBot="1" x14ac:dyDescent="0.35">
      <c r="A40" s="649">
        <f>E30</f>
        <v>0.47142857142857142</v>
      </c>
      <c r="B40" s="650">
        <f>F6</f>
        <v>6419.2</v>
      </c>
      <c r="C40" s="652">
        <f>'H-05'!H5</f>
        <v>22809.486601894347</v>
      </c>
      <c r="D40" s="655">
        <f>'H-05'!G51</f>
        <v>1.5698655053715442</v>
      </c>
      <c r="E40" s="651">
        <f>D40*(A40*B40)/(C40+(1-A40)*B40)</f>
        <v>0.18130786813595451</v>
      </c>
      <c r="G40" s="666">
        <f>D40*(0*B40)/(C40+(1-0)*B40)</f>
        <v>0</v>
      </c>
    </row>
    <row r="42" spans="1:7" ht="14.5" thickBot="1" x14ac:dyDescent="0.35">
      <c r="A42" s="645" t="s">
        <v>285</v>
      </c>
    </row>
    <row r="43" spans="1:7" x14ac:dyDescent="0.3">
      <c r="A43" s="646" t="s">
        <v>289</v>
      </c>
      <c r="B43" s="647" t="s">
        <v>290</v>
      </c>
      <c r="C43" s="647" t="s">
        <v>291</v>
      </c>
      <c r="D43" s="648" t="s">
        <v>292</v>
      </c>
      <c r="G43" s="662" t="s">
        <v>292</v>
      </c>
    </row>
    <row r="44" spans="1:7" ht="14.5" thickBot="1" x14ac:dyDescent="0.35">
      <c r="A44" s="649">
        <f>E47</f>
        <v>0.47142857142857142</v>
      </c>
      <c r="B44" s="650">
        <f>E50</f>
        <v>1.3888888888888886</v>
      </c>
      <c r="C44" s="655">
        <f>'H-05'!E58</f>
        <v>1.3768079336237629</v>
      </c>
      <c r="D44" s="651">
        <f>A44*B44+(1-A44)*C44</f>
        <v>1.3825032411058937</v>
      </c>
      <c r="G44" s="666">
        <f>0*B44+(1-0)*C44</f>
        <v>1.3768079336237629</v>
      </c>
    </row>
    <row r="45" spans="1:7" ht="14.5" thickBot="1" x14ac:dyDescent="0.35"/>
    <row r="46" spans="1:7" x14ac:dyDescent="0.3">
      <c r="A46" s="646" t="s">
        <v>109</v>
      </c>
      <c r="B46" s="647" t="s">
        <v>266</v>
      </c>
      <c r="C46" s="647" t="s">
        <v>293</v>
      </c>
      <c r="D46" s="647"/>
      <c r="E46" s="648" t="s">
        <v>289</v>
      </c>
    </row>
    <row r="47" spans="1:7" ht="14.5" thickBot="1" x14ac:dyDescent="0.35">
      <c r="A47" s="649">
        <f>185</f>
        <v>185</v>
      </c>
      <c r="B47" s="650">
        <f>350</f>
        <v>350</v>
      </c>
      <c r="C47" s="653">
        <f>D2</f>
        <v>0</v>
      </c>
      <c r="D47" s="650">
        <f>(1-A47/B47-0.8*C47)/(1-C47)</f>
        <v>0.47142857142857142</v>
      </c>
      <c r="E47" s="651">
        <f>IF(H1=1,0,IF(D47&lt;0,0,D47))</f>
        <v>0.47142857142857142</v>
      </c>
    </row>
    <row r="48" spans="1:7" ht="14.5" thickBot="1" x14ac:dyDescent="0.35"/>
    <row r="49" spans="1:7" x14ac:dyDescent="0.3">
      <c r="A49" s="646" t="s">
        <v>267</v>
      </c>
      <c r="B49" s="647" t="s">
        <v>294</v>
      </c>
      <c r="C49" s="647" t="s">
        <v>260</v>
      </c>
      <c r="D49" s="647" t="s">
        <v>295</v>
      </c>
      <c r="E49" s="648" t="s">
        <v>290</v>
      </c>
    </row>
    <row r="50" spans="1:7" ht="14.5" thickBot="1" x14ac:dyDescent="0.35">
      <c r="A50" s="657">
        <f>'H-05'!A64</f>
        <v>1</v>
      </c>
      <c r="B50" s="650">
        <f>E53</f>
        <v>1</v>
      </c>
      <c r="C50" s="655">
        <f>'H-05'!B58</f>
        <v>0.72000000000000008</v>
      </c>
      <c r="D50" s="655">
        <f>'H-05'!D58</f>
        <v>0.8</v>
      </c>
      <c r="E50" s="651">
        <f>(1/A50)*(B50/C50+(1-B50)/D50)</f>
        <v>1.3888888888888886</v>
      </c>
    </row>
    <row r="51" spans="1:7" ht="14.5" thickBot="1" x14ac:dyDescent="0.35"/>
    <row r="52" spans="1:7" x14ac:dyDescent="0.3">
      <c r="A52" s="646" t="s">
        <v>264</v>
      </c>
      <c r="B52" s="647" t="s">
        <v>266</v>
      </c>
      <c r="C52" s="647" t="s">
        <v>471</v>
      </c>
      <c r="D52" s="647"/>
      <c r="E52" s="648" t="s">
        <v>294</v>
      </c>
    </row>
    <row r="53" spans="1:7" ht="14.5" thickBot="1" x14ac:dyDescent="0.35">
      <c r="A53" s="657">
        <f>'H-05'!B61</f>
        <v>18.733682080458383</v>
      </c>
      <c r="B53" s="650">
        <f>350</f>
        <v>350</v>
      </c>
      <c r="C53" s="650">
        <f>F6</f>
        <v>6419.2</v>
      </c>
      <c r="D53" s="650">
        <f>A53*B53/C53</f>
        <v>1.0214339369641754</v>
      </c>
      <c r="E53" s="651">
        <f>IF(D53&lt;0,0,IF(D53&gt;1,1,D53))</f>
        <v>1</v>
      </c>
    </row>
    <row r="55" spans="1:7" ht="14.5" thickBot="1" x14ac:dyDescent="0.35">
      <c r="A55" s="301" t="s">
        <v>400</v>
      </c>
    </row>
    <row r="56" spans="1:7" x14ac:dyDescent="0.3">
      <c r="A56" s="646" t="s">
        <v>289</v>
      </c>
      <c r="B56" s="647" t="s">
        <v>471</v>
      </c>
      <c r="C56" s="647" t="s">
        <v>265</v>
      </c>
      <c r="D56" s="647" t="s">
        <v>297</v>
      </c>
      <c r="E56" s="648" t="s">
        <v>303</v>
      </c>
      <c r="G56" s="662" t="s">
        <v>303</v>
      </c>
    </row>
    <row r="57" spans="1:7" ht="14.5" thickBot="1" x14ac:dyDescent="0.35">
      <c r="A57" s="649">
        <f>E47</f>
        <v>0.47142857142857142</v>
      </c>
      <c r="B57" s="650">
        <f>F6</f>
        <v>6419.2</v>
      </c>
      <c r="C57" s="652">
        <f>'H-05'!H5</f>
        <v>22809.486601894347</v>
      </c>
      <c r="D57" s="655">
        <f>'H-05'!G74</f>
        <v>1.6456500339071973</v>
      </c>
      <c r="E57" s="651">
        <f>D57*(A57*B57)/(C57+(1-A57)*B57)</f>
        <v>0.19006042130657516</v>
      </c>
      <c r="G57" s="666">
        <f>D57*(0*B57)/(C57+(1-0)*B57)</f>
        <v>0</v>
      </c>
    </row>
    <row r="58" spans="1:7" ht="14.5" thickBot="1" x14ac:dyDescent="0.35"/>
    <row r="59" spans="1:7" x14ac:dyDescent="0.3">
      <c r="A59" s="646"/>
      <c r="B59" s="647" t="s">
        <v>498</v>
      </c>
      <c r="C59" s="647" t="s">
        <v>499</v>
      </c>
      <c r="D59" s="647" t="s">
        <v>276</v>
      </c>
      <c r="E59" s="647" t="s">
        <v>498</v>
      </c>
      <c r="F59" s="648" t="s">
        <v>499</v>
      </c>
    </row>
    <row r="60" spans="1:7" x14ac:dyDescent="0.3">
      <c r="A60" s="663" t="s">
        <v>304</v>
      </c>
      <c r="B60" s="659">
        <f>D10</f>
        <v>2.9173230616291965</v>
      </c>
      <c r="C60" s="659">
        <f>E23</f>
        <v>6.3891783765543482E-3</v>
      </c>
      <c r="D60" s="659">
        <f>IF(H2=20,1,0)</f>
        <v>0</v>
      </c>
      <c r="E60" s="659"/>
      <c r="F60" s="664"/>
    </row>
    <row r="61" spans="1:7" x14ac:dyDescent="0.3">
      <c r="A61" s="663" t="s">
        <v>305</v>
      </c>
      <c r="B61" s="659">
        <f>D27</f>
        <v>2.1054888045073472</v>
      </c>
      <c r="C61" s="659">
        <f>E40</f>
        <v>0.18130786813595451</v>
      </c>
      <c r="D61" s="659">
        <f>IF(H2=21,1,0)</f>
        <v>0</v>
      </c>
      <c r="E61" s="659"/>
      <c r="F61" s="664"/>
    </row>
    <row r="62" spans="1:7" ht="14.5" thickBot="1" x14ac:dyDescent="0.35">
      <c r="A62" s="649" t="s">
        <v>306</v>
      </c>
      <c r="B62" s="650">
        <f>D44</f>
        <v>1.3825032411058937</v>
      </c>
      <c r="C62" s="650">
        <f>E57</f>
        <v>0.19006042130657516</v>
      </c>
      <c r="D62" s="650">
        <f>IF(H2=22,1,0)</f>
        <v>0</v>
      </c>
      <c r="E62" s="665">
        <f>B60*D60+B61*D61+B62*D62</f>
        <v>0</v>
      </c>
      <c r="F62" s="658">
        <f>C60*D60+C61*D61+C62*D62</f>
        <v>0</v>
      </c>
    </row>
    <row r="63" spans="1:7" ht="14.5" thickBot="1" x14ac:dyDescent="0.35"/>
    <row r="64" spans="1:7" x14ac:dyDescent="0.3">
      <c r="A64" s="646"/>
      <c r="B64" s="647" t="s">
        <v>498</v>
      </c>
      <c r="C64" s="647" t="s">
        <v>499</v>
      </c>
      <c r="D64" s="647" t="s">
        <v>276</v>
      </c>
      <c r="E64" s="647" t="s">
        <v>498</v>
      </c>
      <c r="F64" s="648" t="s">
        <v>499</v>
      </c>
    </row>
    <row r="65" spans="1:6" x14ac:dyDescent="0.3">
      <c r="A65" s="663" t="s">
        <v>304</v>
      </c>
      <c r="B65" s="659">
        <f>G10</f>
        <v>1.7718149224099951</v>
      </c>
      <c r="C65" s="659">
        <f>G23</f>
        <v>0</v>
      </c>
      <c r="D65" s="659">
        <f>IF(H2=20,1,0)</f>
        <v>0</v>
      </c>
      <c r="E65" s="659"/>
      <c r="F65" s="664"/>
    </row>
    <row r="66" spans="1:6" x14ac:dyDescent="0.3">
      <c r="A66" s="663" t="s">
        <v>305</v>
      </c>
      <c r="B66" s="659">
        <f>G27</f>
        <v>1.5058797202391254</v>
      </c>
      <c r="C66" s="659">
        <f>G40</f>
        <v>0</v>
      </c>
      <c r="D66" s="659">
        <f>IF(H2=21,1,0)</f>
        <v>0</v>
      </c>
      <c r="E66" s="659"/>
      <c r="F66" s="664"/>
    </row>
    <row r="67" spans="1:6" ht="14.5" thickBot="1" x14ac:dyDescent="0.35">
      <c r="A67" s="649" t="s">
        <v>306</v>
      </c>
      <c r="B67" s="650">
        <f>G44</f>
        <v>1.3768079336237629</v>
      </c>
      <c r="C67" s="650">
        <f>G57</f>
        <v>0</v>
      </c>
      <c r="D67" s="650">
        <f>IF(H2=22,1,0)</f>
        <v>0</v>
      </c>
      <c r="E67" s="665">
        <f>B65*D65+B66*D66+B67*D67</f>
        <v>0</v>
      </c>
      <c r="F67" s="658">
        <f>C65*D65+C66*D66+C67*D67</f>
        <v>0</v>
      </c>
    </row>
  </sheetData>
  <phoneticPr fontId="0" type="noConversion"/>
  <pageMargins left="0.78740157499999996" right="0.78740157499999996" top="0.984251969" bottom="0.984251969" header="0.4921259845" footer="0.492125984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4"/>
  <dimension ref="A1:K21"/>
  <sheetViews>
    <sheetView showGridLines="0" workbookViewId="0"/>
  </sheetViews>
  <sheetFormatPr baseColWidth="10" defaultColWidth="11" defaultRowHeight="14" x14ac:dyDescent="0.3"/>
  <cols>
    <col min="1" max="1" width="13.33203125" style="258" customWidth="1"/>
    <col min="2" max="2" width="17.33203125" style="258" customWidth="1"/>
    <col min="3" max="3" width="14.83203125" style="258" customWidth="1"/>
    <col min="4" max="16384" width="11" style="258"/>
  </cols>
  <sheetData>
    <row r="1" spans="1:11" ht="14.5" thickBot="1" x14ac:dyDescent="0.35">
      <c r="A1" s="1" t="s">
        <v>367</v>
      </c>
      <c r="D1" s="2" t="s">
        <v>363</v>
      </c>
      <c r="E1" s="260">
        <f>Rechnungen!D14</f>
        <v>320</v>
      </c>
    </row>
    <row r="2" spans="1:11" ht="14.5" thickBot="1" x14ac:dyDescent="0.35"/>
    <row r="3" spans="1:11" x14ac:dyDescent="0.3">
      <c r="A3" s="5" t="s">
        <v>120</v>
      </c>
      <c r="B3" s="340">
        <f>Rechnungen!E400</f>
        <v>0.4</v>
      </c>
    </row>
    <row r="4" spans="1:11" ht="14.5" thickBot="1" x14ac:dyDescent="0.35">
      <c r="A4" s="15" t="s">
        <v>121</v>
      </c>
      <c r="B4" s="341">
        <f>Rechnungen!C429</f>
        <v>0</v>
      </c>
    </row>
    <row r="5" spans="1:11" ht="14.5" thickBot="1" x14ac:dyDescent="0.35">
      <c r="A5" s="15" t="s">
        <v>122</v>
      </c>
      <c r="B5" s="342" t="str">
        <f>Rechnungen!D442</f>
        <v>O</v>
      </c>
      <c r="D5" s="2" t="s">
        <v>112</v>
      </c>
      <c r="E5" s="260">
        <f>'L-03'!E34</f>
        <v>6.84</v>
      </c>
    </row>
    <row r="6" spans="1:11" x14ac:dyDescent="0.3">
      <c r="A6" s="15" t="s">
        <v>123</v>
      </c>
      <c r="B6" s="341">
        <f>Rechnungen!D449</f>
        <v>0</v>
      </c>
    </row>
    <row r="7" spans="1:11" x14ac:dyDescent="0.3">
      <c r="A7" s="15" t="s">
        <v>124</v>
      </c>
      <c r="B7" s="342">
        <f>Rechnungen!H414</f>
        <v>1</v>
      </c>
    </row>
    <row r="8" spans="1:11" ht="14.5" thickBot="1" x14ac:dyDescent="0.35">
      <c r="A8" s="16" t="s">
        <v>125</v>
      </c>
      <c r="B8" s="343" t="str">
        <f>Rechnungen!D436</f>
        <v>O</v>
      </c>
    </row>
    <row r="9" spans="1:11" ht="14.5" thickBot="1" x14ac:dyDescent="0.35"/>
    <row r="10" spans="1:11" x14ac:dyDescent="0.3">
      <c r="A10" s="5" t="s">
        <v>117</v>
      </c>
      <c r="B10" s="6"/>
      <c r="C10" s="6"/>
      <c r="D10" s="7"/>
    </row>
    <row r="11" spans="1:11" x14ac:dyDescent="0.3">
      <c r="A11" s="15"/>
      <c r="B11" s="333" t="s">
        <v>115</v>
      </c>
      <c r="C11" s="334" t="s">
        <v>118</v>
      </c>
      <c r="D11" s="330" t="s">
        <v>119</v>
      </c>
      <c r="E11" s="332"/>
      <c r="F11" s="332"/>
    </row>
    <row r="12" spans="1:11" x14ac:dyDescent="0.3">
      <c r="A12" s="15" t="s">
        <v>113</v>
      </c>
      <c r="B12" s="333">
        <f>IF(B6=45,35,IF(B6=35,29,B13))</f>
        <v>3.3</v>
      </c>
      <c r="C12" s="333">
        <f>IF(B6=45,35,IF(B6=35,29,C13))</f>
        <v>20</v>
      </c>
      <c r="D12" s="330"/>
      <c r="E12" s="332"/>
      <c r="F12" s="332"/>
    </row>
    <row r="13" spans="1:11" x14ac:dyDescent="0.3">
      <c r="A13" s="15" t="s">
        <v>248</v>
      </c>
      <c r="B13" s="333">
        <f>IF(B5="LL",(6+2.5*E5+14*B4),B14)</f>
        <v>3.3</v>
      </c>
      <c r="C13" s="333">
        <f>IF(B5="LL",(6+2.5*E5+14*B4),C14)</f>
        <v>20</v>
      </c>
      <c r="D13" s="330"/>
      <c r="E13" s="332"/>
      <c r="F13" s="332"/>
    </row>
    <row r="14" spans="1:11" ht="14.5" thickBot="1" x14ac:dyDescent="0.35">
      <c r="A14" s="16" t="s">
        <v>114</v>
      </c>
      <c r="B14" s="335">
        <f>(3.3+16.7*B4)</f>
        <v>3.3</v>
      </c>
      <c r="C14" s="335">
        <f>20</f>
        <v>20</v>
      </c>
      <c r="D14" s="331"/>
      <c r="E14" s="332"/>
      <c r="F14" s="332"/>
    </row>
    <row r="15" spans="1:11" ht="14.5" thickBot="1" x14ac:dyDescent="0.35">
      <c r="B15" s="332"/>
      <c r="C15" s="332"/>
      <c r="D15" s="332"/>
      <c r="E15" s="332"/>
      <c r="F15" s="332"/>
    </row>
    <row r="16" spans="1:11" x14ac:dyDescent="0.3">
      <c r="A16" s="5"/>
      <c r="B16" s="6"/>
      <c r="C16" s="336" t="s">
        <v>101</v>
      </c>
      <c r="D16" s="336" t="s">
        <v>105</v>
      </c>
      <c r="E16" s="336" t="s">
        <v>656</v>
      </c>
      <c r="F16" s="336" t="s">
        <v>106</v>
      </c>
      <c r="G16" s="336" t="s">
        <v>107</v>
      </c>
      <c r="H16" s="336" t="s">
        <v>108</v>
      </c>
      <c r="I16" s="336" t="s">
        <v>109</v>
      </c>
      <c r="J16" s="336" t="s">
        <v>652</v>
      </c>
      <c r="K16" s="7" t="s">
        <v>116</v>
      </c>
    </row>
    <row r="17" spans="1:11" x14ac:dyDescent="0.3">
      <c r="A17" s="15" t="s">
        <v>99</v>
      </c>
      <c r="B17" s="9" t="s">
        <v>102</v>
      </c>
      <c r="C17" s="333">
        <f>(10+0.02*E1)</f>
        <v>16.399999999999999</v>
      </c>
      <c r="D17" s="333">
        <f>IF(OR(B7=1,B7=2,B7=3,B7=5),0,1)</f>
        <v>0</v>
      </c>
      <c r="E17" s="333">
        <v>0.45</v>
      </c>
      <c r="F17" s="333">
        <f>IF(B7=4,5,13)</f>
        <v>13</v>
      </c>
      <c r="G17" s="333">
        <f>B12</f>
        <v>3.3</v>
      </c>
      <c r="H17" s="333">
        <v>1</v>
      </c>
      <c r="I17" s="333">
        <v>185</v>
      </c>
      <c r="J17" s="333">
        <v>24</v>
      </c>
      <c r="K17" s="10">
        <f>C17*D17*E17*(G17-F17)*H17*I17*J17/1000</f>
        <v>0</v>
      </c>
    </row>
    <row r="18" spans="1:11" x14ac:dyDescent="0.3">
      <c r="A18" s="15"/>
      <c r="B18" s="9" t="s">
        <v>103</v>
      </c>
      <c r="C18" s="333">
        <f>(10+0.02*E1)</f>
        <v>16.399999999999999</v>
      </c>
      <c r="D18" s="333">
        <f>IF(OR(B7=1,B7=2,B7=3,B7=4,B7=6),0,1)</f>
        <v>0</v>
      </c>
      <c r="E18" s="333">
        <v>0.85</v>
      </c>
      <c r="F18" s="333">
        <v>20</v>
      </c>
      <c r="G18" s="333">
        <f>C12</f>
        <v>20</v>
      </c>
      <c r="H18" s="333">
        <v>0.15</v>
      </c>
      <c r="I18" s="333">
        <v>185</v>
      </c>
      <c r="J18" s="333">
        <v>24</v>
      </c>
      <c r="K18" s="10">
        <f>C18*D18*E18*(G18-F18)*H18*I18*J18/1000</f>
        <v>0</v>
      </c>
    </row>
    <row r="19" spans="1:11" x14ac:dyDescent="0.3">
      <c r="A19" s="15"/>
      <c r="B19" s="9" t="s">
        <v>104</v>
      </c>
      <c r="C19" s="333">
        <f>0.11*E1</f>
        <v>35.200000000000003</v>
      </c>
      <c r="D19" s="333">
        <f>IF(OR(B7=1,B7=2,B7=3),0,1)</f>
        <v>0</v>
      </c>
      <c r="E19" s="333">
        <v>0.85</v>
      </c>
      <c r="F19" s="333">
        <v>20</v>
      </c>
      <c r="G19" s="333">
        <f>C12</f>
        <v>20</v>
      </c>
      <c r="H19" s="333">
        <v>0.15</v>
      </c>
      <c r="I19" s="333">
        <v>185</v>
      </c>
      <c r="J19" s="333">
        <v>24</v>
      </c>
      <c r="K19" s="10">
        <f>C19*D19*E19*(G19-F19)*H19*I19*J19/1000</f>
        <v>0</v>
      </c>
    </row>
    <row r="20" spans="1:11" x14ac:dyDescent="0.3">
      <c r="A20" s="15" t="s">
        <v>100</v>
      </c>
      <c r="B20" s="9" t="s">
        <v>102</v>
      </c>
      <c r="C20" s="333">
        <f>(7.5+0.02*E1)</f>
        <v>13.9</v>
      </c>
      <c r="D20" s="333">
        <f>IF(OR(B7=1,B7=2,B7=3,B7=5),0,1)</f>
        <v>0</v>
      </c>
      <c r="E20" s="333">
        <v>0.45</v>
      </c>
      <c r="F20" s="333">
        <f>IF(B7=4,5,13)</f>
        <v>13</v>
      </c>
      <c r="G20" s="333">
        <v>20</v>
      </c>
      <c r="H20" s="333">
        <v>1</v>
      </c>
      <c r="I20" s="333">
        <v>185</v>
      </c>
      <c r="J20" s="333">
        <v>24</v>
      </c>
      <c r="K20" s="10">
        <f>C20*D20*E20*(G20-F20)*H20*I20*J20/1000</f>
        <v>0</v>
      </c>
    </row>
    <row r="21" spans="1:11" ht="14.5" thickBot="1" x14ac:dyDescent="0.35">
      <c r="A21" s="16"/>
      <c r="B21" s="12"/>
      <c r="C21" s="12"/>
      <c r="D21" s="12"/>
      <c r="E21" s="12"/>
      <c r="F21" s="12"/>
      <c r="G21" s="12"/>
      <c r="H21" s="12"/>
      <c r="I21" s="12"/>
      <c r="J21" s="12"/>
      <c r="K21" s="344">
        <f>(ABS(K17)+ABS(K18)+ABS(K19)+ABS(K20))/E1</f>
        <v>0</v>
      </c>
    </row>
  </sheetData>
  <customSheetViews>
    <customSheetView guid="{AB7935E0-18C1-11D5-A405-00409522490A}" state="hidden" showRuler="0">
      <selection sqref="A1:IV65536"/>
      <pageMargins left="0.78740157499999996" right="0.78740157499999996" top="0.984251969" bottom="0.984251969" header="0.4921259845" footer="0.4921259845"/>
      <pageSetup paperSize="9" orientation="portrait" horizontalDpi="300" verticalDpi="300" r:id="rId1"/>
      <headerFooter alignWithMargins="0"/>
    </customSheetView>
    <customSheetView guid="{586D4F31-1FA3-11D6-B431-009027A4C716}" showGridLines="0" state="hidden" showRuler="0">
      <pageMargins left="0.78740157499999996" right="0.78740157499999996" top="0.984251969" bottom="0.984251969" header="0.4921259845" footer="0.4921259845"/>
      <pageSetup paperSize="9" orientation="portrait" horizontalDpi="300" verticalDpi="300" r:id="rId2"/>
      <headerFooter alignWithMargins="0"/>
    </customSheetView>
  </customSheetViews>
  <phoneticPr fontId="0" type="noConversion"/>
  <pageMargins left="0.78740157499999996" right="0.78740157499999996" top="0.984251969" bottom="0.984251969" header="0.4921259845" footer="0.4921259845"/>
  <pageSetup paperSize="9" orientation="portrait" horizontalDpi="300" verticalDpi="300"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5"/>
  <dimension ref="A1:G12"/>
  <sheetViews>
    <sheetView showGridLines="0" workbookViewId="0"/>
  </sheetViews>
  <sheetFormatPr baseColWidth="10" defaultColWidth="11" defaultRowHeight="14" x14ac:dyDescent="0.3"/>
  <cols>
    <col min="1" max="1" width="15.33203125" style="258" customWidth="1"/>
    <col min="2" max="16384" width="11" style="258"/>
  </cols>
  <sheetData>
    <row r="1" spans="1:7" ht="14.5" thickBot="1" x14ac:dyDescent="0.35">
      <c r="A1" s="14" t="s">
        <v>128</v>
      </c>
      <c r="D1" s="2" t="s">
        <v>363</v>
      </c>
      <c r="E1" s="260">
        <f>Rechnungen!D14</f>
        <v>320</v>
      </c>
    </row>
    <row r="2" spans="1:7" ht="14.5" thickBot="1" x14ac:dyDescent="0.35"/>
    <row r="3" spans="1:7" x14ac:dyDescent="0.3">
      <c r="A3" s="337" t="str">
        <f>'L-01'!A3</f>
        <v>n in h-1</v>
      </c>
      <c r="B3" s="345">
        <f>'L-01'!B3</f>
        <v>0.4</v>
      </c>
    </row>
    <row r="4" spans="1:7" x14ac:dyDescent="0.3">
      <c r="A4" s="338" t="str">
        <f>'L-01'!A4</f>
        <v>eta WRG</v>
      </c>
      <c r="B4" s="342">
        <f>'L-01'!B4</f>
        <v>0</v>
      </c>
    </row>
    <row r="5" spans="1:7" x14ac:dyDescent="0.3">
      <c r="A5" s="338" t="str">
        <f>'L-01'!A5</f>
        <v>WP-Art</v>
      </c>
      <c r="B5" s="342" t="str">
        <f>'L-01'!B5</f>
        <v>O</v>
      </c>
    </row>
    <row r="6" spans="1:7" x14ac:dyDescent="0.3">
      <c r="A6" s="338" t="str">
        <f>'L-01'!A6</f>
        <v>teta HR</v>
      </c>
      <c r="B6" s="342">
        <f>'L-01'!B6</f>
        <v>0</v>
      </c>
    </row>
    <row r="7" spans="1:7" x14ac:dyDescent="0.3">
      <c r="A7" s="338" t="str">
        <f>'L-01'!A7</f>
        <v>Verteilungsart</v>
      </c>
      <c r="B7" s="342">
        <f>'L-01'!B7</f>
        <v>1</v>
      </c>
    </row>
    <row r="8" spans="1:7" ht="14.5" thickBot="1" x14ac:dyDescent="0.35">
      <c r="A8" s="339" t="str">
        <f>'L-01'!A8</f>
        <v>Ventilatorart</v>
      </c>
      <c r="B8" s="343" t="str">
        <f>'L-01'!B8</f>
        <v>O</v>
      </c>
    </row>
    <row r="10" spans="1:7" ht="14.5" thickBot="1" x14ac:dyDescent="0.35"/>
    <row r="11" spans="1:7" x14ac:dyDescent="0.3">
      <c r="A11" s="5" t="s">
        <v>129</v>
      </c>
      <c r="B11" s="6" t="s">
        <v>130</v>
      </c>
      <c r="C11" s="6" t="s">
        <v>133</v>
      </c>
      <c r="D11" s="6" t="s">
        <v>132</v>
      </c>
      <c r="E11" s="6" t="s">
        <v>131</v>
      </c>
      <c r="F11" s="6" t="s">
        <v>579</v>
      </c>
      <c r="G11" s="7" t="s">
        <v>134</v>
      </c>
    </row>
    <row r="12" spans="1:7" ht="14.5" thickBot="1" x14ac:dyDescent="0.35">
      <c r="A12" s="16">
        <v>0.34</v>
      </c>
      <c r="B12" s="12">
        <v>2.5</v>
      </c>
      <c r="C12" s="12">
        <f>IF(B4=0,0,IF(B4=0.6,0.95,IF(B4=0.8,0.91)))</f>
        <v>0</v>
      </c>
      <c r="D12" s="12">
        <f>B4</f>
        <v>0</v>
      </c>
      <c r="E12" s="12">
        <v>69.599999999999994</v>
      </c>
      <c r="F12" s="12">
        <f>B3</f>
        <v>0.4</v>
      </c>
      <c r="G12" s="344">
        <f>A12*B12*C12*D12*E12*F12</f>
        <v>0</v>
      </c>
    </row>
  </sheetData>
  <customSheetViews>
    <customSheetView guid="{AB7935E0-18C1-11D5-A405-00409522490A}" state="hidden" showRuler="0">
      <selection sqref="A1:IV65536"/>
      <pageMargins left="0.78740157499999996" right="0.78740157499999996" top="0.984251969" bottom="0.984251969" header="0.4921259845" footer="0.4921259845"/>
      <headerFooter alignWithMargins="0"/>
    </customSheetView>
    <customSheetView guid="{586D4F31-1FA3-11D6-B431-009027A4C716}" showGridLines="0" state="hidden" showRuler="0">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3">
    <pageSetUpPr fitToPage="1"/>
  </sheetPr>
  <dimension ref="B1:K30"/>
  <sheetViews>
    <sheetView showGridLines="0" topLeftCell="A2" zoomScaleNormal="100" workbookViewId="0">
      <selection activeCell="A2" sqref="A2"/>
    </sheetView>
  </sheetViews>
  <sheetFormatPr baseColWidth="10" defaultColWidth="0" defaultRowHeight="14" x14ac:dyDescent="0.3"/>
  <cols>
    <col min="1" max="1" width="5.08203125" style="489" customWidth="1"/>
    <col min="2" max="11" width="11" style="489" customWidth="1"/>
    <col min="12" max="12" width="5.08203125" style="489" customWidth="1"/>
    <col min="13" max="16384" width="0" style="489" hidden="1"/>
  </cols>
  <sheetData>
    <row r="1" spans="2:11" hidden="1" x14ac:dyDescent="0.3"/>
    <row r="2" spans="2:11" ht="25" x14ac:dyDescent="0.5">
      <c r="B2" s="490" t="s">
        <v>315</v>
      </c>
    </row>
    <row r="4" spans="2:11" x14ac:dyDescent="0.3">
      <c r="B4" s="1297" t="s">
        <v>1219</v>
      </c>
      <c r="C4" s="1298"/>
      <c r="D4" s="1298"/>
      <c r="E4" s="1299"/>
    </row>
    <row r="5" spans="2:11" x14ac:dyDescent="0.3">
      <c r="B5" s="1300" t="s">
        <v>1220</v>
      </c>
      <c r="C5" s="1301"/>
      <c r="D5" s="1301"/>
      <c r="E5" s="1301"/>
      <c r="F5" s="1301"/>
      <c r="G5" s="1301"/>
      <c r="H5" s="1302"/>
    </row>
    <row r="7" spans="2:11" x14ac:dyDescent="0.3">
      <c r="I7" s="1303" t="s">
        <v>1221</v>
      </c>
    </row>
    <row r="8" spans="2:11" x14ac:dyDescent="0.3">
      <c r="B8" s="489" t="s">
        <v>1223</v>
      </c>
      <c r="D8" s="489" t="s">
        <v>1224</v>
      </c>
      <c r="F8" s="489" t="s">
        <v>1222</v>
      </c>
    </row>
    <row r="11" spans="2:11" s="1296" customFormat="1" ht="5.25" customHeight="1" x14ac:dyDescent="0.3"/>
    <row r="12" spans="2:11" ht="14.25" customHeight="1" x14ac:dyDescent="0.3">
      <c r="B12" s="1445"/>
      <c r="C12" s="1445"/>
      <c r="D12" s="1445"/>
      <c r="E12" s="1445"/>
      <c r="F12" s="1445"/>
      <c r="G12" s="1445"/>
      <c r="H12" s="1445"/>
      <c r="I12" s="1445"/>
      <c r="J12" s="1445"/>
      <c r="K12" s="1445"/>
    </row>
    <row r="13" spans="2:11" ht="14.25" customHeight="1" x14ac:dyDescent="0.3">
      <c r="B13" s="1445"/>
      <c r="C13" s="1445"/>
      <c r="D13" s="1445"/>
      <c r="E13" s="1445"/>
      <c r="F13" s="1445"/>
      <c r="G13" s="1445"/>
      <c r="H13" s="1445"/>
      <c r="I13" s="1445"/>
      <c r="J13" s="1445"/>
      <c r="K13" s="1445"/>
    </row>
    <row r="14" spans="2:11" ht="18.75" hidden="1" customHeight="1" x14ac:dyDescent="0.3"/>
    <row r="15" spans="2:11" s="1333" customFormat="1" ht="24.75" customHeight="1" x14ac:dyDescent="0.3"/>
    <row r="16" spans="2:11" s="1333" customFormat="1" ht="24.75" customHeight="1" x14ac:dyDescent="0.3"/>
    <row r="17" s="1333" customFormat="1" ht="24.75" customHeight="1" x14ac:dyDescent="0.3"/>
    <row r="18" s="1333" customFormat="1" ht="24.75" customHeight="1" x14ac:dyDescent="0.3"/>
    <row r="19" s="1333" customFormat="1" ht="24.75" customHeight="1" x14ac:dyDescent="0.3"/>
    <row r="20" s="1333" customFormat="1" ht="24.75" customHeight="1" x14ac:dyDescent="0.3"/>
    <row r="21" s="1333" customFormat="1" ht="24.75" customHeight="1" x14ac:dyDescent="0.3"/>
    <row r="22" s="1333" customFormat="1" ht="24.75" customHeight="1" x14ac:dyDescent="0.3"/>
    <row r="23" s="1333" customFormat="1" ht="24.75" customHeight="1" x14ac:dyDescent="0.3"/>
    <row r="24" s="1333" customFormat="1" ht="24.75" customHeight="1" x14ac:dyDescent="0.3"/>
    <row r="25" s="1333" customFormat="1" ht="24.75" customHeight="1" x14ac:dyDescent="0.3"/>
    <row r="26" s="1333" customFormat="1" ht="24.75" customHeight="1" x14ac:dyDescent="0.3"/>
    <row r="27" ht="24.75" customHeight="1" x14ac:dyDescent="0.3"/>
    <row r="28" ht="18.75" hidden="1" customHeight="1" x14ac:dyDescent="0.3"/>
    <row r="29" ht="18.75" hidden="1" customHeight="1" x14ac:dyDescent="0.3"/>
    <row r="30" hidden="1" x14ac:dyDescent="0.3"/>
  </sheetData>
  <sheetProtection algorithmName="SHA-512" hashValue="quRBRXOS4f82ChK12wc2aQuwDWLlnnEo8mI+XDOdrDOLJ9gvOH2aSeuUUIxqjtPiqANtlK0FgghY6Fhhe3w1qA==" saltValue="C+STjfA7gHoaBf72pJP8+Q==" spinCount="100000" sheet="1" objects="1" scenarios="1"/>
  <phoneticPr fontId="0" type="noConversion"/>
  <pageMargins left="0.78740157480314965" right="0.78740157480314965" top="0.98425196850393704" bottom="0.98425196850393704" header="0.51181102362204722" footer="0.51181102362204722"/>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211" r:id="rId4" name="Drop Down 3">
              <controlPr defaultSize="0" autoLine="0" autoPict="0">
                <anchor moveWithCells="1">
                  <from>
                    <xdr:col>1</xdr:col>
                    <xdr:colOff>12700</xdr:colOff>
                    <xdr:row>5</xdr:row>
                    <xdr:rowOff>127000</xdr:rowOff>
                  </from>
                  <to>
                    <xdr:col>2</xdr:col>
                    <xdr:colOff>622300</xdr:colOff>
                    <xdr:row>6</xdr:row>
                    <xdr:rowOff>146050</xdr:rowOff>
                  </to>
                </anchor>
              </controlPr>
            </control>
          </mc:Choice>
        </mc:AlternateContent>
        <mc:AlternateContent xmlns:mc="http://schemas.openxmlformats.org/markup-compatibility/2006">
          <mc:Choice Requires="x14">
            <control shapeId="94212" r:id="rId5" name="Check Box 4">
              <controlPr defaultSize="0" autoFill="0" autoLine="0" autoPict="0">
                <anchor moveWithCells="1">
                  <from>
                    <xdr:col>3</xdr:col>
                    <xdr:colOff>508000</xdr:colOff>
                    <xdr:row>5</xdr:row>
                    <xdr:rowOff>114300</xdr:rowOff>
                  </from>
                  <to>
                    <xdr:col>3</xdr:col>
                    <xdr:colOff>812800</xdr:colOff>
                    <xdr:row>6</xdr:row>
                    <xdr:rowOff>152400</xdr:rowOff>
                  </to>
                </anchor>
              </controlPr>
            </control>
          </mc:Choice>
        </mc:AlternateContent>
        <mc:AlternateContent xmlns:mc="http://schemas.openxmlformats.org/markup-compatibility/2006">
          <mc:Choice Requires="x14">
            <control shapeId="94213" r:id="rId6" name="Option Button 5">
              <controlPr defaultSize="0" autoFill="0" autoLine="0" autoPict="0">
                <anchor moveWithCells="1">
                  <from>
                    <xdr:col>4</xdr:col>
                    <xdr:colOff>819150</xdr:colOff>
                    <xdr:row>5</xdr:row>
                    <xdr:rowOff>152400</xdr:rowOff>
                  </from>
                  <to>
                    <xdr:col>5</xdr:col>
                    <xdr:colOff>812800</xdr:colOff>
                    <xdr:row>7</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6"/>
  <dimension ref="A1:O45"/>
  <sheetViews>
    <sheetView workbookViewId="0"/>
  </sheetViews>
  <sheetFormatPr baseColWidth="10" defaultColWidth="11" defaultRowHeight="14" x14ac:dyDescent="0.3"/>
  <cols>
    <col min="1" max="16384" width="11" style="258"/>
  </cols>
  <sheetData>
    <row r="1" spans="1:15" ht="14.5" thickBot="1" x14ac:dyDescent="0.35">
      <c r="A1" s="14" t="s">
        <v>127</v>
      </c>
      <c r="E1" s="2" t="s">
        <v>363</v>
      </c>
      <c r="F1" s="260">
        <f>Rechnungen!D14</f>
        <v>320</v>
      </c>
    </row>
    <row r="2" spans="1:15" ht="14.5" thickBot="1" x14ac:dyDescent="0.35"/>
    <row r="3" spans="1:15" ht="14.5" thickBot="1" x14ac:dyDescent="0.35">
      <c r="A3" s="337" t="str">
        <f>'L-01'!A3</f>
        <v>n in h-1</v>
      </c>
      <c r="B3" s="345">
        <f>'L-01'!B3</f>
        <v>0.4</v>
      </c>
      <c r="E3" s="698">
        <f>Rechnungen!F330</f>
        <v>1</v>
      </c>
      <c r="F3" s="705" t="str">
        <f>IF(OR(E3=17,E3=18,E3=19,E3=20,E3=21),"mit TW","ohne TW")</f>
        <v>ohne TW</v>
      </c>
    </row>
    <row r="4" spans="1:15" x14ac:dyDescent="0.3">
      <c r="A4" s="338" t="str">
        <f>'L-01'!A4</f>
        <v>eta WRG</v>
      </c>
      <c r="B4" s="342">
        <f>'L-01'!B4</f>
        <v>0</v>
      </c>
    </row>
    <row r="5" spans="1:15" x14ac:dyDescent="0.3">
      <c r="A5" s="338" t="str">
        <f>'L-01'!A5</f>
        <v>WP-Art</v>
      </c>
      <c r="B5" s="342" t="str">
        <f>'L-01'!B5</f>
        <v>O</v>
      </c>
    </row>
    <row r="6" spans="1:15" ht="14.5" thickBot="1" x14ac:dyDescent="0.35">
      <c r="A6" s="338" t="str">
        <f>'L-01'!A6</f>
        <v>teta HR</v>
      </c>
      <c r="B6" s="342">
        <f>'L-01'!B6</f>
        <v>0</v>
      </c>
    </row>
    <row r="7" spans="1:15" x14ac:dyDescent="0.3">
      <c r="A7" s="338" t="str">
        <f>'L-01'!A7</f>
        <v>Verteilungsart</v>
      </c>
      <c r="B7" s="342">
        <f>'L-01'!B7</f>
        <v>1</v>
      </c>
      <c r="E7" s="5" t="s">
        <v>364</v>
      </c>
      <c r="F7" s="948">
        <f>Rechnungen!H3</f>
        <v>63.749645630919829</v>
      </c>
      <c r="G7" s="258" t="s">
        <v>1094</v>
      </c>
    </row>
    <row r="8" spans="1:15" ht="14.5" thickBot="1" x14ac:dyDescent="0.35">
      <c r="A8" s="339" t="str">
        <f>'L-01'!A8</f>
        <v>Ventilatorart</v>
      </c>
      <c r="B8" s="343" t="str">
        <f>'L-01'!B8</f>
        <v>O</v>
      </c>
      <c r="E8" s="15" t="s">
        <v>159</v>
      </c>
      <c r="F8" s="352">
        <f>Rechnungen!C400</f>
        <v>0</v>
      </c>
    </row>
    <row r="9" spans="1:15" ht="14.5" thickBot="1" x14ac:dyDescent="0.35">
      <c r="E9" s="16" t="s">
        <v>134</v>
      </c>
      <c r="F9" s="353">
        <f>'L-02'!G12</f>
        <v>0</v>
      </c>
    </row>
    <row r="10" spans="1:15" ht="14.5" thickBot="1" x14ac:dyDescent="0.35"/>
    <row r="11" spans="1:15" x14ac:dyDescent="0.3">
      <c r="A11" s="20" t="s">
        <v>153</v>
      </c>
      <c r="B11" s="6"/>
      <c r="C11" s="6"/>
      <c r="D11" s="6"/>
      <c r="E11" s="6"/>
      <c r="F11" s="6"/>
      <c r="G11" s="6"/>
      <c r="H11" s="6"/>
      <c r="I11" s="7"/>
      <c r="J11" s="5" t="s">
        <v>163</v>
      </c>
      <c r="K11" s="6"/>
      <c r="L11" s="7"/>
      <c r="M11" s="6" t="s">
        <v>164</v>
      </c>
      <c r="N11" s="6"/>
      <c r="O11" s="7"/>
    </row>
    <row r="12" spans="1:15" x14ac:dyDescent="0.3">
      <c r="A12" s="17"/>
      <c r="B12" s="9"/>
      <c r="C12" s="9"/>
      <c r="D12" s="9"/>
      <c r="E12" s="9"/>
      <c r="F12" s="9"/>
      <c r="G12" s="9"/>
      <c r="H12" s="9"/>
      <c r="I12" s="10"/>
      <c r="J12" s="338" t="s">
        <v>162</v>
      </c>
      <c r="K12" s="333" t="s">
        <v>160</v>
      </c>
      <c r="L12" s="330" t="s">
        <v>161</v>
      </c>
      <c r="M12" s="333" t="s">
        <v>162</v>
      </c>
      <c r="N12" s="333" t="s">
        <v>160</v>
      </c>
      <c r="O12" s="330" t="s">
        <v>161</v>
      </c>
    </row>
    <row r="13" spans="1:15" ht="14.5" thickBot="1" x14ac:dyDescent="0.35">
      <c r="A13" s="347" t="s">
        <v>158</v>
      </c>
      <c r="B13" s="335">
        <v>80</v>
      </c>
      <c r="C13" s="335">
        <v>70</v>
      </c>
      <c r="D13" s="335">
        <v>60</v>
      </c>
      <c r="E13" s="335">
        <v>50</v>
      </c>
      <c r="F13" s="335">
        <v>40</v>
      </c>
      <c r="G13" s="335">
        <v>30</v>
      </c>
      <c r="H13" s="335">
        <v>20</v>
      </c>
      <c r="I13" s="331">
        <v>15</v>
      </c>
      <c r="J13" s="338">
        <f>F7+F8-F9</f>
        <v>63.749645630919829</v>
      </c>
      <c r="K13" s="333">
        <f>IF($J$13&lt;$H$13,I13,IF($J$13&lt;=$G$13,H13,IF($J$13&lt;=$F$13,G13,IF($J$13&lt;=$E$13,F13,IF($J$13&lt;=$D$13,E13,IF($J$13&lt;=$C$13,D13,IF($J$13&lt;=$B$13,C13,IF($J$13&lt;=$B$13,B13,C13))))))))</f>
        <v>60</v>
      </c>
      <c r="L13" s="330">
        <f>IF($J$13&gt;=$B$13,B13,IF($J$13&gt;=$C$13,B13,IF($J$13&gt;=$D$13,C13,IF($J$13&gt;=$E$13,D13,IF($J$13&gt;=$F$13,E13,IF($J$13&gt;=$G$13,F13,IF($J$13&gt;=$H$13,G13,IF($J$13&gt;=$I$13,H13,H13))))))))</f>
        <v>70</v>
      </c>
      <c r="M13" s="333">
        <f>C26</f>
        <v>0.18689512478849243</v>
      </c>
      <c r="N13" s="333">
        <f>IF(M13&lt;=A21,A22,IF(M13&lt;=A20,A21,IF(M13&lt;=A19,A20,IF(M13&lt;=A18,A19,IF(M13&lt;=A17,A18,IF(M13&lt;=A16,A17,IF(M13&lt;=A15,A16,IF(M13&lt;=A14,A15,A15))))))))</f>
        <v>0.2</v>
      </c>
      <c r="O13" s="330">
        <f>IF(M13&gt;=A15,A14,IF(M13&gt;=A16,A15,IF(M13&gt;=A17,A16,IF(M13&gt;=A18,A17,IF(M13&gt;=A19,A18,IF(M13&gt;=A20,A19,IF(M13&gt;=A21,A20,IF(M13&gt;=A22,A21,A21))))))))</f>
        <v>0.3</v>
      </c>
    </row>
    <row r="14" spans="1:15" ht="14.5" thickBot="1" x14ac:dyDescent="0.35">
      <c r="A14" s="346">
        <v>1</v>
      </c>
      <c r="B14" s="333">
        <v>1796</v>
      </c>
      <c r="C14" s="333">
        <v>1767</v>
      </c>
      <c r="D14" s="333">
        <v>1728</v>
      </c>
      <c r="E14" s="333">
        <v>1687</v>
      </c>
      <c r="F14" s="333">
        <v>1639</v>
      </c>
      <c r="G14" s="333">
        <v>1585</v>
      </c>
      <c r="H14" s="333">
        <v>1516</v>
      </c>
      <c r="I14" s="333">
        <v>1456</v>
      </c>
      <c r="J14" s="338">
        <f t="shared" ref="J14:J22" si="0">IF(K13=L13,K14,(L14-($L$13-$J$13)*(L14-K14)/($L$13-$K$13)))</f>
        <v>1742.6236179605874</v>
      </c>
      <c r="K14" s="333">
        <f t="shared" ref="K14:K22" si="1">IF($J$13&lt;$H$13,I14,IF($J$13&lt;=$G$13,H14,IF($J$13&lt;=$F$13,G14,IF($J$13&lt;=$E$13,F14,IF($J$13&lt;=$D$13,E14,IF($J$13&lt;=$C$13,D14,IF($J$13&lt;=$B$13,C14,IF($J$13&lt;=$B$13,B14,C14))))))))</f>
        <v>1728</v>
      </c>
      <c r="L14" s="330">
        <f t="shared" ref="L14:L22" si="2">IF($J$13&gt;=$B$13,B14,IF($J$13&gt;=$C$13,B14,IF($J$13&gt;=$D$13,C14,IF($J$13&gt;=$E$13,D14,IF($J$13&gt;=$F$13,E14,IF($J$13&gt;=$G$13,F14,IF($J$13&gt;=$H$13,G14,IF($J$13&gt;=$I$13,H14,H14))))))))</f>
        <v>1767</v>
      </c>
      <c r="M14" s="628">
        <f>IF(M17&gt;4440,4440,M17)</f>
        <v>4440</v>
      </c>
      <c r="N14" s="333">
        <f>IF(M13&lt;=A21,J22,IF(M13&lt;=A20,J21,IF(M13&lt;=A19,J20,IF(M13&lt;=A18,J19,IF(M13&lt;=A17,J18,IF(M13&lt;=A16,J17,IF(M13&lt;=A15,J16,IF(M13&lt;=A14,J15,J15))))))))</f>
        <v>4940.493621356557</v>
      </c>
      <c r="O14" s="330">
        <f>IF(M13&gt;=A15,J14,IF(M13&gt;=A16,J15,IF(M13&gt;=A17,J16,IF(M13&gt;=A18,J17,IF(M13&gt;=A19,J18,IF(M13&gt;=A20,J19,IF(M13&gt;=A21,J20,IF(M13&gt;=A22,J21,J21))))))))</f>
        <v>4439.2452514543256</v>
      </c>
    </row>
    <row r="15" spans="1:15" x14ac:dyDescent="0.3">
      <c r="A15" s="346">
        <v>0.9</v>
      </c>
      <c r="B15" s="333">
        <v>2083</v>
      </c>
      <c r="C15" s="333">
        <v>2050</v>
      </c>
      <c r="D15" s="333">
        <v>1987</v>
      </c>
      <c r="E15" s="333">
        <v>1923</v>
      </c>
      <c r="F15" s="333">
        <v>1844</v>
      </c>
      <c r="G15" s="333">
        <v>1775</v>
      </c>
      <c r="H15" s="333">
        <v>1690</v>
      </c>
      <c r="I15" s="333">
        <v>1602</v>
      </c>
      <c r="J15" s="338">
        <f t="shared" si="0"/>
        <v>2010.622767474795</v>
      </c>
      <c r="K15" s="333">
        <f t="shared" si="1"/>
        <v>1987</v>
      </c>
      <c r="L15" s="330">
        <f t="shared" si="2"/>
        <v>2050</v>
      </c>
      <c r="M15" s="629"/>
      <c r="N15" s="9"/>
      <c r="O15" s="10"/>
    </row>
    <row r="16" spans="1:15" x14ac:dyDescent="0.3">
      <c r="A16" s="346">
        <v>0.8</v>
      </c>
      <c r="B16" s="333">
        <v>2353</v>
      </c>
      <c r="C16" s="333">
        <v>2297</v>
      </c>
      <c r="D16" s="333">
        <v>2229</v>
      </c>
      <c r="E16" s="333">
        <v>2159</v>
      </c>
      <c r="F16" s="333">
        <v>2082</v>
      </c>
      <c r="G16" s="333">
        <v>1997</v>
      </c>
      <c r="H16" s="333">
        <v>1910</v>
      </c>
      <c r="I16" s="333">
        <v>1835</v>
      </c>
      <c r="J16" s="338">
        <f t="shared" si="0"/>
        <v>2254.4975902902547</v>
      </c>
      <c r="K16" s="333">
        <f t="shared" si="1"/>
        <v>2229</v>
      </c>
      <c r="L16" s="330">
        <f t="shared" si="2"/>
        <v>2297</v>
      </c>
      <c r="M16" s="9" t="s">
        <v>349</v>
      </c>
      <c r="N16" s="9"/>
      <c r="O16" s="10"/>
    </row>
    <row r="17" spans="1:15" x14ac:dyDescent="0.3">
      <c r="A17" s="346">
        <v>0.7</v>
      </c>
      <c r="B17" s="333">
        <v>2658</v>
      </c>
      <c r="C17" s="333">
        <v>2598</v>
      </c>
      <c r="D17" s="333">
        <v>2523</v>
      </c>
      <c r="E17" s="333">
        <v>2446</v>
      </c>
      <c r="F17" s="333">
        <v>2360</v>
      </c>
      <c r="G17" s="333">
        <v>2267</v>
      </c>
      <c r="H17" s="333">
        <v>2160</v>
      </c>
      <c r="I17" s="333">
        <v>2075</v>
      </c>
      <c r="J17" s="338">
        <f t="shared" si="0"/>
        <v>2551.1223422318985</v>
      </c>
      <c r="K17" s="333">
        <f t="shared" si="1"/>
        <v>2523</v>
      </c>
      <c r="L17" s="330">
        <f t="shared" si="2"/>
        <v>2598</v>
      </c>
      <c r="M17" s="9">
        <f>IF(N13=O13,N14,O14-(O13-M13)*(O14-N14)/(O13-N13))</f>
        <v>5006.1815947319601</v>
      </c>
      <c r="N17" s="9"/>
      <c r="O17" s="10"/>
    </row>
    <row r="18" spans="1:15" x14ac:dyDescent="0.3">
      <c r="A18" s="346">
        <v>0.6</v>
      </c>
      <c r="B18" s="333">
        <v>3071</v>
      </c>
      <c r="C18" s="333">
        <v>3004</v>
      </c>
      <c r="D18" s="333">
        <v>2920</v>
      </c>
      <c r="E18" s="333">
        <v>2817</v>
      </c>
      <c r="F18" s="333">
        <v>2721</v>
      </c>
      <c r="G18" s="333">
        <v>2615</v>
      </c>
      <c r="H18" s="333">
        <v>2486</v>
      </c>
      <c r="I18" s="333">
        <v>2402</v>
      </c>
      <c r="J18" s="338">
        <f t="shared" si="0"/>
        <v>2951.4970232997266</v>
      </c>
      <c r="K18" s="333">
        <f t="shared" si="1"/>
        <v>2920</v>
      </c>
      <c r="L18" s="330">
        <f t="shared" si="2"/>
        <v>3004</v>
      </c>
      <c r="M18" s="9"/>
      <c r="N18" s="9"/>
      <c r="O18" s="10"/>
    </row>
    <row r="19" spans="1:15" x14ac:dyDescent="0.3">
      <c r="A19" s="346">
        <v>0.5</v>
      </c>
      <c r="B19" s="333">
        <v>3520</v>
      </c>
      <c r="C19" s="333">
        <v>3463</v>
      </c>
      <c r="D19" s="333">
        <v>3370</v>
      </c>
      <c r="E19" s="333">
        <v>3256</v>
      </c>
      <c r="F19" s="333">
        <v>3130</v>
      </c>
      <c r="G19" s="333">
        <v>2996</v>
      </c>
      <c r="H19" s="333">
        <v>2850</v>
      </c>
      <c r="I19" s="333">
        <v>2737</v>
      </c>
      <c r="J19" s="338">
        <f t="shared" si="0"/>
        <v>3404.8717043675542</v>
      </c>
      <c r="K19" s="333">
        <f t="shared" si="1"/>
        <v>3370</v>
      </c>
      <c r="L19" s="330">
        <f t="shared" si="2"/>
        <v>3463</v>
      </c>
      <c r="M19" s="9"/>
      <c r="N19" s="9"/>
      <c r="O19" s="10"/>
    </row>
    <row r="20" spans="1:15" x14ac:dyDescent="0.3">
      <c r="A20" s="346">
        <v>0.4</v>
      </c>
      <c r="B20" s="333">
        <v>4077</v>
      </c>
      <c r="C20" s="333">
        <v>3993</v>
      </c>
      <c r="D20" s="333">
        <v>3871</v>
      </c>
      <c r="E20" s="333">
        <v>3745</v>
      </c>
      <c r="F20" s="333">
        <v>3606</v>
      </c>
      <c r="G20" s="333">
        <v>3455</v>
      </c>
      <c r="H20" s="333">
        <v>3259</v>
      </c>
      <c r="I20" s="333">
        <v>3101</v>
      </c>
      <c r="J20" s="338">
        <f t="shared" si="0"/>
        <v>3916.7456766972218</v>
      </c>
      <c r="K20" s="333">
        <f t="shared" si="1"/>
        <v>3871</v>
      </c>
      <c r="L20" s="330">
        <f t="shared" si="2"/>
        <v>3993</v>
      </c>
      <c r="M20" s="9"/>
      <c r="N20" s="9"/>
      <c r="O20" s="10"/>
    </row>
    <row r="21" spans="1:15" x14ac:dyDescent="0.3">
      <c r="A21" s="346">
        <v>0.3</v>
      </c>
      <c r="B21" s="630">
        <f>(A21-A19)/(A20-A19)*(B20-B19)+B19</f>
        <v>4634</v>
      </c>
      <c r="C21" s="630">
        <f>(A21-A19)/(A20-A19)*(C20-C19)+C19</f>
        <v>4523</v>
      </c>
      <c r="D21" s="333">
        <v>4389</v>
      </c>
      <c r="E21" s="333">
        <v>4251</v>
      </c>
      <c r="F21" s="333">
        <v>4098</v>
      </c>
      <c r="G21" s="333">
        <v>3915</v>
      </c>
      <c r="H21" s="333">
        <v>3638</v>
      </c>
      <c r="I21" s="333">
        <v>3436</v>
      </c>
      <c r="J21" s="338">
        <f t="shared" si="0"/>
        <v>4439.2452514543256</v>
      </c>
      <c r="K21" s="333">
        <f t="shared" si="1"/>
        <v>4389</v>
      </c>
      <c r="L21" s="330">
        <f t="shared" si="2"/>
        <v>4523</v>
      </c>
      <c r="M21" s="9"/>
      <c r="N21" s="9"/>
      <c r="O21" s="10"/>
    </row>
    <row r="22" spans="1:15" ht="14.5" thickBot="1" x14ac:dyDescent="0.35">
      <c r="A22" s="347">
        <v>0.2</v>
      </c>
      <c r="B22" s="631">
        <f>(A22-A19)/(A20-A19)*(B20-B19)+B19</f>
        <v>5191</v>
      </c>
      <c r="C22" s="631">
        <f>(A22-A19)/(A20-A19)*(C20-C19)+C19</f>
        <v>5053</v>
      </c>
      <c r="D22" s="631">
        <f>(A22-A19)/(A20-A19)*(D20-D19)+D19</f>
        <v>4873</v>
      </c>
      <c r="E22" s="631">
        <f>(A22-A19)/(A20-A19)*(E20-E19)+E19</f>
        <v>4723</v>
      </c>
      <c r="F22" s="631">
        <f>(A22-A19)/(A20-A19)*(F20-F19)+F19</f>
        <v>4558</v>
      </c>
      <c r="G22" s="335">
        <v>4359</v>
      </c>
      <c r="H22" s="335">
        <v>4048</v>
      </c>
      <c r="I22" s="335">
        <v>3771</v>
      </c>
      <c r="J22" s="339">
        <f t="shared" si="0"/>
        <v>4940.493621356557</v>
      </c>
      <c r="K22" s="335">
        <f t="shared" si="1"/>
        <v>4873</v>
      </c>
      <c r="L22" s="331">
        <f t="shared" si="2"/>
        <v>5053</v>
      </c>
      <c r="M22" s="12"/>
      <c r="N22" s="12"/>
      <c r="O22" s="13"/>
    </row>
    <row r="23" spans="1:15" ht="14.5" thickBot="1" x14ac:dyDescent="0.35"/>
    <row r="24" spans="1:15" x14ac:dyDescent="0.3">
      <c r="A24" s="5" t="s">
        <v>158</v>
      </c>
      <c r="B24" s="6"/>
      <c r="C24" s="7"/>
    </row>
    <row r="25" spans="1:15" x14ac:dyDescent="0.3">
      <c r="A25" s="338" t="s">
        <v>157</v>
      </c>
      <c r="B25" s="333" t="s">
        <v>156</v>
      </c>
      <c r="C25" s="330" t="s">
        <v>158</v>
      </c>
    </row>
    <row r="26" spans="1:15" ht="14.5" thickBot="1" x14ac:dyDescent="0.35">
      <c r="A26" s="339">
        <f>D38</f>
        <v>6.84</v>
      </c>
      <c r="B26" s="335">
        <f>D30</f>
        <v>36.598065400265348</v>
      </c>
      <c r="C26" s="331">
        <f>A26/B26</f>
        <v>0.18689512478849243</v>
      </c>
    </row>
    <row r="27" spans="1:15" ht="14.5" thickBot="1" x14ac:dyDescent="0.35"/>
    <row r="28" spans="1:15" x14ac:dyDescent="0.3">
      <c r="A28" s="5" t="s">
        <v>156</v>
      </c>
      <c r="B28" s="6"/>
      <c r="C28" s="6"/>
      <c r="D28" s="7"/>
    </row>
    <row r="29" spans="1:15" x14ac:dyDescent="0.3">
      <c r="A29" s="15" t="s">
        <v>364</v>
      </c>
      <c r="B29" s="9" t="s">
        <v>134</v>
      </c>
      <c r="C29" s="9" t="s">
        <v>159</v>
      </c>
      <c r="D29" s="10" t="s">
        <v>156</v>
      </c>
    </row>
    <row r="30" spans="1:15" ht="14.5" thickBot="1" x14ac:dyDescent="0.35">
      <c r="A30" s="16">
        <f>F7</f>
        <v>63.749645630919829</v>
      </c>
      <c r="B30" s="12">
        <f>F9</f>
        <v>0</v>
      </c>
      <c r="C30" s="12">
        <f>F8</f>
        <v>0</v>
      </c>
      <c r="D30" s="344">
        <f>(3*(A30-B30+C30))/(2.4+(A30-B30+C30)^0.25)</f>
        <v>36.598065400265348</v>
      </c>
    </row>
    <row r="31" spans="1:15" ht="15" customHeight="1" thickBot="1" x14ac:dyDescent="0.35"/>
    <row r="32" spans="1:15" x14ac:dyDescent="0.3">
      <c r="A32" s="5" t="s">
        <v>112</v>
      </c>
      <c r="B32" s="6"/>
      <c r="C32" s="6"/>
      <c r="D32" s="6"/>
      <c r="E32" s="7"/>
    </row>
    <row r="33" spans="1:5" x14ac:dyDescent="0.3">
      <c r="A33" s="15" t="s">
        <v>167</v>
      </c>
      <c r="B33" s="9" t="s">
        <v>168</v>
      </c>
      <c r="C33" s="9" t="s">
        <v>169</v>
      </c>
      <c r="D33" s="9" t="s">
        <v>170</v>
      </c>
      <c r="E33" s="10" t="s">
        <v>112</v>
      </c>
    </row>
    <row r="34" spans="1:5" ht="14.5" thickBot="1" x14ac:dyDescent="0.35">
      <c r="A34" s="16">
        <f>IF(B4=0.6,5.2,3.8)</f>
        <v>3.8</v>
      </c>
      <c r="B34" s="12">
        <f>IF(B8="DC",0.5,IF(B8="AC",0.58,0))</f>
        <v>0</v>
      </c>
      <c r="C34" s="12">
        <f>IF(B4=0.6,1.7,1.8)</f>
        <v>1.8</v>
      </c>
      <c r="D34" s="12">
        <f>7.8*B4</f>
        <v>0</v>
      </c>
      <c r="E34" s="344">
        <f>A34*(B34+C34)-D34</f>
        <v>6.84</v>
      </c>
    </row>
    <row r="35" spans="1:5" ht="14.5" thickBot="1" x14ac:dyDescent="0.35"/>
    <row r="36" spans="1:5" x14ac:dyDescent="0.3">
      <c r="A36" s="5" t="s">
        <v>157</v>
      </c>
      <c r="B36" s="6"/>
      <c r="C36" s="6"/>
      <c r="D36" s="7"/>
    </row>
    <row r="37" spans="1:5" x14ac:dyDescent="0.3">
      <c r="A37" s="15" t="s">
        <v>112</v>
      </c>
      <c r="B37" s="9" t="s">
        <v>155</v>
      </c>
      <c r="C37" s="9" t="s">
        <v>166</v>
      </c>
      <c r="D37" s="10" t="s">
        <v>157</v>
      </c>
    </row>
    <row r="38" spans="1:5" ht="14.5" thickBot="1" x14ac:dyDescent="0.35">
      <c r="A38" s="16">
        <f>E34</f>
        <v>6.84</v>
      </c>
      <c r="B38" s="12">
        <f>B3/0.4</f>
        <v>1</v>
      </c>
      <c r="C38" s="12">
        <f>IF(OR(B5="TW",F3="mit TW"),2,0)</f>
        <v>0</v>
      </c>
      <c r="D38" s="344">
        <f>A38*B38-C38</f>
        <v>6.84</v>
      </c>
    </row>
    <row r="39" spans="1:5" ht="14.5" thickBot="1" x14ac:dyDescent="0.35"/>
    <row r="40" spans="1:5" x14ac:dyDescent="0.3">
      <c r="A40" s="5" t="s">
        <v>165</v>
      </c>
      <c r="B40" s="6"/>
      <c r="C40" s="6"/>
      <c r="D40" s="7"/>
    </row>
    <row r="41" spans="1:5" x14ac:dyDescent="0.3">
      <c r="A41" s="15" t="s">
        <v>145</v>
      </c>
      <c r="B41" s="9" t="s">
        <v>157</v>
      </c>
      <c r="C41" s="9" t="s">
        <v>153</v>
      </c>
      <c r="D41" s="10" t="s">
        <v>165</v>
      </c>
    </row>
    <row r="42" spans="1:5" ht="14.5" thickBot="1" x14ac:dyDescent="0.35">
      <c r="A42" s="16">
        <v>1E-3</v>
      </c>
      <c r="B42" s="12">
        <f>D38</f>
        <v>6.84</v>
      </c>
      <c r="C42" s="355">
        <f>M14</f>
        <v>4440</v>
      </c>
      <c r="D42" s="344">
        <f>A42*B42*C42</f>
        <v>30.369599999999998</v>
      </c>
    </row>
    <row r="43" spans="1:5" ht="14.5" thickBot="1" x14ac:dyDescent="0.35"/>
    <row r="44" spans="1:5" x14ac:dyDescent="0.3">
      <c r="A44" s="5" t="s">
        <v>286</v>
      </c>
      <c r="B44" s="6" t="s">
        <v>287</v>
      </c>
      <c r="C44" s="7" t="s">
        <v>288</v>
      </c>
    </row>
    <row r="45" spans="1:5" ht="14.5" thickBot="1" x14ac:dyDescent="0.35">
      <c r="A45" s="16"/>
      <c r="B45" s="355">
        <f>1/(3*0.38+3.3*0.49+3.5*0.06)</f>
        <v>0.33704078193461406</v>
      </c>
      <c r="C45" s="344">
        <f>1/(3.8*0.93)</f>
        <v>0.28296547821165818</v>
      </c>
    </row>
  </sheetData>
  <customSheetViews>
    <customSheetView guid="{AB7935E0-18C1-11D5-A405-00409522490A}" state="hidden" showRuler="0">
      <selection sqref="A1:IV65536"/>
      <pageMargins left="0.78740157499999996" right="0.78740157499999996" top="0.984251969" bottom="0.984251969" header="0.4921259845" footer="0.4921259845"/>
      <pageSetup paperSize="9" orientation="portrait" horizontalDpi="300" verticalDpi="0" copies="0" r:id="rId1"/>
      <headerFooter alignWithMargins="0"/>
    </customSheetView>
    <customSheetView guid="{586D4F31-1FA3-11D6-B431-009027A4C716}" showGridLines="0" state="hidden" showRuler="0">
      <pageMargins left="0.78740157499999996" right="0.78740157499999996" top="0.984251969" bottom="0.984251969" header="0.4921259845" footer="0.4921259845"/>
      <pageSetup paperSize="9" orientation="portrait" horizontalDpi="300" verticalDpi="0" copies="0" r:id="rId2"/>
      <headerFooter alignWithMargins="0"/>
    </customSheetView>
  </customSheetViews>
  <phoneticPr fontId="0" type="noConversion"/>
  <pageMargins left="0.78740157499999996" right="0.78740157499999996" top="0.984251969" bottom="0.984251969" header="0.4921259845" footer="0.4921259845"/>
  <pageSetup paperSize="9" orientation="portrait" horizontalDpi="300" verticalDpi="0" r:id="rId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7"/>
  <dimension ref="A1:O34"/>
  <sheetViews>
    <sheetView showGridLines="0" workbookViewId="0"/>
  </sheetViews>
  <sheetFormatPr baseColWidth="10" defaultColWidth="11" defaultRowHeight="14" x14ac:dyDescent="0.3"/>
  <cols>
    <col min="1" max="1" width="11" style="324"/>
    <col min="2" max="3" width="11" style="258"/>
    <col min="4" max="4" width="15.83203125" style="258" customWidth="1"/>
    <col min="5" max="9" width="11" style="258"/>
    <col min="10" max="10" width="13.75" style="258" customWidth="1"/>
    <col min="11" max="11" width="9.83203125" style="258" customWidth="1"/>
    <col min="12" max="12" width="9.58203125" style="258" customWidth="1"/>
    <col min="13" max="16384" width="11" style="258"/>
  </cols>
  <sheetData>
    <row r="1" spans="1:15" s="323" customFormat="1" ht="14.5" thickBot="1" x14ac:dyDescent="0.35">
      <c r="A1" s="21" t="s">
        <v>126</v>
      </c>
      <c r="E1" s="2" t="s">
        <v>363</v>
      </c>
      <c r="F1" s="260">
        <f>Rechnungen!D14</f>
        <v>320</v>
      </c>
    </row>
    <row r="2" spans="1:15" ht="14.5" thickBot="1" x14ac:dyDescent="0.35"/>
    <row r="3" spans="1:15" x14ac:dyDescent="0.3">
      <c r="A3" s="5" t="str">
        <f>'L-01'!A3</f>
        <v>n in h-1</v>
      </c>
      <c r="B3" s="348">
        <f>'L-01'!B3</f>
        <v>0.4</v>
      </c>
      <c r="E3" s="5" t="s">
        <v>156</v>
      </c>
      <c r="F3" s="351">
        <f>'L-03'!D30</f>
        <v>36.598065400265348</v>
      </c>
    </row>
    <row r="4" spans="1:15" x14ac:dyDescent="0.3">
      <c r="A4" s="15" t="str">
        <f>'L-01'!A4</f>
        <v>eta WRG</v>
      </c>
      <c r="B4" s="349">
        <f>'L-01'!B4</f>
        <v>0</v>
      </c>
      <c r="E4" s="15" t="s">
        <v>157</v>
      </c>
      <c r="F4" s="352">
        <f>'L-03'!D38</f>
        <v>6.84</v>
      </c>
    </row>
    <row r="5" spans="1:15" ht="14.5" thickBot="1" x14ac:dyDescent="0.35">
      <c r="A5" s="15" t="str">
        <f>'L-01'!A5</f>
        <v>WP-Art</v>
      </c>
      <c r="B5" s="349" t="str">
        <f>'L-01'!B5</f>
        <v>O</v>
      </c>
      <c r="E5" s="16" t="s">
        <v>153</v>
      </c>
      <c r="F5" s="353">
        <f>'L-03'!C42</f>
        <v>4440</v>
      </c>
    </row>
    <row r="6" spans="1:15" ht="14.5" thickBot="1" x14ac:dyDescent="0.35">
      <c r="A6" s="15" t="str">
        <f>'L-01'!A6</f>
        <v>teta HR</v>
      </c>
      <c r="B6" s="349">
        <f>'L-01'!B6</f>
        <v>0</v>
      </c>
    </row>
    <row r="7" spans="1:15" x14ac:dyDescent="0.3">
      <c r="A7" s="15" t="str">
        <f>'L-01'!A7</f>
        <v>Verteilungsart</v>
      </c>
      <c r="B7" s="349">
        <f>'L-01'!B7</f>
        <v>1</v>
      </c>
      <c r="E7" s="5" t="s">
        <v>364</v>
      </c>
      <c r="F7" s="351">
        <f>Rechnungen!H3</f>
        <v>63.749645630919829</v>
      </c>
      <c r="G7" s="258" t="s">
        <v>1094</v>
      </c>
    </row>
    <row r="8" spans="1:15" ht="14.5" thickBot="1" x14ac:dyDescent="0.35">
      <c r="A8" s="16" t="str">
        <f>'L-01'!A8</f>
        <v>Ventilatorart</v>
      </c>
      <c r="B8" s="350" t="str">
        <f>'L-01'!B8</f>
        <v>O</v>
      </c>
      <c r="E8" s="15" t="s">
        <v>159</v>
      </c>
      <c r="F8" s="352">
        <f>Rechnungen!C400</f>
        <v>0</v>
      </c>
    </row>
    <row r="9" spans="1:15" ht="14.5" thickBot="1" x14ac:dyDescent="0.35">
      <c r="E9" s="16" t="s">
        <v>134</v>
      </c>
      <c r="F9" s="353">
        <f>'L-02'!G12</f>
        <v>0</v>
      </c>
    </row>
    <row r="10" spans="1:15" ht="14.5" thickBot="1" x14ac:dyDescent="0.35"/>
    <row r="11" spans="1:15" x14ac:dyDescent="0.3">
      <c r="A11" s="20" t="s">
        <v>151</v>
      </c>
      <c r="B11" s="6"/>
      <c r="C11" s="6"/>
      <c r="D11" s="6"/>
      <c r="E11" s="6"/>
      <c r="F11" s="6"/>
      <c r="G11" s="6"/>
      <c r="H11" s="6"/>
      <c r="I11" s="7"/>
      <c r="J11" s="5" t="s">
        <v>163</v>
      </c>
      <c r="K11" s="6"/>
      <c r="L11" s="7"/>
      <c r="M11" s="6" t="s">
        <v>164</v>
      </c>
      <c r="N11" s="6"/>
      <c r="O11" s="7"/>
    </row>
    <row r="12" spans="1:15" x14ac:dyDescent="0.3">
      <c r="A12" s="17"/>
      <c r="B12" s="9"/>
      <c r="C12" s="9"/>
      <c r="D12" s="9"/>
      <c r="E12" s="9"/>
      <c r="F12" s="9"/>
      <c r="G12" s="9"/>
      <c r="H12" s="9"/>
      <c r="I12" s="10"/>
      <c r="J12" s="338" t="s">
        <v>162</v>
      </c>
      <c r="K12" s="333" t="s">
        <v>160</v>
      </c>
      <c r="L12" s="330" t="s">
        <v>161</v>
      </c>
      <c r="M12" s="333" t="s">
        <v>162</v>
      </c>
      <c r="N12" s="333" t="s">
        <v>160</v>
      </c>
      <c r="O12" s="330" t="s">
        <v>161</v>
      </c>
    </row>
    <row r="13" spans="1:15" ht="14.5" thickBot="1" x14ac:dyDescent="0.35">
      <c r="A13" s="347" t="s">
        <v>158</v>
      </c>
      <c r="B13" s="335">
        <v>80</v>
      </c>
      <c r="C13" s="335">
        <v>70</v>
      </c>
      <c r="D13" s="335">
        <v>60</v>
      </c>
      <c r="E13" s="335">
        <v>50</v>
      </c>
      <c r="F13" s="335">
        <v>40</v>
      </c>
      <c r="G13" s="335">
        <v>30</v>
      </c>
      <c r="H13" s="335">
        <v>20</v>
      </c>
      <c r="I13" s="331">
        <v>15</v>
      </c>
      <c r="J13" s="338">
        <f>F7+F8-F9</f>
        <v>63.749645630919829</v>
      </c>
      <c r="K13" s="333">
        <f>IF($J$13&lt;$H$13,I13,IF($J$13&lt;=$G$13,H13,IF($J$13&lt;=$F$13,G13,IF($J$13&lt;=$E$13,F13,IF($J$13&lt;=$D$13,E13,IF($J$13&lt;=$C$13,D13,IF($J$13&lt;=$B$13,C13,IF($J$13&lt;=$B$13,B13,C13))))))))</f>
        <v>60</v>
      </c>
      <c r="L13" s="330">
        <f>IF($J$13&gt;=$B$13,B13,IF($J$13&gt;=$C$13,B13,IF($J$13&gt;=$D$13,C13,IF($J$13&gt;=$E$13,D13,IF($J$13&gt;=$F$13,E13,IF($J$13&gt;=$G$13,F13,IF($J$13&gt;=$H$13,G13,IF($J$13&gt;=$I$13,H13,H13))))))))</f>
        <v>70</v>
      </c>
      <c r="M13" s="333">
        <f>C26</f>
        <v>0.11148130250541655</v>
      </c>
      <c r="N13" s="333">
        <f>IF(M13&lt;=A21,A22,IF(M13&lt;=A20,A21,IF(M13&lt;=A19,A20,IF(M13&lt;=A18,A19,IF(M13&lt;=A17,A18,IF(M13&lt;=A16,A17,IF(M13&lt;=A15,A16,IF(M13&lt;=A14,A15,A15))))))))</f>
        <v>0.2</v>
      </c>
      <c r="O13" s="330">
        <f>IF(M13&gt;=A15,A14,IF(M13&gt;=A16,A15,IF(M13&gt;=A17,A16,IF(M13&gt;=A18,A17,IF(M13&gt;=A19,A18,IF(M13&gt;=A20,A19,IF(M13&gt;=A21,A20,IF(M13&gt;=A22,A21,A21))))))))</f>
        <v>0.3</v>
      </c>
    </row>
    <row r="14" spans="1:15" ht="14.5" thickBot="1" x14ac:dyDescent="0.35">
      <c r="A14" s="346">
        <v>1</v>
      </c>
      <c r="B14" s="333">
        <v>1796</v>
      </c>
      <c r="C14" s="333">
        <v>1767</v>
      </c>
      <c r="D14" s="333">
        <v>1728</v>
      </c>
      <c r="E14" s="333">
        <v>1687</v>
      </c>
      <c r="F14" s="333">
        <v>1639</v>
      </c>
      <c r="G14" s="333">
        <v>1585</v>
      </c>
      <c r="H14" s="333">
        <v>1516</v>
      </c>
      <c r="I14" s="333">
        <v>1456</v>
      </c>
      <c r="J14" s="338">
        <f t="shared" ref="J14:J22" si="0">IF(K13=L13,K14,(L14-($L$13-$J$13)*(L14-K14)/($L$13-$K$13)))</f>
        <v>1742.6236179605874</v>
      </c>
      <c r="K14" s="333">
        <f t="shared" ref="K14:K22" si="1">IF($J$13&lt;$H$13,I14,IF($J$13&lt;=$G$13,H14,IF($J$13&lt;=$F$13,G14,IF($J$13&lt;=$E$13,F14,IF($J$13&lt;=$D$13,E14,IF($J$13&lt;=$C$13,D14,IF($J$13&lt;=$B$13,C14,IF($J$13&lt;=$B$13,B14,C14))))))))</f>
        <v>1728</v>
      </c>
      <c r="L14" s="330">
        <f t="shared" ref="L14:L22" si="2">IF($J$13&gt;=$B$13,B14,IF($J$13&gt;=$C$13,B14,IF($J$13&gt;=$D$13,C14,IF($J$13&gt;=$E$13,D14,IF($J$13&gt;=$F$13,E14,IF($J$13&gt;=$G$13,F14,IF($J$13&gt;=$H$13,G14,IF($J$13&gt;=$I$13,H14,H14))))))))</f>
        <v>1767</v>
      </c>
      <c r="M14" s="628">
        <f>IF(M17&gt;4440,4440,M17)</f>
        <v>4440</v>
      </c>
      <c r="N14" s="333">
        <f>IF(M13&lt;=A21,J22,IF(M13&lt;=A20,J21,IF(M13&lt;=A19,J20,IF(M13&lt;=A18,J19,IF(M13&lt;=A17,J18,IF(M13&lt;=A16,J17,IF(M13&lt;=A15,J16,IF(M13&lt;=A14,J15,J15))))))))</f>
        <v>4940.493621356557</v>
      </c>
      <c r="O14" s="330">
        <f>IF(M13&gt;=A15,J14,IF(M13&gt;=A16,J15,IF(M13&gt;=A17,J16,IF(M13&gt;=A18,J17,IF(M13&gt;=A19,J18,IF(M13&gt;=A20,J19,IF(M13&gt;=A21,J20,IF(M13&gt;=A22,J21,J21))))))))</f>
        <v>4439.2452514543256</v>
      </c>
    </row>
    <row r="15" spans="1:15" x14ac:dyDescent="0.3">
      <c r="A15" s="346">
        <v>0.9</v>
      </c>
      <c r="B15" s="333">
        <v>2083</v>
      </c>
      <c r="C15" s="333">
        <v>2050</v>
      </c>
      <c r="D15" s="333">
        <v>1987</v>
      </c>
      <c r="E15" s="333">
        <v>1923</v>
      </c>
      <c r="F15" s="333">
        <v>1844</v>
      </c>
      <c r="G15" s="333">
        <v>1775</v>
      </c>
      <c r="H15" s="333">
        <v>1690</v>
      </c>
      <c r="I15" s="333">
        <v>1602</v>
      </c>
      <c r="J15" s="338">
        <f t="shared" si="0"/>
        <v>2010.622767474795</v>
      </c>
      <c r="K15" s="333">
        <f t="shared" si="1"/>
        <v>1987</v>
      </c>
      <c r="L15" s="330">
        <f t="shared" si="2"/>
        <v>2050</v>
      </c>
      <c r="M15" s="629"/>
      <c r="N15" s="9"/>
      <c r="O15" s="10"/>
    </row>
    <row r="16" spans="1:15" x14ac:dyDescent="0.3">
      <c r="A16" s="346">
        <v>0.8</v>
      </c>
      <c r="B16" s="333">
        <v>2353</v>
      </c>
      <c r="C16" s="333">
        <v>2297</v>
      </c>
      <c r="D16" s="333">
        <v>2229</v>
      </c>
      <c r="E16" s="333">
        <v>2159</v>
      </c>
      <c r="F16" s="333">
        <v>2082</v>
      </c>
      <c r="G16" s="333">
        <v>1997</v>
      </c>
      <c r="H16" s="333">
        <v>1910</v>
      </c>
      <c r="I16" s="333">
        <v>1835</v>
      </c>
      <c r="J16" s="338">
        <f t="shared" si="0"/>
        <v>2254.4975902902547</v>
      </c>
      <c r="K16" s="333">
        <f t="shared" si="1"/>
        <v>2229</v>
      </c>
      <c r="L16" s="330">
        <f t="shared" si="2"/>
        <v>2297</v>
      </c>
      <c r="M16" s="9" t="s">
        <v>349</v>
      </c>
      <c r="N16" s="9"/>
      <c r="O16" s="10"/>
    </row>
    <row r="17" spans="1:15" x14ac:dyDescent="0.3">
      <c r="A17" s="346">
        <v>0.7</v>
      </c>
      <c r="B17" s="333">
        <v>2658</v>
      </c>
      <c r="C17" s="333">
        <v>2598</v>
      </c>
      <c r="D17" s="333">
        <v>2523</v>
      </c>
      <c r="E17" s="333">
        <v>2446</v>
      </c>
      <c r="F17" s="333">
        <v>2360</v>
      </c>
      <c r="G17" s="333">
        <v>2267</v>
      </c>
      <c r="H17" s="333">
        <v>2160</v>
      </c>
      <c r="I17" s="333">
        <v>2075</v>
      </c>
      <c r="J17" s="338">
        <f t="shared" si="0"/>
        <v>2551.1223422318985</v>
      </c>
      <c r="K17" s="333">
        <f t="shared" si="1"/>
        <v>2523</v>
      </c>
      <c r="L17" s="330">
        <f t="shared" si="2"/>
        <v>2598</v>
      </c>
      <c r="M17" s="9">
        <f>IF(N13=O13,N14,O14-(O13-M13)*(O14-N14)/(O13-N13))</f>
        <v>5384.1921496068444</v>
      </c>
      <c r="N17" s="9"/>
      <c r="O17" s="10"/>
    </row>
    <row r="18" spans="1:15" x14ac:dyDescent="0.3">
      <c r="A18" s="346">
        <v>0.6</v>
      </c>
      <c r="B18" s="333">
        <v>3071</v>
      </c>
      <c r="C18" s="333">
        <v>3004</v>
      </c>
      <c r="D18" s="333">
        <v>2920</v>
      </c>
      <c r="E18" s="333">
        <v>2817</v>
      </c>
      <c r="F18" s="333">
        <v>2721</v>
      </c>
      <c r="G18" s="333">
        <v>2615</v>
      </c>
      <c r="H18" s="333">
        <v>2486</v>
      </c>
      <c r="I18" s="333">
        <v>2402</v>
      </c>
      <c r="J18" s="338">
        <f t="shared" si="0"/>
        <v>2951.4970232997266</v>
      </c>
      <c r="K18" s="333">
        <f t="shared" si="1"/>
        <v>2920</v>
      </c>
      <c r="L18" s="330">
        <f t="shared" si="2"/>
        <v>3004</v>
      </c>
      <c r="M18" s="9"/>
      <c r="N18" s="9"/>
      <c r="O18" s="10"/>
    </row>
    <row r="19" spans="1:15" x14ac:dyDescent="0.3">
      <c r="A19" s="346">
        <v>0.5</v>
      </c>
      <c r="B19" s="333">
        <v>3520</v>
      </c>
      <c r="C19" s="333">
        <v>3463</v>
      </c>
      <c r="D19" s="333">
        <v>3370</v>
      </c>
      <c r="E19" s="333">
        <v>3256</v>
      </c>
      <c r="F19" s="333">
        <v>3130</v>
      </c>
      <c r="G19" s="333">
        <v>2996</v>
      </c>
      <c r="H19" s="333">
        <v>2850</v>
      </c>
      <c r="I19" s="333">
        <v>2737</v>
      </c>
      <c r="J19" s="338">
        <f t="shared" si="0"/>
        <v>3404.8717043675542</v>
      </c>
      <c r="K19" s="333">
        <f t="shared" si="1"/>
        <v>3370</v>
      </c>
      <c r="L19" s="330">
        <f t="shared" si="2"/>
        <v>3463</v>
      </c>
      <c r="M19" s="9"/>
      <c r="N19" s="9"/>
      <c r="O19" s="10"/>
    </row>
    <row r="20" spans="1:15" x14ac:dyDescent="0.3">
      <c r="A20" s="346">
        <v>0.4</v>
      </c>
      <c r="B20" s="333">
        <v>4077</v>
      </c>
      <c r="C20" s="333">
        <v>3993</v>
      </c>
      <c r="D20" s="333">
        <v>3871</v>
      </c>
      <c r="E20" s="333">
        <v>3745</v>
      </c>
      <c r="F20" s="333">
        <v>3606</v>
      </c>
      <c r="G20" s="333">
        <v>3455</v>
      </c>
      <c r="H20" s="333">
        <v>3259</v>
      </c>
      <c r="I20" s="333">
        <v>3101</v>
      </c>
      <c r="J20" s="338">
        <f t="shared" si="0"/>
        <v>3916.7456766972218</v>
      </c>
      <c r="K20" s="333">
        <f t="shared" si="1"/>
        <v>3871</v>
      </c>
      <c r="L20" s="330">
        <f t="shared" si="2"/>
        <v>3993</v>
      </c>
      <c r="M20" s="9"/>
      <c r="N20" s="9"/>
      <c r="O20" s="10"/>
    </row>
    <row r="21" spans="1:15" x14ac:dyDescent="0.3">
      <c r="A21" s="346">
        <v>0.3</v>
      </c>
      <c r="B21" s="630">
        <f>(A21-A19)/(A20-A19)*(B20-B19)+B19</f>
        <v>4634</v>
      </c>
      <c r="C21" s="630">
        <f>(A21-A19)/(A20-A19)*(C20-C19)+C19</f>
        <v>4523</v>
      </c>
      <c r="D21" s="333">
        <v>4389</v>
      </c>
      <c r="E21" s="333">
        <v>4251</v>
      </c>
      <c r="F21" s="333">
        <v>4098</v>
      </c>
      <c r="G21" s="333">
        <v>3915</v>
      </c>
      <c r="H21" s="333">
        <v>3638</v>
      </c>
      <c r="I21" s="333">
        <v>3436</v>
      </c>
      <c r="J21" s="338">
        <f t="shared" si="0"/>
        <v>4439.2452514543256</v>
      </c>
      <c r="K21" s="333">
        <f t="shared" si="1"/>
        <v>4389</v>
      </c>
      <c r="L21" s="330">
        <f t="shared" si="2"/>
        <v>4523</v>
      </c>
      <c r="M21" s="9"/>
      <c r="N21" s="9"/>
      <c r="O21" s="10"/>
    </row>
    <row r="22" spans="1:15" ht="14.5" thickBot="1" x14ac:dyDescent="0.35">
      <c r="A22" s="347">
        <v>0.2</v>
      </c>
      <c r="B22" s="631">
        <f>(A22-A19)/(A20-A19)*(B20-B19)+B19</f>
        <v>5191</v>
      </c>
      <c r="C22" s="631">
        <f>(A22-A19)/(A20-A19)*(C20-C19)+C19</f>
        <v>5053</v>
      </c>
      <c r="D22" s="631">
        <f>(A22-A19)/(A20-A19)*(D20-D19)+D19</f>
        <v>4873</v>
      </c>
      <c r="E22" s="631">
        <f>(A22-A19)/(A20-A19)*(E20-E19)+E19</f>
        <v>4723</v>
      </c>
      <c r="F22" s="631">
        <f>(A22-A19)/(A20-A19)*(F20-F19)+F19</f>
        <v>4558</v>
      </c>
      <c r="G22" s="335">
        <v>4359</v>
      </c>
      <c r="H22" s="335">
        <v>4048</v>
      </c>
      <c r="I22" s="335">
        <v>3771</v>
      </c>
      <c r="J22" s="339">
        <f t="shared" si="0"/>
        <v>4940.493621356557</v>
      </c>
      <c r="K22" s="335">
        <f t="shared" si="1"/>
        <v>4873</v>
      </c>
      <c r="L22" s="331">
        <f t="shared" si="2"/>
        <v>5053</v>
      </c>
      <c r="M22" s="12"/>
      <c r="N22" s="12"/>
      <c r="O22" s="13"/>
    </row>
    <row r="23" spans="1:15" ht="14.5" thickBot="1" x14ac:dyDescent="0.35"/>
    <row r="24" spans="1:15" x14ac:dyDescent="0.3">
      <c r="A24" s="5" t="s">
        <v>158</v>
      </c>
      <c r="B24" s="6"/>
      <c r="C24" s="7"/>
    </row>
    <row r="25" spans="1:15" x14ac:dyDescent="0.3">
      <c r="A25" s="338" t="s">
        <v>150</v>
      </c>
      <c r="B25" s="333" t="s">
        <v>156</v>
      </c>
      <c r="C25" s="330" t="s">
        <v>158</v>
      </c>
    </row>
    <row r="26" spans="1:15" ht="14.5" thickBot="1" x14ac:dyDescent="0.35">
      <c r="A26" s="339">
        <f>F30</f>
        <v>4.08</v>
      </c>
      <c r="B26" s="335">
        <f>F3</f>
        <v>36.598065400265348</v>
      </c>
      <c r="C26" s="331">
        <f>A26/B26</f>
        <v>0.11148130250541655</v>
      </c>
    </row>
    <row r="27" spans="1:15" ht="14.5" thickBot="1" x14ac:dyDescent="0.35"/>
    <row r="28" spans="1:15" x14ac:dyDescent="0.3">
      <c r="A28" s="5" t="s">
        <v>150</v>
      </c>
      <c r="B28" s="6"/>
      <c r="C28" s="6"/>
      <c r="D28" s="6"/>
      <c r="E28" s="6"/>
      <c r="F28" s="7"/>
    </row>
    <row r="29" spans="1:15" x14ac:dyDescent="0.3">
      <c r="A29" s="338" t="s">
        <v>129</v>
      </c>
      <c r="B29" s="333" t="s">
        <v>154</v>
      </c>
      <c r="C29" s="333">
        <v>-12</v>
      </c>
      <c r="D29" s="632" t="s">
        <v>350</v>
      </c>
      <c r="E29" s="333" t="s">
        <v>155</v>
      </c>
      <c r="F29" s="330" t="s">
        <v>150</v>
      </c>
    </row>
    <row r="30" spans="1:15" ht="14.5" thickBot="1" x14ac:dyDescent="0.35">
      <c r="A30" s="339">
        <v>0.34</v>
      </c>
      <c r="B30" s="335">
        <f>B6</f>
        <v>0</v>
      </c>
      <c r="C30" s="335">
        <v>-12</v>
      </c>
      <c r="D30" s="335">
        <f>(20+12)*B4</f>
        <v>0</v>
      </c>
      <c r="E30" s="335">
        <f>B3/0.4</f>
        <v>1</v>
      </c>
      <c r="F30" s="331">
        <f>A30*(B30-C30-D30)*E30</f>
        <v>4.08</v>
      </c>
    </row>
    <row r="31" spans="1:15" ht="14.5" thickBot="1" x14ac:dyDescent="0.35"/>
    <row r="32" spans="1:15" x14ac:dyDescent="0.3">
      <c r="A32" s="5" t="s">
        <v>149</v>
      </c>
      <c r="B32" s="6"/>
      <c r="C32" s="6"/>
      <c r="D32" s="6"/>
      <c r="E32" s="6"/>
      <c r="F32" s="7"/>
    </row>
    <row r="33" spans="1:6" x14ac:dyDescent="0.3">
      <c r="A33" s="338" t="s">
        <v>145</v>
      </c>
      <c r="B33" s="333" t="s">
        <v>150</v>
      </c>
      <c r="C33" s="333" t="s">
        <v>151</v>
      </c>
      <c r="D33" s="333" t="s">
        <v>152</v>
      </c>
      <c r="E33" s="333" t="s">
        <v>153</v>
      </c>
      <c r="F33" s="330" t="s">
        <v>149</v>
      </c>
    </row>
    <row r="34" spans="1:6" ht="14.5" thickBot="1" x14ac:dyDescent="0.35">
      <c r="A34" s="339">
        <v>1E-3</v>
      </c>
      <c r="B34" s="335">
        <f>F30</f>
        <v>4.08</v>
      </c>
      <c r="C34" s="335">
        <f>M14</f>
        <v>4440</v>
      </c>
      <c r="D34" s="335">
        <f>IF(B5="O",0,F4)</f>
        <v>0</v>
      </c>
      <c r="E34" s="335">
        <f>IF(B5="O",0,F5)</f>
        <v>0</v>
      </c>
      <c r="F34" s="354">
        <f>A34*(B34*C34-D34*E34)</f>
        <v>18.115200000000002</v>
      </c>
    </row>
  </sheetData>
  <customSheetViews>
    <customSheetView guid="{AB7935E0-18C1-11D5-A405-00409522490A}" state="hidden" showRuler="0">
      <selection sqref="A1:IV65536"/>
      <pageMargins left="0.78740157499999996" right="0.78740157499999996" top="0.984251969" bottom="0.984251969" header="0.4921259845" footer="0.4921259845"/>
      <pageSetup paperSize="9" orientation="portrait" horizontalDpi="300" verticalDpi="0" copies="0" r:id="rId1"/>
      <headerFooter alignWithMargins="0"/>
    </customSheetView>
    <customSheetView guid="{586D4F31-1FA3-11D6-B431-009027A4C716}" showGridLines="0" state="hidden" showRuler="0">
      <pageMargins left="0.78740157499999996" right="0.78740157499999996" top="0.984251969" bottom="0.984251969" header="0.4921259845" footer="0.4921259845"/>
      <pageSetup paperSize="9" orientation="portrait" horizontalDpi="300" verticalDpi="0" copies="0" r:id="rId2"/>
      <headerFooter alignWithMargins="0"/>
    </customSheetView>
  </customSheetViews>
  <phoneticPr fontId="0" type="noConversion"/>
  <pageMargins left="0.78740157499999996" right="0.78740157499999996" top="0.984251969" bottom="0.984251969" header="0.4921259845" footer="0.4921259845"/>
  <pageSetup paperSize="9" orientation="portrait" horizontalDpi="300" verticalDpi="0" copies="0" r:id="rId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6"/>
  <dimension ref="A1:K44"/>
  <sheetViews>
    <sheetView showGridLines="0" topLeftCell="A20" workbookViewId="0">
      <selection activeCell="E34" sqref="E34"/>
    </sheetView>
  </sheetViews>
  <sheetFormatPr baseColWidth="10" defaultColWidth="11" defaultRowHeight="14" x14ac:dyDescent="0.3"/>
  <cols>
    <col min="1" max="16384" width="11" style="258"/>
  </cols>
  <sheetData>
    <row r="1" spans="1:11" ht="14.5" thickBot="1" x14ac:dyDescent="0.35">
      <c r="A1" s="14" t="s">
        <v>499</v>
      </c>
      <c r="E1" s="2" t="s">
        <v>363</v>
      </c>
      <c r="F1" s="260">
        <f>Rechnungen!D14</f>
        <v>320</v>
      </c>
    </row>
    <row r="2" spans="1:11" ht="14.5" thickBot="1" x14ac:dyDescent="0.35"/>
    <row r="3" spans="1:11" x14ac:dyDescent="0.3">
      <c r="A3" s="5" t="str">
        <f>'L-01'!A3</f>
        <v>n in h-1</v>
      </c>
      <c r="B3" s="345">
        <f>'L-01'!B3</f>
        <v>0.4</v>
      </c>
    </row>
    <row r="4" spans="1:11" x14ac:dyDescent="0.3">
      <c r="A4" s="15" t="str">
        <f>'L-01'!A4</f>
        <v>eta WRG</v>
      </c>
      <c r="B4" s="342">
        <f>'L-01'!B4</f>
        <v>0</v>
      </c>
    </row>
    <row r="5" spans="1:11" x14ac:dyDescent="0.3">
      <c r="A5" s="15" t="str">
        <f>'L-01'!A5</f>
        <v>WP-Art</v>
      </c>
      <c r="B5" s="342" t="str">
        <f>'L-01'!B5</f>
        <v>O</v>
      </c>
    </row>
    <row r="6" spans="1:11" x14ac:dyDescent="0.3">
      <c r="A6" s="15" t="str">
        <f>'L-01'!A6</f>
        <v>teta HR</v>
      </c>
      <c r="B6" s="342">
        <f>'L-01'!B6</f>
        <v>0</v>
      </c>
    </row>
    <row r="7" spans="1:11" x14ac:dyDescent="0.3">
      <c r="A7" s="15" t="str">
        <f>'L-01'!A7</f>
        <v>Verteilungsart</v>
      </c>
      <c r="B7" s="342">
        <f>'L-01'!B7</f>
        <v>1</v>
      </c>
    </row>
    <row r="8" spans="1:11" ht="14.5" thickBot="1" x14ac:dyDescent="0.35">
      <c r="A8" s="16" t="str">
        <f>'L-01'!A8</f>
        <v>Ventilatorart</v>
      </c>
      <c r="B8" s="343" t="str">
        <f>'L-01'!B8</f>
        <v>O</v>
      </c>
    </row>
    <row r="9" spans="1:11" ht="14.5" thickBot="1" x14ac:dyDescent="0.35"/>
    <row r="10" spans="1:11" x14ac:dyDescent="0.3">
      <c r="A10" s="337" t="s">
        <v>136</v>
      </c>
      <c r="B10" s="336" t="s">
        <v>429</v>
      </c>
      <c r="C10" s="336" t="s">
        <v>137</v>
      </c>
      <c r="D10" s="336" t="s">
        <v>616</v>
      </c>
      <c r="E10" s="336" t="s">
        <v>562</v>
      </c>
      <c r="F10" s="336" t="s">
        <v>616</v>
      </c>
      <c r="G10" s="336" t="s">
        <v>95</v>
      </c>
      <c r="H10" s="336" t="s">
        <v>616</v>
      </c>
      <c r="I10" s="336" t="s">
        <v>92</v>
      </c>
      <c r="J10" s="336" t="s">
        <v>616</v>
      </c>
      <c r="K10" s="479" t="s">
        <v>172</v>
      </c>
    </row>
    <row r="11" spans="1:11" x14ac:dyDescent="0.3">
      <c r="A11" s="338">
        <f>B11*K11</f>
        <v>0</v>
      </c>
      <c r="B11" s="333">
        <v>0.48</v>
      </c>
      <c r="C11" s="333" t="s">
        <v>96</v>
      </c>
      <c r="D11" s="333">
        <f>IF(C11=$B$8,1,0)</f>
        <v>0</v>
      </c>
      <c r="E11" s="333">
        <v>0.6</v>
      </c>
      <c r="F11" s="333">
        <f>IF($B$4=E11,1,0)</f>
        <v>0</v>
      </c>
      <c r="G11" s="333" t="s">
        <v>138</v>
      </c>
      <c r="H11" s="333">
        <f>IF(OR(B7=4,B7=5,B7=6),1,0)</f>
        <v>0</v>
      </c>
      <c r="I11" s="333" t="s">
        <v>111</v>
      </c>
      <c r="J11" s="333">
        <f>IF(I11=$B$5,1,0)</f>
        <v>1</v>
      </c>
      <c r="K11" s="10">
        <f>D11*F11*H11*J11</f>
        <v>0</v>
      </c>
    </row>
    <row r="12" spans="1:11" x14ac:dyDescent="0.3">
      <c r="A12" s="338">
        <f t="shared" ref="A12:A23" si="0">B12*K12</f>
        <v>0</v>
      </c>
      <c r="B12" s="333">
        <v>0.38</v>
      </c>
      <c r="C12" s="333" t="s">
        <v>97</v>
      </c>
      <c r="D12" s="333">
        <f t="shared" ref="D12:D23" si="1">IF(C12=$B$8,1,0)</f>
        <v>0</v>
      </c>
      <c r="E12" s="333">
        <v>0.6</v>
      </c>
      <c r="F12" s="333">
        <f>IF($B$4=E12,1,0)</f>
        <v>0</v>
      </c>
      <c r="G12" s="333" t="s">
        <v>138</v>
      </c>
      <c r="H12" s="333">
        <f>IF(OR(B7=4,B7=5,B7=6),1,0)</f>
        <v>0</v>
      </c>
      <c r="I12" s="333" t="s">
        <v>111</v>
      </c>
      <c r="J12" s="333">
        <f t="shared" ref="J12:J23" si="2">IF(I12=$B$5,1,0)</f>
        <v>1</v>
      </c>
      <c r="K12" s="10">
        <f t="shared" ref="K12:K23" si="3">D12*F12*H12*J12</f>
        <v>0</v>
      </c>
    </row>
    <row r="13" spans="1:11" x14ac:dyDescent="0.3">
      <c r="A13" s="338">
        <f t="shared" si="0"/>
        <v>0</v>
      </c>
      <c r="B13" s="333">
        <v>0.48</v>
      </c>
      <c r="C13" s="333" t="s">
        <v>97</v>
      </c>
      <c r="D13" s="333">
        <f t="shared" si="1"/>
        <v>0</v>
      </c>
      <c r="E13" s="333">
        <v>0.8</v>
      </c>
      <c r="F13" s="333">
        <f>IF($B$4=E13,1,0)</f>
        <v>0</v>
      </c>
      <c r="G13" s="333" t="s">
        <v>138</v>
      </c>
      <c r="H13" s="333">
        <f>IF(OR(B7=4,B7=5,B7=6),1,0)</f>
        <v>0</v>
      </c>
      <c r="I13" s="333" t="s">
        <v>111</v>
      </c>
      <c r="J13" s="333">
        <f t="shared" si="2"/>
        <v>1</v>
      </c>
      <c r="K13" s="10">
        <f t="shared" si="3"/>
        <v>0</v>
      </c>
    </row>
    <row r="14" spans="1:11" x14ac:dyDescent="0.3">
      <c r="A14" s="338">
        <f t="shared" si="0"/>
        <v>0</v>
      </c>
      <c r="B14" s="333">
        <v>0.85</v>
      </c>
      <c r="C14" s="333" t="s">
        <v>96</v>
      </c>
      <c r="D14" s="333">
        <f>IF(C14=$B$8,1,0)</f>
        <v>0</v>
      </c>
      <c r="E14" s="333" t="s">
        <v>140</v>
      </c>
      <c r="F14" s="333">
        <f>IF(OR(B4=0.8,B4=0.6),1,0)</f>
        <v>0</v>
      </c>
      <c r="G14" s="333" t="s">
        <v>139</v>
      </c>
      <c r="H14" s="333">
        <f>IF(OR(B7=2),1,0)</f>
        <v>0</v>
      </c>
      <c r="I14" s="333" t="s">
        <v>111</v>
      </c>
      <c r="J14" s="333">
        <f t="shared" si="2"/>
        <v>1</v>
      </c>
      <c r="K14" s="10">
        <f t="shared" si="3"/>
        <v>0</v>
      </c>
    </row>
    <row r="15" spans="1:11" x14ac:dyDescent="0.3">
      <c r="A15" s="338">
        <f t="shared" si="0"/>
        <v>0</v>
      </c>
      <c r="B15" s="333">
        <v>0.7</v>
      </c>
      <c r="C15" s="333" t="s">
        <v>97</v>
      </c>
      <c r="D15" s="333">
        <f t="shared" si="1"/>
        <v>0</v>
      </c>
      <c r="E15" s="333" t="s">
        <v>140</v>
      </c>
      <c r="F15" s="333">
        <f>IF(OR(B4=0.8,B4=0.6),1,0)</f>
        <v>0</v>
      </c>
      <c r="G15" s="333" t="s">
        <v>139</v>
      </c>
      <c r="H15" s="333">
        <f>IF(OR(B7=2),1,0)</f>
        <v>0</v>
      </c>
      <c r="I15" s="333" t="s">
        <v>111</v>
      </c>
      <c r="J15" s="333">
        <f t="shared" si="2"/>
        <v>1</v>
      </c>
      <c r="K15" s="10">
        <f t="shared" si="3"/>
        <v>0</v>
      </c>
    </row>
    <row r="16" spans="1:11" x14ac:dyDescent="0.3">
      <c r="A16" s="338">
        <f t="shared" si="0"/>
        <v>0</v>
      </c>
      <c r="B16" s="333">
        <v>0.57999999999999996</v>
      </c>
      <c r="C16" s="333" t="s">
        <v>96</v>
      </c>
      <c r="D16" s="333">
        <f t="shared" si="1"/>
        <v>0</v>
      </c>
      <c r="E16" s="333" t="s">
        <v>90</v>
      </c>
      <c r="F16" s="333">
        <v>1</v>
      </c>
      <c r="G16" s="333" t="s">
        <v>138</v>
      </c>
      <c r="H16" s="333">
        <f>IF(OR(B7=4,B7=5,B7=6),1,0)</f>
        <v>0</v>
      </c>
      <c r="I16" s="333" t="s">
        <v>110</v>
      </c>
      <c r="J16" s="333">
        <f t="shared" si="2"/>
        <v>0</v>
      </c>
      <c r="K16" s="10">
        <f t="shared" si="3"/>
        <v>0</v>
      </c>
    </row>
    <row r="17" spans="1:11" x14ac:dyDescent="0.3">
      <c r="A17" s="338">
        <f t="shared" si="0"/>
        <v>0</v>
      </c>
      <c r="B17" s="333">
        <v>0.5</v>
      </c>
      <c r="C17" s="333" t="s">
        <v>97</v>
      </c>
      <c r="D17" s="333">
        <f t="shared" si="1"/>
        <v>0</v>
      </c>
      <c r="E17" s="333" t="s">
        <v>90</v>
      </c>
      <c r="F17" s="333">
        <v>1</v>
      </c>
      <c r="G17" s="333" t="s">
        <v>138</v>
      </c>
      <c r="H17" s="333">
        <f>IF(OR(B7=4,B7=5,B7=6),1,0)</f>
        <v>0</v>
      </c>
      <c r="I17" s="333" t="s">
        <v>110</v>
      </c>
      <c r="J17" s="333">
        <f t="shared" si="2"/>
        <v>0</v>
      </c>
      <c r="K17" s="10">
        <f t="shared" si="3"/>
        <v>0</v>
      </c>
    </row>
    <row r="18" spans="1:11" x14ac:dyDescent="0.3">
      <c r="A18" s="338">
        <f t="shared" si="0"/>
        <v>0</v>
      </c>
      <c r="B18" s="333">
        <v>0.3</v>
      </c>
      <c r="C18" s="333" t="s">
        <v>96</v>
      </c>
      <c r="D18" s="333">
        <f t="shared" si="1"/>
        <v>0</v>
      </c>
      <c r="E18" s="333">
        <v>0</v>
      </c>
      <c r="F18" s="333">
        <f t="shared" ref="F18:F23" si="4">IF($B$4=E18,1,0)</f>
        <v>1</v>
      </c>
      <c r="G18" s="333" t="s">
        <v>100</v>
      </c>
      <c r="H18" s="333">
        <f>IF(OR(B7=3),1,0)</f>
        <v>0</v>
      </c>
      <c r="I18" s="333" t="s">
        <v>111</v>
      </c>
      <c r="J18" s="333">
        <f t="shared" si="2"/>
        <v>1</v>
      </c>
      <c r="K18" s="10">
        <f t="shared" si="3"/>
        <v>0</v>
      </c>
    </row>
    <row r="19" spans="1:11" x14ac:dyDescent="0.3">
      <c r="A19" s="338">
        <f t="shared" si="0"/>
        <v>0</v>
      </c>
      <c r="B19" s="333">
        <v>0.25</v>
      </c>
      <c r="C19" s="333" t="s">
        <v>97</v>
      </c>
      <c r="D19" s="333">
        <f t="shared" si="1"/>
        <v>0</v>
      </c>
      <c r="E19" s="333">
        <v>0</v>
      </c>
      <c r="F19" s="333">
        <f t="shared" si="4"/>
        <v>1</v>
      </c>
      <c r="G19" s="333" t="s">
        <v>100</v>
      </c>
      <c r="H19" s="333">
        <f>IF(OR(B7=3),1,0)</f>
        <v>0</v>
      </c>
      <c r="I19" s="333" t="s">
        <v>111</v>
      </c>
      <c r="J19" s="333">
        <f t="shared" si="2"/>
        <v>1</v>
      </c>
      <c r="K19" s="10">
        <f t="shared" si="3"/>
        <v>0</v>
      </c>
    </row>
    <row r="20" spans="1:11" x14ac:dyDescent="0.3">
      <c r="A20" s="338">
        <f t="shared" si="0"/>
        <v>0</v>
      </c>
      <c r="B20" s="333">
        <v>0.37</v>
      </c>
      <c r="C20" s="333" t="s">
        <v>96</v>
      </c>
      <c r="D20" s="333">
        <f t="shared" si="1"/>
        <v>0</v>
      </c>
      <c r="E20" s="333">
        <v>0</v>
      </c>
      <c r="F20" s="333">
        <f t="shared" si="4"/>
        <v>1</v>
      </c>
      <c r="G20" s="333" t="s">
        <v>100</v>
      </c>
      <c r="H20" s="333">
        <f>IF(OR(B7=3),1,0)</f>
        <v>0</v>
      </c>
      <c r="I20" s="333" t="s">
        <v>98</v>
      </c>
      <c r="J20" s="333">
        <f t="shared" si="2"/>
        <v>0</v>
      </c>
      <c r="K20" s="10">
        <f t="shared" si="3"/>
        <v>0</v>
      </c>
    </row>
    <row r="21" spans="1:11" x14ac:dyDescent="0.3">
      <c r="A21" s="338">
        <f t="shared" si="0"/>
        <v>0</v>
      </c>
      <c r="B21" s="333">
        <v>0.28999999999999998</v>
      </c>
      <c r="C21" s="333" t="s">
        <v>97</v>
      </c>
      <c r="D21" s="333">
        <f t="shared" si="1"/>
        <v>0</v>
      </c>
      <c r="E21" s="333">
        <v>0</v>
      </c>
      <c r="F21" s="333">
        <f t="shared" si="4"/>
        <v>1</v>
      </c>
      <c r="G21" s="333" t="s">
        <v>100</v>
      </c>
      <c r="H21" s="333">
        <f>IF(OR(B7=3),1,0)</f>
        <v>0</v>
      </c>
      <c r="I21" s="333" t="s">
        <v>98</v>
      </c>
      <c r="J21" s="333">
        <f t="shared" si="2"/>
        <v>0</v>
      </c>
      <c r="K21" s="10">
        <f t="shared" si="3"/>
        <v>0</v>
      </c>
    </row>
    <row r="22" spans="1:11" x14ac:dyDescent="0.3">
      <c r="A22" s="338">
        <f t="shared" si="0"/>
        <v>0</v>
      </c>
      <c r="B22" s="333">
        <v>0.6</v>
      </c>
      <c r="C22" s="333" t="s">
        <v>96</v>
      </c>
      <c r="D22" s="333">
        <f t="shared" si="1"/>
        <v>0</v>
      </c>
      <c r="E22" s="333">
        <v>0</v>
      </c>
      <c r="F22" s="333">
        <f t="shared" si="4"/>
        <v>1</v>
      </c>
      <c r="G22" s="333" t="s">
        <v>138</v>
      </c>
      <c r="H22" s="333">
        <f>IF(OR(B7=4,B7=5,B7=6),1,0)</f>
        <v>0</v>
      </c>
      <c r="I22" s="333" t="s">
        <v>111</v>
      </c>
      <c r="J22" s="333">
        <f t="shared" si="2"/>
        <v>1</v>
      </c>
      <c r="K22" s="10">
        <f t="shared" si="3"/>
        <v>0</v>
      </c>
    </row>
    <row r="23" spans="1:11" x14ac:dyDescent="0.3">
      <c r="A23" s="338">
        <f t="shared" si="0"/>
        <v>0</v>
      </c>
      <c r="B23" s="333">
        <v>0.5</v>
      </c>
      <c r="C23" s="333" t="s">
        <v>97</v>
      </c>
      <c r="D23" s="333">
        <f t="shared" si="1"/>
        <v>0</v>
      </c>
      <c r="E23" s="333">
        <v>0</v>
      </c>
      <c r="F23" s="333">
        <f t="shared" si="4"/>
        <v>1</v>
      </c>
      <c r="G23" s="333" t="s">
        <v>138</v>
      </c>
      <c r="H23" s="333">
        <f>IF(OR(B7=4,B7=5,B7=6),1,0)</f>
        <v>0</v>
      </c>
      <c r="I23" s="333" t="s">
        <v>111</v>
      </c>
      <c r="J23" s="333">
        <f t="shared" si="2"/>
        <v>1</v>
      </c>
      <c r="K23" s="10">
        <f t="shared" si="3"/>
        <v>0</v>
      </c>
    </row>
    <row r="24" spans="1:11" ht="14.5" thickBot="1" x14ac:dyDescent="0.35">
      <c r="A24" s="339">
        <f>SUM(A11:A23)</f>
        <v>0</v>
      </c>
      <c r="B24" s="335"/>
      <c r="C24" s="335"/>
      <c r="D24" s="335"/>
      <c r="E24" s="335"/>
      <c r="F24" s="335"/>
      <c r="G24" s="335"/>
      <c r="H24" s="335"/>
      <c r="I24" s="335"/>
      <c r="J24" s="335"/>
      <c r="K24" s="13"/>
    </row>
    <row r="25" spans="1:11" ht="14.5" thickBot="1" x14ac:dyDescent="0.35">
      <c r="B25" s="332"/>
      <c r="C25" s="332"/>
      <c r="D25" s="332"/>
      <c r="E25" s="332"/>
      <c r="F25" s="332"/>
    </row>
    <row r="26" spans="1:11" x14ac:dyDescent="0.3">
      <c r="A26" s="5" t="s">
        <v>146</v>
      </c>
      <c r="B26" s="6" t="s">
        <v>132</v>
      </c>
      <c r="C26" s="6" t="s">
        <v>146</v>
      </c>
      <c r="D26" s="6" t="s">
        <v>616</v>
      </c>
      <c r="E26" s="7" t="s">
        <v>147</v>
      </c>
    </row>
    <row r="27" spans="1:11" x14ac:dyDescent="0.3">
      <c r="A27" s="15"/>
      <c r="B27" s="9">
        <v>0.8</v>
      </c>
      <c r="C27" s="9">
        <v>1.44</v>
      </c>
      <c r="D27" s="9">
        <f>IF(B4=0.8,1,0)</f>
        <v>0</v>
      </c>
      <c r="E27" s="10">
        <f>D27*C27</f>
        <v>0</v>
      </c>
    </row>
    <row r="28" spans="1:11" x14ac:dyDescent="0.3">
      <c r="A28" s="15"/>
      <c r="B28" s="9">
        <v>0.6</v>
      </c>
      <c r="C28" s="9">
        <v>0.13</v>
      </c>
      <c r="D28" s="9">
        <f>IF(B4=0.6,1,0)</f>
        <v>0</v>
      </c>
      <c r="E28" s="10">
        <f>D28*C28</f>
        <v>0</v>
      </c>
    </row>
    <row r="29" spans="1:11" ht="14.5" thickBot="1" x14ac:dyDescent="0.35">
      <c r="A29" s="16"/>
      <c r="B29" s="12"/>
      <c r="C29" s="12"/>
      <c r="D29" s="12"/>
      <c r="E29" s="13">
        <f>E27+E28</f>
        <v>0</v>
      </c>
    </row>
    <row r="30" spans="1:11" ht="14.5" thickBot="1" x14ac:dyDescent="0.35"/>
    <row r="31" spans="1:11" x14ac:dyDescent="0.3">
      <c r="A31" s="5" t="s">
        <v>135</v>
      </c>
      <c r="B31" s="6"/>
      <c r="C31" s="6"/>
      <c r="D31" s="6"/>
      <c r="E31" s="6"/>
      <c r="F31" s="6"/>
      <c r="G31" s="6"/>
      <c r="H31" s="6"/>
      <c r="I31" s="7"/>
    </row>
    <row r="32" spans="1:11" x14ac:dyDescent="0.3">
      <c r="A32" s="338" t="s">
        <v>145</v>
      </c>
      <c r="B32" s="333" t="s">
        <v>141</v>
      </c>
      <c r="C32" s="333" t="s">
        <v>142</v>
      </c>
      <c r="D32" s="333" t="s">
        <v>130</v>
      </c>
      <c r="E32" s="333" t="s">
        <v>579</v>
      </c>
      <c r="F32" s="333" t="s">
        <v>109</v>
      </c>
      <c r="G32" s="333" t="s">
        <v>652</v>
      </c>
      <c r="H32" s="333" t="s">
        <v>143</v>
      </c>
      <c r="I32" s="10" t="s">
        <v>135</v>
      </c>
    </row>
    <row r="33" spans="1:9" ht="14.5" thickBot="1" x14ac:dyDescent="0.35">
      <c r="A33" s="339">
        <v>1E-3</v>
      </c>
      <c r="B33" s="335">
        <v>1</v>
      </c>
      <c r="C33" s="335">
        <f>A24</f>
        <v>0</v>
      </c>
      <c r="D33" s="335">
        <v>2.5</v>
      </c>
      <c r="E33" s="335">
        <f>B3</f>
        <v>0.4</v>
      </c>
      <c r="F33" s="335">
        <v>185</v>
      </c>
      <c r="G33" s="335">
        <v>24</v>
      </c>
      <c r="H33" s="335">
        <v>1</v>
      </c>
      <c r="I33" s="13">
        <f>A33*B33*C33*D33*E33*F33*G33*H33</f>
        <v>0</v>
      </c>
    </row>
    <row r="34" spans="1:9" ht="14.5" thickBot="1" x14ac:dyDescent="0.35">
      <c r="A34" s="788" t="s">
        <v>882</v>
      </c>
      <c r="B34" s="789">
        <v>1</v>
      </c>
      <c r="C34" s="789">
        <f>B19</f>
        <v>0.25</v>
      </c>
      <c r="E34" s="787">
        <f>Rechnungen!AE400</f>
        <v>0.4</v>
      </c>
      <c r="H34" s="788" t="s">
        <v>882</v>
      </c>
      <c r="I34" s="790">
        <f>A33*B34*C34*D33*E34*F33*G33*H33</f>
        <v>1.1099999999999999</v>
      </c>
    </row>
    <row r="35" spans="1:9" x14ac:dyDescent="0.3">
      <c r="A35" s="5" t="s">
        <v>144</v>
      </c>
      <c r="B35" s="6"/>
      <c r="C35" s="6"/>
      <c r="D35" s="6"/>
      <c r="E35" s="6"/>
      <c r="F35" s="7" t="s">
        <v>173</v>
      </c>
    </row>
    <row r="36" spans="1:9" x14ac:dyDescent="0.3">
      <c r="A36" s="338" t="s">
        <v>129</v>
      </c>
      <c r="B36" s="333" t="s">
        <v>130</v>
      </c>
      <c r="C36" s="333" t="s">
        <v>146</v>
      </c>
      <c r="D36" s="333" t="s">
        <v>579</v>
      </c>
      <c r="E36" s="9" t="s">
        <v>144</v>
      </c>
      <c r="F36" s="10" t="s">
        <v>171</v>
      </c>
    </row>
    <row r="37" spans="1:9" ht="14.5" thickBot="1" x14ac:dyDescent="0.35">
      <c r="A37" s="339">
        <v>0.34</v>
      </c>
      <c r="B37" s="335">
        <v>2.5</v>
      </c>
      <c r="C37" s="335">
        <f>E29</f>
        <v>0</v>
      </c>
      <c r="D37" s="335">
        <f>B3</f>
        <v>0.4</v>
      </c>
      <c r="E37" s="12">
        <f>A37*B37*C37*D37*F37</f>
        <v>0</v>
      </c>
      <c r="F37" s="13">
        <f>IF(OR(B7=3),0,1)</f>
        <v>1</v>
      </c>
    </row>
    <row r="38" spans="1:9" ht="14.5" thickBot="1" x14ac:dyDescent="0.35"/>
    <row r="39" spans="1:9" x14ac:dyDescent="0.3">
      <c r="A39" s="20" t="s">
        <v>148</v>
      </c>
    </row>
    <row r="40" spans="1:9" ht="14.5" thickBot="1" x14ac:dyDescent="0.35">
      <c r="A40" s="18">
        <v>0</v>
      </c>
    </row>
    <row r="41" spans="1:9" ht="14.5" thickBot="1" x14ac:dyDescent="0.35"/>
    <row r="42" spans="1:9" x14ac:dyDescent="0.3">
      <c r="A42" s="5" t="s">
        <v>474</v>
      </c>
      <c r="B42" s="6"/>
      <c r="C42" s="6"/>
      <c r="D42" s="7"/>
    </row>
    <row r="43" spans="1:9" x14ac:dyDescent="0.3">
      <c r="A43" s="338" t="s">
        <v>135</v>
      </c>
      <c r="B43" s="333" t="s">
        <v>144</v>
      </c>
      <c r="C43" s="333" t="s">
        <v>148</v>
      </c>
      <c r="D43" s="330" t="s">
        <v>474</v>
      </c>
    </row>
    <row r="44" spans="1:9" ht="14.5" thickBot="1" x14ac:dyDescent="0.35">
      <c r="A44" s="339">
        <f>I33</f>
        <v>0</v>
      </c>
      <c r="B44" s="335">
        <f>E37</f>
        <v>0</v>
      </c>
      <c r="C44" s="335">
        <f>A40</f>
        <v>0</v>
      </c>
      <c r="D44" s="354">
        <f>A44+B44+C44</f>
        <v>0</v>
      </c>
    </row>
  </sheetData>
  <customSheetViews>
    <customSheetView guid="{586D4F31-1FA3-11D6-B431-009027A4C716}" showGridLines="0" state="hidden" showRuler="0">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0"/>
  <dimension ref="A1:N74"/>
  <sheetViews>
    <sheetView showGridLines="0" workbookViewId="0"/>
  </sheetViews>
  <sheetFormatPr baseColWidth="10" defaultColWidth="11" defaultRowHeight="14" x14ac:dyDescent="0.3"/>
  <cols>
    <col min="1" max="16384" width="11" style="258"/>
  </cols>
  <sheetData>
    <row r="1" spans="1:12" x14ac:dyDescent="0.3">
      <c r="A1" s="104" t="s">
        <v>367</v>
      </c>
    </row>
    <row r="2" spans="1:12" ht="14.5" thickBot="1" x14ac:dyDescent="0.35">
      <c r="A2" s="257"/>
    </row>
    <row r="3" spans="1:12" ht="14.5" thickBot="1" x14ac:dyDescent="0.35">
      <c r="A3" s="20" t="s">
        <v>363</v>
      </c>
      <c r="C3" s="2" t="s">
        <v>89</v>
      </c>
      <c r="D3" s="4"/>
      <c r="E3" s="260">
        <f>Rechnungen!C485</f>
        <v>1</v>
      </c>
    </row>
    <row r="4" spans="1:12" ht="14.5" thickBot="1" x14ac:dyDescent="0.35">
      <c r="A4" s="261">
        <f>Rechnungen!D14</f>
        <v>320</v>
      </c>
      <c r="C4" s="2" t="s">
        <v>367</v>
      </c>
      <c r="D4" s="4"/>
      <c r="E4" s="260">
        <f>Rechnungen!F493</f>
        <v>3</v>
      </c>
    </row>
    <row r="6" spans="1:12" ht="14.5" thickBot="1" x14ac:dyDescent="0.35"/>
    <row r="7" spans="1:12" ht="14.5" thickBot="1" x14ac:dyDescent="0.35">
      <c r="B7" s="5" t="s">
        <v>428</v>
      </c>
      <c r="C7" s="6"/>
      <c r="D7" s="6"/>
      <c r="E7" s="6"/>
      <c r="F7" s="6"/>
      <c r="G7" s="7"/>
      <c r="H7" s="5" t="s">
        <v>426</v>
      </c>
      <c r="I7" s="6"/>
      <c r="J7" s="6"/>
      <c r="K7" s="6"/>
      <c r="L7" s="7"/>
    </row>
    <row r="8" spans="1:12" x14ac:dyDescent="0.3">
      <c r="B8" s="5" t="s">
        <v>524</v>
      </c>
      <c r="C8" s="6"/>
      <c r="D8" s="7"/>
      <c r="E8" s="5" t="s">
        <v>525</v>
      </c>
      <c r="F8" s="6"/>
      <c r="G8" s="7"/>
      <c r="H8" s="5" t="s">
        <v>524</v>
      </c>
      <c r="I8" s="6"/>
      <c r="J8" s="7"/>
      <c r="K8" s="5" t="s">
        <v>525</v>
      </c>
      <c r="L8" s="7"/>
    </row>
    <row r="9" spans="1:12" x14ac:dyDescent="0.3">
      <c r="B9" s="15" t="s">
        <v>526</v>
      </c>
      <c r="C9" s="9">
        <f>28.5+0.05*A4</f>
        <v>44.5</v>
      </c>
      <c r="D9" s="10"/>
      <c r="E9" s="15" t="s">
        <v>526</v>
      </c>
      <c r="F9" s="9">
        <f>27.5+0.025*A4</f>
        <v>35.5</v>
      </c>
      <c r="G9" s="10"/>
      <c r="H9" s="15" t="s">
        <v>526</v>
      </c>
      <c r="I9" s="9">
        <f>28.5+0.05*A4</f>
        <v>44.5</v>
      </c>
      <c r="J9" s="10"/>
      <c r="K9" s="15" t="s">
        <v>526</v>
      </c>
      <c r="L9" s="10">
        <f>27.5+0.025*A4</f>
        <v>35.5</v>
      </c>
    </row>
    <row r="10" spans="1:12" x14ac:dyDescent="0.3">
      <c r="B10" s="15" t="s">
        <v>527</v>
      </c>
      <c r="C10" s="9">
        <f>0.075*A4</f>
        <v>24</v>
      </c>
      <c r="D10" s="10"/>
      <c r="E10" s="15" t="s">
        <v>527</v>
      </c>
      <c r="F10" s="9">
        <f>0.075*A4</f>
        <v>24</v>
      </c>
      <c r="G10" s="10"/>
      <c r="H10" s="15" t="s">
        <v>527</v>
      </c>
      <c r="I10" s="9">
        <f>0.075*A4</f>
        <v>24</v>
      </c>
      <c r="J10" s="10"/>
      <c r="K10" s="15" t="s">
        <v>527</v>
      </c>
      <c r="L10" s="10">
        <f>0.075*A4</f>
        <v>24</v>
      </c>
    </row>
    <row r="11" spans="1:12" x14ac:dyDescent="0.3">
      <c r="B11" s="15" t="s">
        <v>528</v>
      </c>
      <c r="C11" s="9">
        <f>0.55*A4</f>
        <v>176</v>
      </c>
      <c r="D11" s="10"/>
      <c r="E11" s="15" t="s">
        <v>528</v>
      </c>
      <c r="F11" s="9">
        <f>0.55*A4</f>
        <v>176</v>
      </c>
      <c r="G11" s="10"/>
      <c r="H11" s="15" t="s">
        <v>529</v>
      </c>
      <c r="I11" s="9">
        <f>0.55*A4</f>
        <v>176</v>
      </c>
      <c r="J11" s="10"/>
      <c r="K11" s="15" t="s">
        <v>528</v>
      </c>
      <c r="L11" s="10">
        <f>0.55*A4</f>
        <v>176</v>
      </c>
    </row>
    <row r="12" spans="1:12" x14ac:dyDescent="0.3">
      <c r="B12" s="15" t="s">
        <v>530</v>
      </c>
      <c r="C12" s="9">
        <v>0.15</v>
      </c>
      <c r="D12" s="10"/>
      <c r="E12" s="15" t="s">
        <v>530</v>
      </c>
      <c r="F12" s="9">
        <v>0.15</v>
      </c>
      <c r="G12" s="10"/>
      <c r="H12" s="15" t="s">
        <v>530</v>
      </c>
      <c r="I12" s="9">
        <v>1</v>
      </c>
      <c r="J12" s="10"/>
      <c r="K12" s="15" t="s">
        <v>530</v>
      </c>
      <c r="L12" s="10">
        <v>1</v>
      </c>
    </row>
    <row r="13" spans="1:12" x14ac:dyDescent="0.3">
      <c r="B13" s="15" t="s">
        <v>531</v>
      </c>
      <c r="C13" s="9">
        <v>0.15</v>
      </c>
      <c r="D13" s="10"/>
      <c r="E13" s="15" t="s">
        <v>531</v>
      </c>
      <c r="F13" s="9">
        <v>0.15</v>
      </c>
      <c r="G13" s="10"/>
      <c r="H13" s="15" t="s">
        <v>531</v>
      </c>
      <c r="I13" s="9">
        <v>0.15</v>
      </c>
      <c r="J13" s="10"/>
      <c r="K13" s="15" t="s">
        <v>531</v>
      </c>
      <c r="L13" s="10">
        <v>0.15</v>
      </c>
    </row>
    <row r="14" spans="1:12" x14ac:dyDescent="0.3">
      <c r="B14" s="15" t="s">
        <v>532</v>
      </c>
      <c r="C14" s="9">
        <v>0.1</v>
      </c>
      <c r="D14" s="10"/>
      <c r="E14" s="15" t="s">
        <v>532</v>
      </c>
      <c r="F14" s="9">
        <v>0.1</v>
      </c>
      <c r="G14" s="10"/>
      <c r="H14" s="15" t="s">
        <v>532</v>
      </c>
      <c r="I14" s="9">
        <v>0.1</v>
      </c>
      <c r="J14" s="10"/>
      <c r="K14" s="15" t="s">
        <v>532</v>
      </c>
      <c r="L14" s="10">
        <v>0.1</v>
      </c>
    </row>
    <row r="15" spans="1:12" x14ac:dyDescent="0.3">
      <c r="B15" s="15" t="s">
        <v>533</v>
      </c>
      <c r="C15" s="9">
        <v>1</v>
      </c>
      <c r="D15" s="10"/>
      <c r="E15" s="15" t="s">
        <v>533</v>
      </c>
      <c r="F15" s="9">
        <v>1</v>
      </c>
      <c r="G15" s="10"/>
      <c r="H15" s="15" t="s">
        <v>533</v>
      </c>
      <c r="I15" s="9">
        <v>1</v>
      </c>
      <c r="J15" s="10"/>
      <c r="K15" s="15" t="s">
        <v>533</v>
      </c>
      <c r="L15" s="10">
        <v>1</v>
      </c>
    </row>
    <row r="16" spans="1:12" x14ac:dyDescent="0.3">
      <c r="B16" s="15" t="s">
        <v>534</v>
      </c>
      <c r="C16" s="9">
        <v>1</v>
      </c>
      <c r="D16" s="10"/>
      <c r="E16" s="15" t="s">
        <v>534</v>
      </c>
      <c r="F16" s="9">
        <v>1</v>
      </c>
      <c r="G16" s="10"/>
      <c r="H16" s="15" t="s">
        <v>534</v>
      </c>
      <c r="I16" s="9">
        <v>1</v>
      </c>
      <c r="J16" s="10"/>
      <c r="K16" s="15" t="s">
        <v>534</v>
      </c>
      <c r="L16" s="10">
        <v>1</v>
      </c>
    </row>
    <row r="17" spans="1:14" x14ac:dyDescent="0.3">
      <c r="B17" s="15" t="s">
        <v>535</v>
      </c>
      <c r="C17" s="9">
        <v>0.8</v>
      </c>
      <c r="D17" s="10"/>
      <c r="E17" s="15" t="s">
        <v>535</v>
      </c>
      <c r="F17" s="9">
        <v>0.8</v>
      </c>
      <c r="G17" s="10"/>
      <c r="H17" s="15" t="s">
        <v>535</v>
      </c>
      <c r="I17" s="9">
        <v>0.8</v>
      </c>
      <c r="J17" s="10"/>
      <c r="K17" s="15" t="s">
        <v>535</v>
      </c>
      <c r="L17" s="10">
        <v>0.8</v>
      </c>
    </row>
    <row r="18" spans="1:14" x14ac:dyDescent="0.3">
      <c r="B18" s="15" t="s">
        <v>536</v>
      </c>
      <c r="C18" s="9">
        <v>20</v>
      </c>
      <c r="D18" s="10"/>
      <c r="E18" s="15" t="s">
        <v>536</v>
      </c>
      <c r="F18" s="9">
        <v>20</v>
      </c>
      <c r="G18" s="10"/>
      <c r="H18" s="15" t="s">
        <v>536</v>
      </c>
      <c r="I18" s="9">
        <v>13</v>
      </c>
      <c r="J18" s="10"/>
      <c r="K18" s="15" t="s">
        <v>536</v>
      </c>
      <c r="L18" s="10">
        <v>13</v>
      </c>
    </row>
    <row r="19" spans="1:14" x14ac:dyDescent="0.3">
      <c r="B19" s="15" t="s">
        <v>537</v>
      </c>
      <c r="C19" s="9">
        <v>20</v>
      </c>
      <c r="D19" s="10"/>
      <c r="E19" s="15" t="s">
        <v>537</v>
      </c>
      <c r="F19" s="9">
        <v>20</v>
      </c>
      <c r="G19" s="10"/>
      <c r="H19" s="15" t="s">
        <v>537</v>
      </c>
      <c r="I19" s="9">
        <v>20</v>
      </c>
      <c r="J19" s="10"/>
      <c r="K19" s="15" t="s">
        <v>537</v>
      </c>
      <c r="L19" s="10">
        <v>20</v>
      </c>
    </row>
    <row r="20" spans="1:14" x14ac:dyDescent="0.3">
      <c r="B20" s="15" t="s">
        <v>538</v>
      </c>
      <c r="C20" s="9">
        <v>20</v>
      </c>
      <c r="D20" s="10"/>
      <c r="E20" s="15" t="s">
        <v>538</v>
      </c>
      <c r="F20" s="9">
        <v>20</v>
      </c>
      <c r="G20" s="10"/>
      <c r="H20" s="15" t="s">
        <v>538</v>
      </c>
      <c r="I20" s="9">
        <v>20</v>
      </c>
      <c r="J20" s="10"/>
      <c r="K20" s="15" t="s">
        <v>538</v>
      </c>
      <c r="L20" s="10">
        <v>20</v>
      </c>
    </row>
    <row r="21" spans="1:14" x14ac:dyDescent="0.3">
      <c r="B21" s="15" t="s">
        <v>539</v>
      </c>
      <c r="C21" s="9">
        <v>0.255</v>
      </c>
      <c r="D21" s="10"/>
      <c r="E21" s="15" t="s">
        <v>539</v>
      </c>
      <c r="F21" s="9">
        <v>0.255</v>
      </c>
      <c r="G21" s="10"/>
      <c r="H21" s="15" t="s">
        <v>539</v>
      </c>
      <c r="I21" s="9">
        <v>0.2</v>
      </c>
      <c r="J21" s="10"/>
      <c r="K21" s="15" t="s">
        <v>539</v>
      </c>
      <c r="L21" s="10">
        <v>0.2</v>
      </c>
    </row>
    <row r="22" spans="1:14" x14ac:dyDescent="0.3">
      <c r="B22" s="15" t="s">
        <v>540</v>
      </c>
      <c r="C22" s="9">
        <v>0.255</v>
      </c>
      <c r="D22" s="10"/>
      <c r="E22" s="15" t="s">
        <v>540</v>
      </c>
      <c r="F22" s="9">
        <v>0.255</v>
      </c>
      <c r="G22" s="10"/>
      <c r="H22" s="15" t="s">
        <v>540</v>
      </c>
      <c r="I22" s="9">
        <v>0.255</v>
      </c>
      <c r="J22" s="10"/>
      <c r="K22" s="15" t="s">
        <v>540</v>
      </c>
      <c r="L22" s="10">
        <v>0.255</v>
      </c>
    </row>
    <row r="23" spans="1:14" ht="14.5" thickBot="1" x14ac:dyDescent="0.35">
      <c r="B23" s="16" t="s">
        <v>541</v>
      </c>
      <c r="C23" s="12">
        <v>0.255</v>
      </c>
      <c r="D23" s="13"/>
      <c r="E23" s="16" t="s">
        <v>541</v>
      </c>
      <c r="F23" s="12">
        <v>0.255</v>
      </c>
      <c r="G23" s="13"/>
      <c r="H23" s="16" t="s">
        <v>541</v>
      </c>
      <c r="I23" s="12">
        <v>0.255</v>
      </c>
      <c r="J23" s="13"/>
      <c r="K23" s="16" t="s">
        <v>541</v>
      </c>
      <c r="L23" s="13">
        <v>0.255</v>
      </c>
    </row>
    <row r="25" spans="1:14" ht="14.5" thickBot="1" x14ac:dyDescent="0.35"/>
    <row r="26" spans="1:14" x14ac:dyDescent="0.3">
      <c r="A26" s="20" t="s">
        <v>545</v>
      </c>
      <c r="B26" s="20" t="s">
        <v>542</v>
      </c>
      <c r="C26" s="5">
        <f>1/1000*C21*C9*(A27-C18)*C12*C15*185*24</f>
        <v>274.65162944068572</v>
      </c>
      <c r="D26" s="7"/>
      <c r="E26" s="20" t="s">
        <v>542</v>
      </c>
      <c r="F26" s="6">
        <f>1/1000*F21*F9*(A27-F18)*F12*F15*185*24</f>
        <v>219.10410887964821</v>
      </c>
      <c r="G26" s="7"/>
      <c r="H26" s="20" t="s">
        <v>542</v>
      </c>
      <c r="I26" s="6">
        <f>1/1000*I21*I9*(A27-I18)*I12*I15*185*24</f>
        <v>1712.698951323847</v>
      </c>
      <c r="J26" s="7"/>
      <c r="K26" s="20" t="s">
        <v>542</v>
      </c>
      <c r="L26" s="7">
        <f>1/1000*L21*L9*(A27-L18)*L12*L15*185*24</f>
        <v>1366.3103993707095</v>
      </c>
    </row>
    <row r="27" spans="1:14" x14ac:dyDescent="0.3">
      <c r="A27" s="607">
        <f>'H-04'!$G$10</f>
        <v>56.341910905047243</v>
      </c>
      <c r="B27" s="17" t="s">
        <v>543</v>
      </c>
      <c r="C27" s="15">
        <f>1/1000*C22*C10*(A28-C19)*C13*C16*185*24</f>
        <v>148.12672149610017</v>
      </c>
      <c r="D27" s="10"/>
      <c r="E27" s="17" t="s">
        <v>543</v>
      </c>
      <c r="F27" s="9">
        <f>1/1000*F22*F10*(A28-F19)*F13*F16*185*24</f>
        <v>148.12672149610017</v>
      </c>
      <c r="G27" s="10"/>
      <c r="H27" s="17" t="s">
        <v>543</v>
      </c>
      <c r="I27" s="9">
        <f>1/1000*I22*I10*(A28-I19)*I13*I16*185*24</f>
        <v>148.12672149610017</v>
      </c>
      <c r="J27" s="10"/>
      <c r="K27" s="17" t="s">
        <v>543</v>
      </c>
      <c r="L27" s="10">
        <f>1/1000*L22*L10*(A28-L19)*L13*L16*185*24</f>
        <v>148.12672149610017</v>
      </c>
    </row>
    <row r="28" spans="1:14" x14ac:dyDescent="0.3">
      <c r="A28" s="607">
        <f>'H-04'!$G$10</f>
        <v>56.341910905047243</v>
      </c>
      <c r="B28" s="17" t="s">
        <v>544</v>
      </c>
      <c r="C28" s="15">
        <f>1/1000*C23*C11*(A29-C20)*C14*C17*185*24</f>
        <v>579.34006629585849</v>
      </c>
      <c r="D28" s="10"/>
      <c r="E28" s="17" t="s">
        <v>544</v>
      </c>
      <c r="F28" s="9">
        <f>1/1000*F23*F11*(A29-F20)*F14*F17*185*24</f>
        <v>579.34006629585849</v>
      </c>
      <c r="G28" s="10"/>
      <c r="H28" s="17" t="s">
        <v>544</v>
      </c>
      <c r="I28" s="9">
        <f>1/1000*I23*I11*(A29-I20)*I14*I17*185*24</f>
        <v>579.34006629585849</v>
      </c>
      <c r="J28" s="10"/>
      <c r="K28" s="17" t="s">
        <v>544</v>
      </c>
      <c r="L28" s="10">
        <f>1/1000*L23*L11*(A29-L20)*L14*L17*185*24</f>
        <v>579.34006629585849</v>
      </c>
    </row>
    <row r="29" spans="1:14" x14ac:dyDescent="0.3">
      <c r="A29" s="607">
        <f>'H-04'!$G$10</f>
        <v>56.341910905047243</v>
      </c>
      <c r="B29" s="17" t="s">
        <v>520</v>
      </c>
      <c r="C29" s="105">
        <f>(C26+C27+C28)/A4</f>
        <v>3.1316200538520134</v>
      </c>
      <c r="D29" s="106"/>
      <c r="E29" s="17" t="s">
        <v>520</v>
      </c>
      <c r="F29" s="107">
        <f>(F26+F27+F28)/A4</f>
        <v>2.9580340520987716</v>
      </c>
      <c r="G29" s="106"/>
      <c r="H29" s="17" t="s">
        <v>520</v>
      </c>
      <c r="I29" s="107">
        <f>(I26+I27+I28)/A4</f>
        <v>7.6255179347368927</v>
      </c>
      <c r="J29" s="106"/>
      <c r="K29" s="17" t="s">
        <v>520</v>
      </c>
      <c r="L29" s="106">
        <f>(L26+L27+L28)/A4</f>
        <v>6.5430537098833383</v>
      </c>
    </row>
    <row r="30" spans="1:14" x14ac:dyDescent="0.3">
      <c r="A30" s="17"/>
      <c r="B30" s="17" t="b">
        <v>1</v>
      </c>
      <c r="C30" s="105">
        <f>IF(E3=1,1,0)</f>
        <v>1</v>
      </c>
      <c r="D30" s="106"/>
      <c r="E30" s="17"/>
      <c r="F30" s="107">
        <f>IF(E3=1,1,0)</f>
        <v>1</v>
      </c>
      <c r="G30" s="106"/>
      <c r="H30" s="17"/>
      <c r="I30" s="107">
        <f>IF(E3=1,1,0)</f>
        <v>1</v>
      </c>
      <c r="J30" s="106"/>
      <c r="K30" s="17"/>
      <c r="L30" s="106">
        <f>IF(E3=1,1,0)</f>
        <v>1</v>
      </c>
    </row>
    <row r="31" spans="1:14" ht="14.5" thickBot="1" x14ac:dyDescent="0.35">
      <c r="A31" s="18"/>
      <c r="B31" s="18" t="s">
        <v>429</v>
      </c>
      <c r="C31" s="108">
        <f>C29*C30</f>
        <v>3.1316200538520134</v>
      </c>
      <c r="D31" s="109"/>
      <c r="E31" s="18"/>
      <c r="F31" s="110">
        <f>F29*F30</f>
        <v>2.9580340520987716</v>
      </c>
      <c r="G31" s="109"/>
      <c r="H31" s="18"/>
      <c r="I31" s="110">
        <f>I29*I30</f>
        <v>7.6255179347368927</v>
      </c>
      <c r="J31" s="109"/>
      <c r="K31" s="18"/>
      <c r="L31" s="109">
        <f>L29*L30</f>
        <v>6.5430537098833383</v>
      </c>
      <c r="N31" s="259"/>
    </row>
    <row r="32" spans="1:14" x14ac:dyDescent="0.3">
      <c r="A32" s="20" t="s">
        <v>448</v>
      </c>
      <c r="B32" s="20" t="s">
        <v>542</v>
      </c>
      <c r="C32" s="5">
        <f>1/1000*C21*C9*(A33-C18)*C12*C15*185*24</f>
        <v>194.54490418715241</v>
      </c>
      <c r="D32" s="7"/>
      <c r="E32" s="20" t="s">
        <v>542</v>
      </c>
      <c r="F32" s="6">
        <f>1/1000*F21*F9*(A33-F18)*F12*F15*185*24</f>
        <v>155.19874378975084</v>
      </c>
      <c r="G32" s="7"/>
      <c r="H32" s="20" t="s">
        <v>542</v>
      </c>
      <c r="I32" s="6">
        <f>1/1000*I21*I9*(A33-I18)*I12*I15*185*24</f>
        <v>1293.840257187725</v>
      </c>
      <c r="J32" s="7"/>
      <c r="K32" s="20" t="s">
        <v>542</v>
      </c>
      <c r="L32" s="7">
        <f>1/1000*L21*L9*(A33-L18)*L12*L15*185*24</f>
        <v>1032.1646995542526</v>
      </c>
    </row>
    <row r="33" spans="1:14" x14ac:dyDescent="0.3">
      <c r="A33" s="607">
        <f>'H-04'!$F$10</f>
        <v>45.742186891075136</v>
      </c>
      <c r="B33" s="17" t="s">
        <v>543</v>
      </c>
      <c r="C33" s="15">
        <f>1/1000*C22*C10*(A34-C19)*C13*C16*185*24</f>
        <v>104.92309439307095</v>
      </c>
      <c r="D33" s="10"/>
      <c r="E33" s="17" t="s">
        <v>543</v>
      </c>
      <c r="F33" s="9">
        <f>1/1000*F22*F10*(A34-F19)*F13*F16*185*24</f>
        <v>104.92309439307095</v>
      </c>
      <c r="G33" s="10"/>
      <c r="H33" s="17" t="s">
        <v>543</v>
      </c>
      <c r="I33" s="9">
        <f>1/1000*I22*I10*(A34-I19)*I13*I16*185*24</f>
        <v>104.92309439307095</v>
      </c>
      <c r="J33" s="10"/>
      <c r="K33" s="17" t="s">
        <v>543</v>
      </c>
      <c r="L33" s="10">
        <f>1/1000*L22*L10*(A34-L19)*L13*L16*185*24</f>
        <v>104.92309439307095</v>
      </c>
    </row>
    <row r="34" spans="1:14" x14ac:dyDescent="0.3">
      <c r="A34" s="607">
        <f>'H-04'!$F$10</f>
        <v>45.742186891075136</v>
      </c>
      <c r="B34" s="17" t="s">
        <v>544</v>
      </c>
      <c r="C34" s="15">
        <f>1/1000*C23*C11*(A35-C20)*C14*C17*185*24</f>
        <v>410.36588029289987</v>
      </c>
      <c r="D34" s="10"/>
      <c r="E34" s="17" t="s">
        <v>544</v>
      </c>
      <c r="F34" s="9">
        <f>1/1000*F23*F11*(A35-F20)*F14*F17*185*24</f>
        <v>410.36588029289987</v>
      </c>
      <c r="G34" s="10"/>
      <c r="H34" s="17" t="s">
        <v>544</v>
      </c>
      <c r="I34" s="9">
        <f>1/1000*I23*I11*(A35-I20)*I14*I17*185*24</f>
        <v>410.36588029289987</v>
      </c>
      <c r="J34" s="10"/>
      <c r="K34" s="17" t="s">
        <v>544</v>
      </c>
      <c r="L34" s="10">
        <f>1/1000*L23*L11*(A35-L20)*L14*L17*185*24</f>
        <v>410.36588029289987</v>
      </c>
    </row>
    <row r="35" spans="1:14" x14ac:dyDescent="0.3">
      <c r="A35" s="607">
        <f>'H-04'!$F$10</f>
        <v>45.742186891075136</v>
      </c>
      <c r="B35" s="17" t="s">
        <v>520</v>
      </c>
      <c r="C35" s="105">
        <f>(C32+C33+C34)/A4</f>
        <v>2.2182308714785099</v>
      </c>
      <c r="D35" s="106"/>
      <c r="E35" s="17" t="s">
        <v>520</v>
      </c>
      <c r="F35" s="107">
        <f>(F32+F33+F34)/A4</f>
        <v>2.0952741202366303</v>
      </c>
      <c r="G35" s="106"/>
      <c r="H35" s="17" t="s">
        <v>520</v>
      </c>
      <c r="I35" s="107">
        <f>(I32+I33+I34)/A4</f>
        <v>5.6535288496052996</v>
      </c>
      <c r="J35" s="106"/>
      <c r="K35" s="17" t="s">
        <v>520</v>
      </c>
      <c r="L35" s="106">
        <f>(L32+L33+L34)/A4</f>
        <v>4.8357927320006979</v>
      </c>
    </row>
    <row r="36" spans="1:14" x14ac:dyDescent="0.3">
      <c r="A36" s="17"/>
      <c r="B36" s="17" t="b">
        <v>1</v>
      </c>
      <c r="C36" s="105">
        <f>IF(E3=2,1,0)</f>
        <v>0</v>
      </c>
      <c r="D36" s="106"/>
      <c r="E36" s="17"/>
      <c r="F36" s="107">
        <f>IF(E3=2,1,0)</f>
        <v>0</v>
      </c>
      <c r="G36" s="106"/>
      <c r="H36" s="17"/>
      <c r="I36" s="107">
        <f>IF(E3=2,1,0)</f>
        <v>0</v>
      </c>
      <c r="J36" s="106"/>
      <c r="K36" s="17"/>
      <c r="L36" s="106">
        <f>IF(E3=2,1,0)</f>
        <v>0</v>
      </c>
    </row>
    <row r="37" spans="1:14" ht="14.5" thickBot="1" x14ac:dyDescent="0.35">
      <c r="A37" s="18"/>
      <c r="B37" s="18" t="s">
        <v>429</v>
      </c>
      <c r="C37" s="108">
        <f>C35*C36</f>
        <v>0</v>
      </c>
      <c r="D37" s="109"/>
      <c r="E37" s="18"/>
      <c r="F37" s="110">
        <f>F35*F36</f>
        <v>0</v>
      </c>
      <c r="G37" s="109"/>
      <c r="H37" s="18"/>
      <c r="I37" s="110">
        <f>I35*I36</f>
        <v>0</v>
      </c>
      <c r="J37" s="109"/>
      <c r="K37" s="18"/>
      <c r="L37" s="109">
        <f>L35*L36</f>
        <v>0</v>
      </c>
      <c r="N37" s="259"/>
    </row>
    <row r="38" spans="1:14" x14ac:dyDescent="0.3">
      <c r="A38" s="20" t="s">
        <v>449</v>
      </c>
      <c r="B38" s="20" t="s">
        <v>542</v>
      </c>
      <c r="C38" s="5">
        <f>1/1000*C21*C9*(A39-C18)*C12*C15*185*24</f>
        <v>137.32581472034289</v>
      </c>
      <c r="D38" s="7"/>
      <c r="E38" s="20" t="s">
        <v>542</v>
      </c>
      <c r="F38" s="6">
        <f>1/1000*F21*F9*(A39-F18)*F12*F15*185*24</f>
        <v>109.55205443982415</v>
      </c>
      <c r="G38" s="7"/>
      <c r="H38" s="20" t="s">
        <v>542</v>
      </c>
      <c r="I38" s="6">
        <f>1/1000*I21*I9*(A39-I18)*I12*I15*185*24</f>
        <v>994.65547566192367</v>
      </c>
      <c r="J38" s="7"/>
      <c r="K38" s="20" t="s">
        <v>542</v>
      </c>
      <c r="L38" s="7">
        <f>1/1000*L21*L9*(A39-L18)*L12*L15*185*24</f>
        <v>793.48919968535495</v>
      </c>
    </row>
    <row r="39" spans="1:14" x14ac:dyDescent="0.3">
      <c r="A39" s="607">
        <f>'H-04'!$E$10</f>
        <v>38.170955452523629</v>
      </c>
      <c r="B39" s="17" t="s">
        <v>543</v>
      </c>
      <c r="C39" s="15">
        <f>1/1000*C22*C10*(A40-C19)*C13*C16*185*24</f>
        <v>74.063360748050101</v>
      </c>
      <c r="D39" s="10"/>
      <c r="E39" s="17" t="s">
        <v>543</v>
      </c>
      <c r="F39" s="9">
        <f>1/1000*F22*F10*(A40-F19)*F13*F16*185*24</f>
        <v>74.063360748050101</v>
      </c>
      <c r="G39" s="10"/>
      <c r="H39" s="17" t="s">
        <v>543</v>
      </c>
      <c r="I39" s="9">
        <f>1/1000*I22*I10*(A40-I19)*I13*I16*185*24</f>
        <v>74.063360748050101</v>
      </c>
      <c r="J39" s="10"/>
      <c r="K39" s="17" t="s">
        <v>543</v>
      </c>
      <c r="L39" s="10">
        <f>1/1000*L22*L10*(A40-L19)*L13*L16*185*24</f>
        <v>74.063360748050101</v>
      </c>
    </row>
    <row r="40" spans="1:14" x14ac:dyDescent="0.3">
      <c r="A40" s="607">
        <f>'H-04'!$E$10</f>
        <v>38.170955452523629</v>
      </c>
      <c r="B40" s="17" t="s">
        <v>544</v>
      </c>
      <c r="C40" s="15">
        <f>1/1000*C23*C11*(A41-C20)*C14*C17*185*24</f>
        <v>289.67003314792936</v>
      </c>
      <c r="D40" s="10"/>
      <c r="E40" s="17" t="s">
        <v>544</v>
      </c>
      <c r="F40" s="9">
        <f>1/1000*F23*F11*(A41-F20)*F14*F17*185*24</f>
        <v>289.67003314792936</v>
      </c>
      <c r="G40" s="10"/>
      <c r="H40" s="17" t="s">
        <v>544</v>
      </c>
      <c r="I40" s="9">
        <f>1/1000*I23*I11*(A41-I20)*I14*I17*185*24</f>
        <v>289.67003314792936</v>
      </c>
      <c r="J40" s="10"/>
      <c r="K40" s="17" t="s">
        <v>544</v>
      </c>
      <c r="L40" s="10">
        <f>1/1000*L23*L11*(A41-L20)*L14*L17*185*24</f>
        <v>289.67003314792936</v>
      </c>
    </row>
    <row r="41" spans="1:14" x14ac:dyDescent="0.3">
      <c r="A41" s="607">
        <f>'H-04'!$E$10</f>
        <v>38.170955452523629</v>
      </c>
      <c r="B41" s="17" t="s">
        <v>520</v>
      </c>
      <c r="C41" s="105">
        <f>(C38+C39+C40)/A4</f>
        <v>1.5658100269260073</v>
      </c>
      <c r="D41" s="106"/>
      <c r="E41" s="17" t="s">
        <v>520</v>
      </c>
      <c r="F41" s="796">
        <f>(F38+F39+F40)/A4</f>
        <v>1.4790170260493862</v>
      </c>
      <c r="G41" s="106" t="s">
        <v>883</v>
      </c>
      <c r="H41" s="17" t="s">
        <v>520</v>
      </c>
      <c r="I41" s="107">
        <f>(I38+I39+I40)/A4</f>
        <v>4.2449652173684473</v>
      </c>
      <c r="J41" s="106"/>
      <c r="K41" s="17" t="s">
        <v>520</v>
      </c>
      <c r="L41" s="797">
        <f>(L38+L39+L40)/A4</f>
        <v>3.6163206049416701</v>
      </c>
      <c r="M41" s="258" t="s">
        <v>883</v>
      </c>
    </row>
    <row r="42" spans="1:14" x14ac:dyDescent="0.3">
      <c r="A42" s="17"/>
      <c r="B42" s="17" t="b">
        <v>1</v>
      </c>
      <c r="C42" s="105">
        <f>IF(E3=3,1,0)</f>
        <v>0</v>
      </c>
      <c r="D42" s="106"/>
      <c r="E42" s="17"/>
      <c r="F42" s="107">
        <f>IF(E3=3,1,0)</f>
        <v>0</v>
      </c>
      <c r="G42" s="106"/>
      <c r="H42" s="17"/>
      <c r="I42" s="107">
        <f>IF(E3=3,1,0)</f>
        <v>0</v>
      </c>
      <c r="J42" s="106"/>
      <c r="K42" s="17"/>
      <c r="L42" s="106">
        <f>IF(E3=3,1,0)</f>
        <v>0</v>
      </c>
    </row>
    <row r="43" spans="1:14" ht="14.5" thickBot="1" x14ac:dyDescent="0.35">
      <c r="A43" s="18"/>
      <c r="B43" s="18" t="s">
        <v>429</v>
      </c>
      <c r="C43" s="108">
        <f>C41*C42</f>
        <v>0</v>
      </c>
      <c r="D43" s="109"/>
      <c r="E43" s="18"/>
      <c r="F43" s="110">
        <f>F41*F42</f>
        <v>0</v>
      </c>
      <c r="G43" s="109"/>
      <c r="H43" s="18"/>
      <c r="I43" s="110">
        <f>I41*I42</f>
        <v>0</v>
      </c>
      <c r="J43" s="109"/>
      <c r="K43" s="18"/>
      <c r="L43" s="109">
        <f>L41*L42</f>
        <v>0</v>
      </c>
      <c r="N43" s="259"/>
    </row>
    <row r="44" spans="1:14" x14ac:dyDescent="0.3">
      <c r="A44" s="20" t="s">
        <v>450</v>
      </c>
      <c r="B44" s="20" t="s">
        <v>542</v>
      </c>
      <c r="C44" s="5">
        <f>1/1000*C21*C9*(A45-C18)*C12*C15*185*24</f>
        <v>48.055051194425403</v>
      </c>
      <c r="D44" s="7"/>
      <c r="E44" s="20" t="s">
        <v>542</v>
      </c>
      <c r="F44" s="6">
        <f>1/1000*F21*F9*(A45-F18)*F12*F15*185*24</f>
        <v>38.336052076451736</v>
      </c>
      <c r="G44" s="7"/>
      <c r="H44" s="20" t="s">
        <v>542</v>
      </c>
      <c r="I44" s="6">
        <f>1/1000*I21*I9*(A45-I18)*I12*I15*185*24</f>
        <v>527.88024153947924</v>
      </c>
      <c r="J44" s="7"/>
      <c r="K44" s="20" t="s">
        <v>542</v>
      </c>
      <c r="L44" s="7">
        <f>1/1000*L21*L9*(A45-L18)*L12*L15*185*24</f>
        <v>421.11794549778688</v>
      </c>
    </row>
    <row r="45" spans="1:14" x14ac:dyDescent="0.3">
      <c r="A45" s="607">
        <f>'H-04'!$D$10</f>
        <v>26.358645650862417</v>
      </c>
      <c r="B45" s="17" t="s">
        <v>543</v>
      </c>
      <c r="C45" s="15">
        <f>1/1000*C22*C10*(A46-C19)*C13*C16*185*24</f>
        <v>25.917330981263142</v>
      </c>
      <c r="D45" s="10"/>
      <c r="E45" s="17" t="s">
        <v>543</v>
      </c>
      <c r="F45" s="9">
        <f>1/1000*F22*F10*(A46-F19)*F13*F16*185*24</f>
        <v>25.917330981263142</v>
      </c>
      <c r="G45" s="10"/>
      <c r="H45" s="17" t="s">
        <v>543</v>
      </c>
      <c r="I45" s="9">
        <f>1/1000*I22*I10*(A46-I19)*I13*I16*185*24</f>
        <v>25.917330981263142</v>
      </c>
      <c r="J45" s="10"/>
      <c r="K45" s="17" t="s">
        <v>543</v>
      </c>
      <c r="L45" s="10">
        <f>1/1000*L22*L10*(A46-L19)*L13*L16*185*24</f>
        <v>25.917330981263142</v>
      </c>
    </row>
    <row r="46" spans="1:14" x14ac:dyDescent="0.3">
      <c r="A46" s="607">
        <f>'H-04'!$D$10</f>
        <v>26.358645650862417</v>
      </c>
      <c r="B46" s="17" t="s">
        <v>544</v>
      </c>
      <c r="C46" s="15">
        <f>1/1000*C23*C11*(A47-C20)*C14*C17*185*24</f>
        <v>101.36556117116251</v>
      </c>
      <c r="D46" s="10"/>
      <c r="E46" s="17" t="s">
        <v>544</v>
      </c>
      <c r="F46" s="9">
        <f>1/1000*F23*F11*(A47-F20)*F14*F17*185*24</f>
        <v>101.36556117116251</v>
      </c>
      <c r="G46" s="10"/>
      <c r="H46" s="17" t="s">
        <v>544</v>
      </c>
      <c r="I46" s="9">
        <f>1/1000*I23*I11*(A47-I20)*I14*I17*185*24</f>
        <v>101.36556117116251</v>
      </c>
      <c r="J46" s="10"/>
      <c r="K46" s="17" t="s">
        <v>544</v>
      </c>
      <c r="L46" s="10">
        <f>1/1000*L23*L11*(A47-L20)*L14*L17*185*24</f>
        <v>101.36556117116251</v>
      </c>
    </row>
    <row r="47" spans="1:14" x14ac:dyDescent="0.3">
      <c r="A47" s="607">
        <f>'H-04'!$D$10</f>
        <v>26.358645650862417</v>
      </c>
      <c r="B47" s="17" t="s">
        <v>520</v>
      </c>
      <c r="C47" s="105">
        <f>(C44+C45+C46)/A4</f>
        <v>0.54793107295890953</v>
      </c>
      <c r="D47" s="106"/>
      <c r="E47" s="17" t="s">
        <v>520</v>
      </c>
      <c r="F47" s="107">
        <f>(F44+F45+F46)/A4</f>
        <v>0.51755920071524186</v>
      </c>
      <c r="G47" s="106"/>
      <c r="H47" s="17" t="s">
        <v>520</v>
      </c>
      <c r="I47" s="107">
        <f>(I44+I45+I46)/A4</f>
        <v>2.0473847927872031</v>
      </c>
      <c r="J47" s="106"/>
      <c r="K47" s="17" t="s">
        <v>520</v>
      </c>
      <c r="L47" s="106">
        <f>(L44+L45+L46)/A4</f>
        <v>1.7137526176569142</v>
      </c>
    </row>
    <row r="48" spans="1:14" x14ac:dyDescent="0.3">
      <c r="A48" s="17"/>
      <c r="B48" s="17" t="b">
        <v>1</v>
      </c>
      <c r="C48" s="105">
        <f>IF(E3=4,1,0)</f>
        <v>0</v>
      </c>
      <c r="D48" s="106"/>
      <c r="E48" s="17"/>
      <c r="F48" s="107">
        <f>IF(E3=4,1,0)</f>
        <v>0</v>
      </c>
      <c r="G48" s="106"/>
      <c r="H48" s="17"/>
      <c r="I48" s="107">
        <f>IF(E3=4,1,0)</f>
        <v>0</v>
      </c>
      <c r="J48" s="106"/>
      <c r="K48" s="17"/>
      <c r="L48" s="106">
        <f>IF(E3=4,1,0)</f>
        <v>0</v>
      </c>
    </row>
    <row r="49" spans="1:14" ht="14.5" thickBot="1" x14ac:dyDescent="0.35">
      <c r="A49" s="18"/>
      <c r="B49" s="18" t="s">
        <v>429</v>
      </c>
      <c r="C49" s="108">
        <f>C47*C48</f>
        <v>0</v>
      </c>
      <c r="D49" s="109"/>
      <c r="E49" s="18"/>
      <c r="F49" s="110">
        <f>F47*F48</f>
        <v>0</v>
      </c>
      <c r="G49" s="109"/>
      <c r="H49" s="18"/>
      <c r="I49" s="110">
        <f>I47*I48</f>
        <v>0</v>
      </c>
      <c r="J49" s="109"/>
      <c r="K49" s="18"/>
      <c r="L49" s="109">
        <f>L47*L48</f>
        <v>0</v>
      </c>
      <c r="N49" s="259"/>
    </row>
    <row r="50" spans="1:14" ht="14.5" thickBot="1" x14ac:dyDescent="0.35"/>
    <row r="51" spans="1:14" ht="14.5" thickBot="1" x14ac:dyDescent="0.35">
      <c r="B51" s="2" t="s">
        <v>615</v>
      </c>
      <c r="C51" s="262">
        <f>C31+C37+C43+C49</f>
        <v>3.1316200538520134</v>
      </c>
      <c r="E51" s="2" t="s">
        <v>615</v>
      </c>
      <c r="F51" s="262">
        <f>F31+F37+F43+F49</f>
        <v>2.9580340520987716</v>
      </c>
      <c r="H51" s="2" t="s">
        <v>615</v>
      </c>
      <c r="I51" s="262">
        <f>I31+I37+I43+I49</f>
        <v>7.6255179347368927</v>
      </c>
      <c r="K51" s="2" t="s">
        <v>615</v>
      </c>
      <c r="L51" s="262">
        <f>L31+L37+L43+L49</f>
        <v>6.5430537098833383</v>
      </c>
    </row>
    <row r="53" spans="1:14" ht="14.5" thickBot="1" x14ac:dyDescent="0.35"/>
    <row r="54" spans="1:14" ht="14.5" thickBot="1" x14ac:dyDescent="0.35">
      <c r="B54" s="19" t="s">
        <v>400</v>
      </c>
    </row>
    <row r="55" spans="1:14" ht="14.5" thickBot="1" x14ac:dyDescent="0.35"/>
    <row r="56" spans="1:14" ht="14.5" thickBot="1" x14ac:dyDescent="0.35">
      <c r="B56" s="2" t="s">
        <v>363</v>
      </c>
      <c r="C56" s="3">
        <f>A4</f>
        <v>320</v>
      </c>
    </row>
    <row r="57" spans="1:14" ht="14.5" thickBot="1" x14ac:dyDescent="0.35"/>
    <row r="58" spans="1:14" ht="14.5" thickBot="1" x14ac:dyDescent="0.35">
      <c r="B58" s="2">
        <f>1.4-20/C56</f>
        <v>1.3374999999999999</v>
      </c>
      <c r="C58" s="4" t="s">
        <v>548</v>
      </c>
      <c r="D58" s="20" t="s">
        <v>553</v>
      </c>
      <c r="E58" s="20" t="s">
        <v>554</v>
      </c>
      <c r="F58" s="5"/>
      <c r="G58" s="7"/>
    </row>
    <row r="59" spans="1:14" x14ac:dyDescent="0.3">
      <c r="B59" s="5" t="s">
        <v>549</v>
      </c>
      <c r="C59" s="20">
        <f>41+0.046*C56</f>
        <v>55.72</v>
      </c>
      <c r="D59" s="17">
        <f>C59*185*24/B58/1000/C56</f>
        <v>0.5780299065420561</v>
      </c>
      <c r="E59" s="17">
        <f>C59*185*24/1000/1/C56</f>
        <v>0.773115</v>
      </c>
      <c r="F59" s="15">
        <f>IF(Rechnungen!C485=1,1,0)</f>
        <v>1</v>
      </c>
      <c r="G59" s="10" t="s">
        <v>545</v>
      </c>
    </row>
    <row r="60" spans="1:14" x14ac:dyDescent="0.3">
      <c r="B60" s="15" t="s">
        <v>550</v>
      </c>
      <c r="C60" s="17">
        <f>44+0.059*C56</f>
        <v>62.879999999999995</v>
      </c>
      <c r="D60" s="17">
        <f>C60*185*24/B58/1000/C56</f>
        <v>0.65230654205607475</v>
      </c>
      <c r="E60" s="17">
        <f>C60*185*24/1000/1/C56</f>
        <v>0.8724599999999999</v>
      </c>
      <c r="F60" s="15">
        <f>IF(Rechnungen!C485=2,1,0)</f>
        <v>0</v>
      </c>
      <c r="G60" s="10" t="s">
        <v>448</v>
      </c>
    </row>
    <row r="61" spans="1:14" x14ac:dyDescent="0.3">
      <c r="B61" s="15" t="s">
        <v>551</v>
      </c>
      <c r="C61" s="17">
        <f>45+0.085*C56</f>
        <v>72.2</v>
      </c>
      <c r="D61" s="786">
        <f>C61*185*24/B58/1000/C56</f>
        <v>0.74899065420560751</v>
      </c>
      <c r="E61" s="17">
        <f>C61*185*24/1000/1/C56</f>
        <v>1.0017749999999999</v>
      </c>
      <c r="F61" s="15">
        <f>IF(Rechnungen!C485=3,1,0)</f>
        <v>0</v>
      </c>
      <c r="G61" s="10" t="s">
        <v>449</v>
      </c>
    </row>
    <row r="62" spans="1:14" ht="14.5" thickBot="1" x14ac:dyDescent="0.35">
      <c r="B62" s="16" t="s">
        <v>552</v>
      </c>
      <c r="C62" s="18">
        <f>80+0.15*C56</f>
        <v>128</v>
      </c>
      <c r="D62" s="18">
        <f>C62*185*24/B58/1000/C56</f>
        <v>1.3278504672897198</v>
      </c>
      <c r="E62" s="18">
        <f>C62*185*24/1000/1/C56</f>
        <v>1.7760000000000002</v>
      </c>
      <c r="F62" s="16">
        <f>IF(Rechnungen!C485=4,1,0)</f>
        <v>0</v>
      </c>
      <c r="G62" s="13" t="s">
        <v>450</v>
      </c>
    </row>
    <row r="63" spans="1:14" ht="14.5" thickBot="1" x14ac:dyDescent="0.35">
      <c r="C63" s="19" t="s">
        <v>642</v>
      </c>
      <c r="D63" s="263">
        <f>D59*F59+D60*F60+D61*F61+D62*F62</f>
        <v>0.5780299065420561</v>
      </c>
      <c r="E63" s="264">
        <f>E59*F59+E60*F60+E61*F61+E62*F62</f>
        <v>0.773115</v>
      </c>
    </row>
    <row r="64" spans="1:14" ht="14.5" thickBot="1" x14ac:dyDescent="0.35">
      <c r="C64" s="621">
        <f>C59*F59+C60*F60+C61*F61+C62*F62</f>
        <v>55.72</v>
      </c>
    </row>
    <row r="65" spans="1:12" ht="14.5" thickBot="1" x14ac:dyDescent="0.35"/>
    <row r="66" spans="1:12" x14ac:dyDescent="0.3">
      <c r="A66" s="5" t="s">
        <v>318</v>
      </c>
      <c r="B66" s="6"/>
      <c r="C66" s="6">
        <f>C26*C30+C32*C36+C38*C42+C44*C48</f>
        <v>274.65162944068572</v>
      </c>
      <c r="D66" s="6"/>
      <c r="E66" s="6"/>
      <c r="F66" s="6">
        <f>F26*F30+F32*F36+F38*F42+F44*F48</f>
        <v>219.10410887964821</v>
      </c>
      <c r="G66" s="6"/>
      <c r="H66" s="6"/>
      <c r="I66" s="6">
        <f>I26*I30+I32*I36+I38*I42+I44*I48</f>
        <v>1712.698951323847</v>
      </c>
      <c r="J66" s="6"/>
      <c r="K66" s="6"/>
      <c r="L66" s="7">
        <f>L26*L30+L32*L36+L38*L42+L44*L48</f>
        <v>1366.3103993707095</v>
      </c>
    </row>
    <row r="67" spans="1:12" x14ac:dyDescent="0.3">
      <c r="A67" s="15" t="s">
        <v>344</v>
      </c>
      <c r="B67" s="9"/>
      <c r="C67" s="9">
        <f>C27*C30+C33*C36+C39*C42+C45*C48</f>
        <v>148.12672149610017</v>
      </c>
      <c r="D67" s="9"/>
      <c r="E67" s="9"/>
      <c r="F67" s="9">
        <f>F27*F30+F33*F36+F39*F42+F45*F48</f>
        <v>148.12672149610017</v>
      </c>
      <c r="G67" s="9"/>
      <c r="H67" s="9"/>
      <c r="I67" s="9">
        <f>I27*I30+I33*I36+I39*I42+I45*I48</f>
        <v>148.12672149610017</v>
      </c>
      <c r="J67" s="9"/>
      <c r="K67" s="9"/>
      <c r="L67" s="10">
        <f>L27*L30+L33*L36+L39*L42+L45*L48</f>
        <v>148.12672149610017</v>
      </c>
    </row>
    <row r="68" spans="1:12" x14ac:dyDescent="0.3">
      <c r="A68" s="15" t="s">
        <v>345</v>
      </c>
      <c r="B68" s="9"/>
      <c r="C68" s="9">
        <f>C28*C30+C34*C36+C40*C42+C46*C48</f>
        <v>579.34006629585849</v>
      </c>
      <c r="D68" s="9"/>
      <c r="E68" s="9"/>
      <c r="F68" s="9">
        <f>F28*F30+F34*F36+F40*F42+F46*F48</f>
        <v>579.34006629585849</v>
      </c>
      <c r="G68" s="9"/>
      <c r="H68" s="9"/>
      <c r="I68" s="9">
        <f>I28*I30+I34*I36+I40*I42+I46*I48</f>
        <v>579.34006629585849</v>
      </c>
      <c r="J68" s="9"/>
      <c r="K68" s="9"/>
      <c r="L68" s="10">
        <f>L28*L30+L34*L36+L40*L42+L46*L48</f>
        <v>579.34006629585849</v>
      </c>
    </row>
    <row r="69" spans="1:12" x14ac:dyDescent="0.3">
      <c r="A69" s="15"/>
      <c r="B69" s="9"/>
      <c r="C69" s="9" t="s">
        <v>428</v>
      </c>
      <c r="D69" s="9"/>
      <c r="E69" s="9"/>
      <c r="F69" s="9" t="s">
        <v>428</v>
      </c>
      <c r="G69" s="9"/>
      <c r="H69" s="9"/>
      <c r="I69" s="9" t="s">
        <v>426</v>
      </c>
      <c r="J69" s="9"/>
      <c r="K69" s="9"/>
      <c r="L69" s="10" t="s">
        <v>426</v>
      </c>
    </row>
    <row r="70" spans="1:12" x14ac:dyDescent="0.3">
      <c r="A70" s="15"/>
      <c r="B70" s="9"/>
      <c r="C70" s="9" t="s">
        <v>524</v>
      </c>
      <c r="D70" s="9"/>
      <c r="E70" s="9"/>
      <c r="F70" s="9" t="s">
        <v>525</v>
      </c>
      <c r="G70" s="9"/>
      <c r="H70" s="9"/>
      <c r="I70" s="9" t="s">
        <v>524</v>
      </c>
      <c r="J70" s="9"/>
      <c r="K70" s="9"/>
      <c r="L70" s="10" t="s">
        <v>525</v>
      </c>
    </row>
    <row r="71" spans="1:12" ht="14.5" thickBot="1" x14ac:dyDescent="0.35">
      <c r="A71" s="15" t="s">
        <v>616</v>
      </c>
      <c r="B71" s="9"/>
      <c r="C71" s="9">
        <f>IF(E4=5,1,0)</f>
        <v>0</v>
      </c>
      <c r="D71" s="9"/>
      <c r="E71" s="9"/>
      <c r="F71" s="9">
        <f>IF(E4=6,1,0)</f>
        <v>0</v>
      </c>
      <c r="G71" s="9"/>
      <c r="H71" s="9"/>
      <c r="I71" s="9">
        <f>IF(E4=3,1,0)</f>
        <v>1</v>
      </c>
      <c r="J71" s="9"/>
      <c r="K71" s="9"/>
      <c r="L71" s="10">
        <f>IF(E4=4,1,0)</f>
        <v>0</v>
      </c>
    </row>
    <row r="72" spans="1:12" x14ac:dyDescent="0.3">
      <c r="A72" s="701">
        <f>C72+F72+I72+L72</f>
        <v>1712.698951323847</v>
      </c>
      <c r="B72" s="9" t="s">
        <v>542</v>
      </c>
      <c r="C72" s="9">
        <f>C66*C71</f>
        <v>0</v>
      </c>
      <c r="D72" s="9"/>
      <c r="E72" s="9"/>
      <c r="F72" s="9">
        <f>F66*F71</f>
        <v>0</v>
      </c>
      <c r="G72" s="9"/>
      <c r="H72" s="9"/>
      <c r="I72" s="9">
        <f>I66*I71</f>
        <v>1712.698951323847</v>
      </c>
      <c r="J72" s="9"/>
      <c r="K72" s="9"/>
      <c r="L72" s="10">
        <f>L66*L71</f>
        <v>0</v>
      </c>
    </row>
    <row r="73" spans="1:12" x14ac:dyDescent="0.3">
      <c r="A73" s="702">
        <f>C73+F73+I73+L73</f>
        <v>148.12672149610017</v>
      </c>
      <c r="B73" s="9" t="s">
        <v>543</v>
      </c>
      <c r="C73" s="9">
        <f>C67*C71</f>
        <v>0</v>
      </c>
      <c r="D73" s="9"/>
      <c r="E73" s="9"/>
      <c r="F73" s="9">
        <f>F67*F71</f>
        <v>0</v>
      </c>
      <c r="G73" s="9"/>
      <c r="H73" s="9"/>
      <c r="I73" s="9">
        <f>I67*I71</f>
        <v>148.12672149610017</v>
      </c>
      <c r="J73" s="9"/>
      <c r="K73" s="9"/>
      <c r="L73" s="10">
        <f>L67*L71</f>
        <v>0</v>
      </c>
    </row>
    <row r="74" spans="1:12" ht="14.5" thickBot="1" x14ac:dyDescent="0.35">
      <c r="A74" s="703">
        <f>C74+F74+I74+L74</f>
        <v>579.34006629585849</v>
      </c>
      <c r="B74" s="12" t="s">
        <v>544</v>
      </c>
      <c r="C74" s="12">
        <f>C68*C71</f>
        <v>0</v>
      </c>
      <c r="D74" s="12"/>
      <c r="E74" s="12"/>
      <c r="F74" s="12">
        <f>F68*F71</f>
        <v>0</v>
      </c>
      <c r="G74" s="12"/>
      <c r="H74" s="12"/>
      <c r="I74" s="12">
        <f>I68*I71</f>
        <v>579.34006629585849</v>
      </c>
      <c r="J74" s="12"/>
      <c r="K74" s="12"/>
      <c r="L74" s="13">
        <f>L68*L71</f>
        <v>0</v>
      </c>
    </row>
  </sheetData>
  <customSheetViews>
    <customSheetView guid="{AB7935E0-18C1-11D5-A405-00409522490A}" state="hidden" showRuler="0">
      <selection sqref="A1:IV65536"/>
      <pageMargins left="0.78740157499999996" right="0.78740157499999996" top="0.984251969" bottom="0.984251969" header="0.4921259845" footer="0.4921259845"/>
      <headerFooter alignWithMargins="0"/>
    </customSheetView>
    <customSheetView guid="{586D4F31-1FA3-11D6-B431-009027A4C716}" showGridLines="0" state="hidden" showRuler="0">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pageSetup paperSize="9" orientation="portrait" horizontalDpi="300" verticalDpi="300" copies="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9"/>
  <dimension ref="A1:L42"/>
  <sheetViews>
    <sheetView showGridLines="0" workbookViewId="0"/>
  </sheetViews>
  <sheetFormatPr baseColWidth="10" defaultColWidth="10" defaultRowHeight="12.5" x14ac:dyDescent="0.25"/>
  <cols>
    <col min="1" max="4" width="10" style="265" customWidth="1"/>
    <col min="5" max="5" width="12.33203125" style="265" bestFit="1" customWidth="1"/>
    <col min="6" max="8" width="10" style="265" customWidth="1"/>
    <col min="9" max="9" width="9.33203125" style="265" customWidth="1"/>
    <col min="10" max="16384" width="10" style="265"/>
  </cols>
  <sheetData>
    <row r="1" spans="1:12" ht="13" thickBot="1" x14ac:dyDescent="0.3">
      <c r="A1" s="22" t="s">
        <v>488</v>
      </c>
      <c r="C1" s="117" t="s">
        <v>339</v>
      </c>
      <c r="D1" s="268"/>
      <c r="E1" s="269">
        <f>Rechnungen!C485</f>
        <v>1</v>
      </c>
    </row>
    <row r="2" spans="1:12" ht="13" thickBot="1" x14ac:dyDescent="0.3"/>
    <row r="3" spans="1:12" ht="25.5" thickBot="1" x14ac:dyDescent="0.3">
      <c r="A3" s="23" t="s">
        <v>559</v>
      </c>
      <c r="B3" s="266"/>
      <c r="C3" s="24">
        <v>1000</v>
      </c>
      <c r="D3" s="25" t="s">
        <v>406</v>
      </c>
      <c r="E3" s="266"/>
      <c r="F3" s="266"/>
      <c r="G3" s="267"/>
      <c r="H3" s="266"/>
      <c r="I3" s="267"/>
      <c r="J3" s="267"/>
      <c r="K3" s="267"/>
      <c r="L3" s="267"/>
    </row>
    <row r="4" spans="1:12" ht="14.25" customHeight="1" thickBot="1" x14ac:dyDescent="0.3">
      <c r="A4" s="266"/>
      <c r="B4" s="266"/>
      <c r="C4" s="266"/>
      <c r="D4" s="266"/>
      <c r="E4" s="266"/>
      <c r="F4" s="266"/>
    </row>
    <row r="5" spans="1:12" x14ac:dyDescent="0.25">
      <c r="A5" s="26" t="s">
        <v>407</v>
      </c>
      <c r="B5" s="27" t="s">
        <v>408</v>
      </c>
      <c r="C5" s="27" t="s">
        <v>409</v>
      </c>
      <c r="D5" s="27" t="s">
        <v>410</v>
      </c>
      <c r="E5" s="35" t="s">
        <v>411</v>
      </c>
      <c r="F5" s="266"/>
    </row>
    <row r="6" spans="1:12" ht="13" thickBot="1" x14ac:dyDescent="0.3">
      <c r="A6" s="242">
        <f>Rechnungen!D14</f>
        <v>320</v>
      </c>
      <c r="B6" s="31">
        <f>4*POWER(A6,0.7)</f>
        <v>226.81145058686121</v>
      </c>
      <c r="C6" s="31">
        <f>IF(B6&gt;C3,C3,B6)</f>
        <v>226.81145058686121</v>
      </c>
      <c r="D6" s="31">
        <f>IF((B6-C3)&lt;0,0,(IF((B6-C3)&gt;C3,C3,B6-C3)))</f>
        <v>0</v>
      </c>
      <c r="E6" s="116">
        <f>IF((B6-2*C3)&lt;0,0,(IF((B6-2*C3)&gt;C3,C3,B6-2*C3)))</f>
        <v>0</v>
      </c>
      <c r="F6" s="266"/>
    </row>
    <row r="7" spans="1:12" ht="13" thickBot="1" x14ac:dyDescent="0.3">
      <c r="A7" s="266"/>
      <c r="B7" s="266"/>
      <c r="C7" s="266"/>
      <c r="D7" s="266"/>
      <c r="E7" s="266"/>
      <c r="F7" s="266"/>
    </row>
    <row r="8" spans="1:12" ht="25" x14ac:dyDescent="0.25">
      <c r="A8" s="26" t="s">
        <v>407</v>
      </c>
      <c r="B8" s="34" t="s">
        <v>415</v>
      </c>
      <c r="C8" s="26" t="s">
        <v>387</v>
      </c>
      <c r="D8" s="35" t="s">
        <v>387</v>
      </c>
      <c r="E8" s="27" t="s">
        <v>578</v>
      </c>
      <c r="F8" s="27" t="s">
        <v>577</v>
      </c>
      <c r="G8" s="29"/>
    </row>
    <row r="9" spans="1:12" ht="25" x14ac:dyDescent="0.25">
      <c r="A9" s="36"/>
      <c r="B9" s="37"/>
      <c r="C9" s="38" t="s">
        <v>418</v>
      </c>
      <c r="D9" s="39" t="s">
        <v>419</v>
      </c>
      <c r="E9" s="40"/>
      <c r="F9" s="40"/>
      <c r="G9" s="41"/>
    </row>
    <row r="10" spans="1:12" ht="13" thickBot="1" x14ac:dyDescent="0.3">
      <c r="A10" s="42"/>
      <c r="B10" s="43"/>
      <c r="C10" s="36"/>
      <c r="D10" s="44"/>
      <c r="E10" s="40"/>
      <c r="F10" s="40"/>
      <c r="G10" s="41"/>
    </row>
    <row r="11" spans="1:12" x14ac:dyDescent="0.25">
      <c r="A11" s="45">
        <f>A6</f>
        <v>320</v>
      </c>
      <c r="B11" s="43">
        <f>IF(C6&gt;0,1,0)*(0.5+0.25*POWER(C6,0.4))+IF(D6&gt;0,1,0)*(0.5+0.25*POWER(D6,0.4))+IF(E6&gt;0,1,0)*(0.5+0.25*POWER(E6,0.4))</f>
        <v>2.6887995922358519</v>
      </c>
      <c r="C11" s="46">
        <f>1.2*(E11-13)/45*185*1*B11/A11</f>
        <v>1.0433946775027068</v>
      </c>
      <c r="D11" s="47">
        <f>1.2*(E11-20)/45*185*B11*0.15/A11</f>
        <v>0.11298425822608815</v>
      </c>
      <c r="E11" s="609">
        <f>'H-04'!E10</f>
        <v>38.170955452523629</v>
      </c>
      <c r="F11" s="48" t="s">
        <v>449</v>
      </c>
      <c r="G11" s="41"/>
    </row>
    <row r="12" spans="1:12" ht="13.5" thickBot="1" x14ac:dyDescent="0.35">
      <c r="A12" s="644" t="s">
        <v>340</v>
      </c>
      <c r="B12" s="32"/>
      <c r="C12" s="50">
        <f>1.2*(E12-13)/45*185*1*B11/A11</f>
        <v>0.5537469484241242</v>
      </c>
      <c r="D12" s="51">
        <f>1.2*(E12-20)/45*185*B11*0.15/A11</f>
        <v>3.9537098864300763E-2</v>
      </c>
      <c r="E12" s="608">
        <f>'H-04'!D10</f>
        <v>26.358645650862417</v>
      </c>
      <c r="F12" s="52" t="s">
        <v>450</v>
      </c>
      <c r="G12" s="33"/>
    </row>
    <row r="14" spans="1:12" ht="13" thickBot="1" x14ac:dyDescent="0.3"/>
    <row r="15" spans="1:12" x14ac:dyDescent="0.25">
      <c r="A15" s="137" t="s">
        <v>449</v>
      </c>
      <c r="B15" s="29">
        <f>IF(E1=3,1,0)</f>
        <v>0</v>
      </c>
      <c r="C15" s="137">
        <f>B15*D11</f>
        <v>0</v>
      </c>
      <c r="D15" s="29">
        <f>B15*C11</f>
        <v>0</v>
      </c>
    </row>
    <row r="16" spans="1:12" ht="13" thickBot="1" x14ac:dyDescent="0.3">
      <c r="A16" s="49" t="s">
        <v>450</v>
      </c>
      <c r="B16" s="33">
        <f>IF(E1=4,1,0)</f>
        <v>0</v>
      </c>
      <c r="C16" s="49">
        <f>B16*D12</f>
        <v>0</v>
      </c>
      <c r="D16" s="33">
        <f>B16*C12</f>
        <v>0</v>
      </c>
    </row>
    <row r="17" spans="1:12" x14ac:dyDescent="0.25">
      <c r="A17" s="239"/>
      <c r="B17" s="111" t="s">
        <v>616</v>
      </c>
      <c r="C17" s="270">
        <f>C15+C16</f>
        <v>0</v>
      </c>
      <c r="D17" s="271">
        <f>D15+D16</f>
        <v>0</v>
      </c>
    </row>
    <row r="18" spans="1:12" ht="13" thickBot="1" x14ac:dyDescent="0.3">
      <c r="A18" s="49"/>
      <c r="B18" s="32"/>
      <c r="C18" s="49" t="s">
        <v>428</v>
      </c>
      <c r="D18" s="33" t="s">
        <v>426</v>
      </c>
    </row>
    <row r="19" spans="1:12" ht="13" thickBot="1" x14ac:dyDescent="0.3"/>
    <row r="20" spans="1:12" ht="25.5" thickBot="1" x14ac:dyDescent="0.3">
      <c r="A20" s="23" t="s">
        <v>341</v>
      </c>
      <c r="B20" s="266"/>
      <c r="C20" s="24">
        <v>1000</v>
      </c>
      <c r="D20" s="25" t="s">
        <v>406</v>
      </c>
      <c r="E20" s="266"/>
      <c r="F20" s="266"/>
      <c r="G20" s="267"/>
      <c r="H20" s="266"/>
      <c r="I20" s="267"/>
      <c r="J20" s="267"/>
      <c r="K20" s="267"/>
      <c r="L20" s="267"/>
    </row>
    <row r="21" spans="1:12" ht="14.25" customHeight="1" thickBot="1" x14ac:dyDescent="0.3">
      <c r="A21" s="266"/>
      <c r="B21" s="266"/>
      <c r="C21" s="266"/>
      <c r="D21" s="266"/>
      <c r="E21" s="266"/>
      <c r="F21" s="266"/>
    </row>
    <row r="22" spans="1:12" x14ac:dyDescent="0.25">
      <c r="A22" s="26" t="s">
        <v>407</v>
      </c>
      <c r="B22" s="27" t="s">
        <v>408</v>
      </c>
      <c r="C22" s="27" t="s">
        <v>409</v>
      </c>
      <c r="D22" s="27" t="s">
        <v>410</v>
      </c>
      <c r="E22" s="27" t="s">
        <v>411</v>
      </c>
      <c r="F22" s="27" t="s">
        <v>412</v>
      </c>
      <c r="G22" s="28" t="s">
        <v>413</v>
      </c>
      <c r="H22" s="28" t="s">
        <v>414</v>
      </c>
      <c r="I22" s="29" t="s">
        <v>342</v>
      </c>
    </row>
    <row r="23" spans="1:12" ht="13" thickBot="1" x14ac:dyDescent="0.3">
      <c r="A23" s="242">
        <f>A6</f>
        <v>320</v>
      </c>
      <c r="B23" s="31">
        <f>10.5*POWER(A23,0.7)</f>
        <v>595.3800577905107</v>
      </c>
      <c r="C23" s="31">
        <f>IF(B23&gt;C20,C20,B23)</f>
        <v>595.3800577905107</v>
      </c>
      <c r="D23" s="31">
        <f>IF((B23-C20)&lt;0,0,(IF((B23-C20)&gt;C20,C20,B23-C20)))</f>
        <v>0</v>
      </c>
      <c r="E23" s="31">
        <f>IF((B23-2*C20)&lt;0,0,(IF((B23-2*C20)&gt;C20,C20,B23-2*C20)))</f>
        <v>0</v>
      </c>
      <c r="F23" s="31">
        <f>IF((B23-3*C20)&lt;0,0,(IF((B23-3*C20)&gt;C20,C20,B23-3*C20)))</f>
        <v>0</v>
      </c>
      <c r="G23" s="32">
        <f>IF((B23-4*C20)&lt;0,0,(IF((B23-4*C20)&gt;C20,C20,B23-4*C20)))</f>
        <v>0</v>
      </c>
      <c r="H23" s="32">
        <f>IF((B23-5*C20)&lt;0,0,(IF((B23-5*C20)&gt;C20,C20,B23-5*C20)))</f>
        <v>0</v>
      </c>
      <c r="I23" s="33">
        <f>IF((B23-6*C20)&lt;0,0,(IF((B23-6*C20)&gt;C20,C20,B23-6*C20)))</f>
        <v>0</v>
      </c>
    </row>
    <row r="24" spans="1:12" ht="13" thickBot="1" x14ac:dyDescent="0.3">
      <c r="A24" s="266"/>
      <c r="B24" s="266"/>
      <c r="C24" s="266"/>
      <c r="D24" s="266"/>
      <c r="E24" s="266"/>
      <c r="F24" s="266"/>
    </row>
    <row r="25" spans="1:12" ht="25" x14ac:dyDescent="0.25">
      <c r="A25" s="26" t="s">
        <v>407</v>
      </c>
      <c r="B25" s="34" t="s">
        <v>415</v>
      </c>
      <c r="C25" s="26" t="s">
        <v>387</v>
      </c>
      <c r="D25" s="35" t="s">
        <v>387</v>
      </c>
      <c r="E25" s="27" t="s">
        <v>578</v>
      </c>
      <c r="F25" s="27" t="s">
        <v>577</v>
      </c>
      <c r="G25" s="29"/>
    </row>
    <row r="26" spans="1:12" ht="25" x14ac:dyDescent="0.25">
      <c r="A26" s="36"/>
      <c r="B26" s="37"/>
      <c r="C26" s="38" t="s">
        <v>418</v>
      </c>
      <c r="D26" s="39" t="s">
        <v>419</v>
      </c>
      <c r="E26" s="40"/>
      <c r="F26" s="40"/>
      <c r="G26" s="41"/>
    </row>
    <row r="27" spans="1:12" ht="13" thickBot="1" x14ac:dyDescent="0.3">
      <c r="A27" s="42"/>
      <c r="B27" s="43"/>
      <c r="C27" s="36"/>
      <c r="D27" s="44"/>
      <c r="E27" s="40"/>
      <c r="F27" s="40"/>
      <c r="G27" s="41"/>
    </row>
    <row r="28" spans="1:12" ht="13" thickBot="1" x14ac:dyDescent="0.3">
      <c r="A28" s="45">
        <f>A6</f>
        <v>320</v>
      </c>
      <c r="B28" s="43">
        <f>IF(C23&gt;0,1,0)*(0.5+0.25*POWER(C23,0.4))+IF(D23&gt;0,1,0)*(0.5+0.25*POWER(D23,0.4))+IF(E23&gt;0,1,0)*(0.5+0.25*POWER(E23,0.4))+IF(F23&gt;0,1,0)*(0.5+0.25*POWER(F23,0.4))+IF(G23&gt;0,1,0)*(0.5+0.25*POWER(G23,0.4))+IF(H23&gt;0,1,0)*(0.5+0.25*POWER(H23,0.4))+IF(I23&gt;0,1,0)*(0.5+0.25*POWER(I23,0.4))</f>
        <v>3.7200137204860688</v>
      </c>
      <c r="C28" s="46">
        <f>1.2*(E28-13)/45*185*1*B28/A28</f>
        <v>1.8777713439667452</v>
      </c>
      <c r="D28" s="47">
        <f>1.2*(E28-20)/45*185*B28*0.15/A28</f>
        <v>0.22144797949464351</v>
      </c>
      <c r="E28" s="609">
        <f>'H-04'!F10</f>
        <v>45.742186891075136</v>
      </c>
      <c r="F28" s="48" t="s">
        <v>448</v>
      </c>
      <c r="G28" s="41"/>
    </row>
    <row r="29" spans="1:12" x14ac:dyDescent="0.25">
      <c r="A29" s="36"/>
      <c r="B29" s="40"/>
      <c r="C29" s="46">
        <f>1.2*(E29-13)/45*185*1*B28/A28</f>
        <v>1.4435596194674443</v>
      </c>
      <c r="D29" s="47">
        <f>1.2*(E29-20)/45*185*B28*0.15/A28</f>
        <v>0.15631622081974841</v>
      </c>
      <c r="E29" s="609">
        <f>'H-04'!E10</f>
        <v>38.170955452523629</v>
      </c>
      <c r="F29" s="48" t="s">
        <v>449</v>
      </c>
      <c r="G29" s="41"/>
    </row>
    <row r="30" spans="1:12" ht="13.5" thickBot="1" x14ac:dyDescent="0.35">
      <c r="A30" s="644" t="s">
        <v>341</v>
      </c>
      <c r="B30" s="32"/>
      <c r="C30" s="50">
        <f>1.2*(E30-13)/45*185*1*B28/A28</f>
        <v>0.76612115375326273</v>
      </c>
      <c r="D30" s="51">
        <f>1.2*(E30-20)/45*185*B28*0.15/A28</f>
        <v>5.4700450962621175E-2</v>
      </c>
      <c r="E30" s="608">
        <f>'H-04'!D10</f>
        <v>26.358645650862417</v>
      </c>
      <c r="F30" s="52" t="s">
        <v>450</v>
      </c>
      <c r="G30" s="33"/>
    </row>
    <row r="32" spans="1:12" ht="13" thickBot="1" x14ac:dyDescent="0.3"/>
    <row r="33" spans="1:4" x14ac:dyDescent="0.25">
      <c r="A33" s="137" t="s">
        <v>448</v>
      </c>
      <c r="B33" s="29">
        <f>IF(E1=2,1,0)</f>
        <v>0</v>
      </c>
      <c r="C33" s="137">
        <f>B33*D28</f>
        <v>0</v>
      </c>
      <c r="D33" s="29">
        <f>B33*C28</f>
        <v>0</v>
      </c>
    </row>
    <row r="34" spans="1:4" x14ac:dyDescent="0.25">
      <c r="A34" s="239" t="s">
        <v>449</v>
      </c>
      <c r="B34" s="41">
        <f>IF(E1=3,1,0)</f>
        <v>0</v>
      </c>
      <c r="C34" s="239">
        <f>B34*D29</f>
        <v>0</v>
      </c>
      <c r="D34" s="41">
        <f>B34*C29</f>
        <v>0</v>
      </c>
    </row>
    <row r="35" spans="1:4" ht="13" thickBot="1" x14ac:dyDescent="0.3">
      <c r="A35" s="49" t="s">
        <v>450</v>
      </c>
      <c r="B35" s="33">
        <f>IF(E1=4,1,0)</f>
        <v>0</v>
      </c>
      <c r="C35" s="49">
        <f>B35*D30</f>
        <v>0</v>
      </c>
      <c r="D35" s="33">
        <f>B35*C30</f>
        <v>0</v>
      </c>
    </row>
    <row r="36" spans="1:4" x14ac:dyDescent="0.25">
      <c r="A36" s="239"/>
      <c r="B36" s="111" t="s">
        <v>616</v>
      </c>
      <c r="C36" s="270">
        <f>C33+C35+C34</f>
        <v>0</v>
      </c>
      <c r="D36" s="271">
        <f>D33+D35+D34</f>
        <v>0</v>
      </c>
    </row>
    <row r="37" spans="1:4" ht="13" thickBot="1" x14ac:dyDescent="0.3">
      <c r="A37" s="49"/>
      <c r="B37" s="32"/>
      <c r="C37" s="49" t="s">
        <v>428</v>
      </c>
      <c r="D37" s="33" t="s">
        <v>426</v>
      </c>
    </row>
    <row r="38" spans="1:4" ht="13" thickBot="1" x14ac:dyDescent="0.3"/>
    <row r="39" spans="1:4" x14ac:dyDescent="0.25">
      <c r="A39" s="137" t="s">
        <v>400</v>
      </c>
      <c r="B39" s="29"/>
    </row>
    <row r="40" spans="1:4" x14ac:dyDescent="0.25">
      <c r="A40" s="239" t="s">
        <v>723</v>
      </c>
      <c r="B40" s="41">
        <f>40+0.03*A6</f>
        <v>49.6</v>
      </c>
    </row>
    <row r="41" spans="1:4" x14ac:dyDescent="0.25">
      <c r="A41" s="239" t="s">
        <v>182</v>
      </c>
      <c r="B41" s="41">
        <f>24*185*0.33</f>
        <v>1465.2</v>
      </c>
    </row>
    <row r="42" spans="1:4" ht="13" thickBot="1" x14ac:dyDescent="0.3">
      <c r="A42" s="49" t="s">
        <v>183</v>
      </c>
      <c r="B42" s="486">
        <f>B40*B41/1000/A6</f>
        <v>0.22710599999999997</v>
      </c>
    </row>
  </sheetData>
  <sheetProtection sheet="1" objects="1" scenarios="1"/>
  <customSheetViews>
    <customSheetView guid="{AB7935E0-18C1-11D5-A405-00409522490A}" showGridLines="0" state="hidden" showRuler="0">
      <selection sqref="A1:IV65536"/>
      <pageMargins left="0.78740157499999996" right="0.78740157499999996" top="0.984251969" bottom="0.984251969" header="0.4921259845" footer="0.4921259845"/>
      <pageSetup paperSize="9" orientation="portrait" horizontalDpi="300" verticalDpi="0" copies="0" r:id="rId1"/>
      <headerFooter alignWithMargins="0"/>
    </customSheetView>
    <customSheetView guid="{586D4F31-1FA3-11D6-B431-009027A4C716}" showGridLines="0" state="hidden" showRuler="0">
      <pageMargins left="0.78740157499999996" right="0.78740157499999996" top="0.984251969" bottom="0.984251969" header="0.4921259845" footer="0.4921259845"/>
      <pageSetup paperSize="9" orientation="portrait" horizontalDpi="300" verticalDpi="0" copies="0" r:id="rId2"/>
      <headerFooter alignWithMargins="0"/>
    </customSheetView>
  </customSheetViews>
  <phoneticPr fontId="0" type="noConversion"/>
  <pageMargins left="0.78740157499999996" right="0.78740157499999996" top="0.984251969" bottom="0.984251969" header="0.4921259845" footer="0.4921259845"/>
  <pageSetup paperSize="9" orientation="portrait" horizontalDpi="300" verticalDpi="0" copies="0" r:id="rId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8"/>
  <dimension ref="A1:X213"/>
  <sheetViews>
    <sheetView showGridLines="0" workbookViewId="0"/>
  </sheetViews>
  <sheetFormatPr baseColWidth="10" defaultColWidth="10" defaultRowHeight="12.5" x14ac:dyDescent="0.25"/>
  <cols>
    <col min="1" max="1" width="13.5" style="272" customWidth="1"/>
    <col min="2" max="2" width="16.5" style="272" customWidth="1"/>
    <col min="3" max="9" width="10" style="272" customWidth="1"/>
    <col min="10" max="16384" width="10" style="273"/>
  </cols>
  <sheetData>
    <row r="1" spans="1:13" ht="13" thickBot="1" x14ac:dyDescent="0.3">
      <c r="A1" s="1" t="s">
        <v>489</v>
      </c>
      <c r="C1" s="282" t="s">
        <v>332</v>
      </c>
      <c r="D1" s="148"/>
      <c r="E1" s="281">
        <f>Rechnungen!C485</f>
        <v>1</v>
      </c>
    </row>
    <row r="2" spans="1:13" ht="13" thickBot="1" x14ac:dyDescent="0.3"/>
    <row r="3" spans="1:13" ht="14.5" thickBot="1" x14ac:dyDescent="0.35">
      <c r="A3" s="80"/>
      <c r="B3" s="1711" t="s">
        <v>619</v>
      </c>
      <c r="C3" s="1712"/>
      <c r="D3" s="1712"/>
      <c r="E3" s="1712"/>
      <c r="F3" s="1712"/>
      <c r="G3" s="1712"/>
      <c r="H3" s="1712"/>
      <c r="I3" s="1713"/>
      <c r="J3" s="1713"/>
      <c r="K3" s="1714"/>
      <c r="L3" s="81" t="s">
        <v>400</v>
      </c>
      <c r="M3" s="84"/>
    </row>
    <row r="4" spans="1:13" x14ac:dyDescent="0.25">
      <c r="A4" s="85"/>
      <c r="B4" s="86" t="s">
        <v>444</v>
      </c>
      <c r="C4" s="1717" t="s">
        <v>445</v>
      </c>
      <c r="D4" s="1717"/>
      <c r="E4" s="1717"/>
      <c r="F4" s="1717" t="s">
        <v>446</v>
      </c>
      <c r="G4" s="1717"/>
      <c r="H4" s="1717"/>
      <c r="I4" s="1715" t="s">
        <v>776</v>
      </c>
      <c r="J4" s="1715"/>
      <c r="K4" s="1716"/>
      <c r="L4" s="86"/>
      <c r="M4" s="88"/>
    </row>
    <row r="5" spans="1:13" x14ac:dyDescent="0.25">
      <c r="A5" s="85" t="s">
        <v>407</v>
      </c>
      <c r="B5" s="86" t="s">
        <v>447</v>
      </c>
      <c r="C5" s="78" t="s">
        <v>448</v>
      </c>
      <c r="D5" s="78" t="s">
        <v>449</v>
      </c>
      <c r="E5" s="78" t="s">
        <v>450</v>
      </c>
      <c r="F5" s="78" t="s">
        <v>448</v>
      </c>
      <c r="G5" s="78" t="s">
        <v>449</v>
      </c>
      <c r="H5" s="78" t="s">
        <v>450</v>
      </c>
      <c r="I5" s="78" t="s">
        <v>448</v>
      </c>
      <c r="J5" s="78" t="s">
        <v>449</v>
      </c>
      <c r="K5" s="87" t="s">
        <v>450</v>
      </c>
      <c r="L5" s="86" t="s">
        <v>451</v>
      </c>
      <c r="M5" s="88"/>
    </row>
    <row r="6" spans="1:13" ht="12" customHeight="1" x14ac:dyDescent="0.25">
      <c r="A6" s="280">
        <f>Rechnungen!D14</f>
        <v>320</v>
      </c>
      <c r="B6" s="89">
        <f>K26</f>
        <v>1.2606502102160175</v>
      </c>
      <c r="C6" s="90">
        <f>K41</f>
        <v>1.1215029060487165</v>
      </c>
      <c r="D6" s="90">
        <f>K57</f>
        <v>1.1146925281152629</v>
      </c>
      <c r="E6" s="90">
        <f>K73</f>
        <v>1.1039529935880137</v>
      </c>
      <c r="F6" s="90">
        <f>K89</f>
        <v>1.0597963223710845</v>
      </c>
      <c r="G6" s="90">
        <f>K105</f>
        <v>1.0350199498768471</v>
      </c>
      <c r="H6" s="90">
        <f>K121</f>
        <v>0.99327565414605834</v>
      </c>
      <c r="I6" s="90">
        <f>K137</f>
        <v>1.0073399974979038</v>
      </c>
      <c r="J6" s="802">
        <f>K153</f>
        <v>0.98469521349295464</v>
      </c>
      <c r="K6" s="91">
        <f>K169</f>
        <v>0.94644504489208559</v>
      </c>
      <c r="L6" s="277">
        <f>E184</f>
        <v>0.46385464033903279</v>
      </c>
      <c r="M6" s="88" t="s">
        <v>512</v>
      </c>
    </row>
    <row r="7" spans="1:13" ht="13" thickBot="1" x14ac:dyDescent="0.3">
      <c r="A7" s="85"/>
      <c r="B7" s="78"/>
      <c r="C7" s="78"/>
      <c r="D7" s="78"/>
      <c r="E7" s="78"/>
      <c r="F7" s="78"/>
      <c r="G7" s="78"/>
      <c r="H7" s="93"/>
      <c r="I7" s="93"/>
      <c r="J7" s="93" t="s">
        <v>883</v>
      </c>
      <c r="K7" s="94"/>
      <c r="L7" s="86"/>
      <c r="M7" s="88"/>
    </row>
    <row r="8" spans="1:13" ht="14.5" thickBot="1" x14ac:dyDescent="0.35">
      <c r="A8" s="80"/>
      <c r="B8" s="1711" t="s">
        <v>620</v>
      </c>
      <c r="C8" s="1712"/>
      <c r="D8" s="1712"/>
      <c r="E8" s="1712"/>
      <c r="F8" s="1712"/>
      <c r="G8" s="1712"/>
      <c r="H8" s="1712"/>
      <c r="I8" s="1713"/>
      <c r="J8" s="1713"/>
      <c r="K8" s="1714"/>
      <c r="L8" s="81" t="s">
        <v>400</v>
      </c>
      <c r="M8" s="84"/>
    </row>
    <row r="9" spans="1:13" x14ac:dyDescent="0.25">
      <c r="A9" s="85"/>
      <c r="B9" s="86" t="s">
        <v>444</v>
      </c>
      <c r="C9" s="1717" t="s">
        <v>445</v>
      </c>
      <c r="D9" s="1717"/>
      <c r="E9" s="1717"/>
      <c r="F9" s="1717" t="s">
        <v>446</v>
      </c>
      <c r="G9" s="1717"/>
      <c r="H9" s="1717"/>
      <c r="I9" s="1715" t="s">
        <v>776</v>
      </c>
      <c r="J9" s="1715"/>
      <c r="K9" s="1716"/>
      <c r="L9" s="86"/>
      <c r="M9" s="88"/>
    </row>
    <row r="10" spans="1:13" x14ac:dyDescent="0.25">
      <c r="A10" s="85" t="s">
        <v>407</v>
      </c>
      <c r="B10" s="86" t="s">
        <v>447</v>
      </c>
      <c r="C10" s="78" t="s">
        <v>448</v>
      </c>
      <c r="D10" s="78" t="s">
        <v>449</v>
      </c>
      <c r="E10" s="78" t="s">
        <v>450</v>
      </c>
      <c r="F10" s="78" t="s">
        <v>448</v>
      </c>
      <c r="G10" s="78" t="s">
        <v>449</v>
      </c>
      <c r="H10" s="78" t="s">
        <v>450</v>
      </c>
      <c r="I10" s="78" t="s">
        <v>448</v>
      </c>
      <c r="J10" s="78" t="s">
        <v>449</v>
      </c>
      <c r="K10" s="87" t="s">
        <v>450</v>
      </c>
      <c r="L10" s="86" t="s">
        <v>451</v>
      </c>
      <c r="M10" s="88"/>
    </row>
    <row r="11" spans="1:13" ht="13" thickBot="1" x14ac:dyDescent="0.3">
      <c r="A11" s="85">
        <f>A6</f>
        <v>320</v>
      </c>
      <c r="B11" s="89">
        <f>K33</f>
        <v>1.1705061552332334</v>
      </c>
      <c r="C11" s="90">
        <f>K48</f>
        <v>1.0792877899298929</v>
      </c>
      <c r="D11" s="90">
        <f>K64</f>
        <v>1.0831899122164204</v>
      </c>
      <c r="E11" s="90">
        <f>K80</f>
        <v>1.091961486428936</v>
      </c>
      <c r="F11" s="90">
        <f>K96</f>
        <v>1.0274039018510577</v>
      </c>
      <c r="G11" s="90">
        <f>K112</f>
        <v>1.0117335543691397</v>
      </c>
      <c r="H11" s="90">
        <f>K128</f>
        <v>0.98640321091573391</v>
      </c>
      <c r="I11" s="90">
        <f>K144</f>
        <v>0.97803050738849373</v>
      </c>
      <c r="J11" s="802">
        <f>K160</f>
        <v>0.96359514690747361</v>
      </c>
      <c r="K11" s="90">
        <f>K175</f>
        <v>0.94020332781981175</v>
      </c>
      <c r="L11" s="278">
        <f>L6</f>
        <v>0.46385464033903279</v>
      </c>
      <c r="M11" s="95" t="s">
        <v>513</v>
      </c>
    </row>
    <row r="12" spans="1:13" ht="13" thickBot="1" x14ac:dyDescent="0.3">
      <c r="A12" s="141"/>
      <c r="B12" s="704"/>
      <c r="C12" s="93"/>
      <c r="D12" s="93"/>
      <c r="E12" s="93"/>
      <c r="F12" s="143"/>
      <c r="G12" s="143"/>
      <c r="H12" s="143"/>
      <c r="I12" s="93"/>
      <c r="J12" s="93" t="s">
        <v>883</v>
      </c>
      <c r="K12" s="94"/>
    </row>
    <row r="13" spans="1:13" ht="13" thickBot="1" x14ac:dyDescent="0.3">
      <c r="A13" s="145" t="s">
        <v>773</v>
      </c>
      <c r="B13" s="146">
        <v>1</v>
      </c>
      <c r="C13" s="146">
        <f>IF(E1=2,1,0)</f>
        <v>0</v>
      </c>
      <c r="D13" s="146">
        <f>IF(E1=3,1,0)</f>
        <v>0</v>
      </c>
      <c r="E13" s="146">
        <f>IF(E1=4,1,0)</f>
        <v>0</v>
      </c>
      <c r="F13" s="146">
        <f>IF(E1=2,1,0)</f>
        <v>0</v>
      </c>
      <c r="G13" s="146">
        <f>IF(E1=3,1,0)</f>
        <v>0</v>
      </c>
      <c r="H13" s="146">
        <f>IF(E1=4,1,0)</f>
        <v>0</v>
      </c>
      <c r="I13" s="146">
        <f>IF(E1=2,1,0)</f>
        <v>0</v>
      </c>
      <c r="J13" s="146">
        <f>IF(E1=3,1,0)</f>
        <v>0</v>
      </c>
      <c r="K13" s="147">
        <f>IF(E1=4,1,0)</f>
        <v>0</v>
      </c>
    </row>
    <row r="14" spans="1:13" x14ac:dyDescent="0.25">
      <c r="B14" s="275"/>
      <c r="C14" s="275"/>
      <c r="D14" s="275"/>
      <c r="E14" s="275"/>
      <c r="F14" s="275"/>
      <c r="G14" s="275"/>
      <c r="H14" s="275"/>
      <c r="I14" s="274"/>
    </row>
    <row r="15" spans="1:13" ht="13" thickBot="1" x14ac:dyDescent="0.3">
      <c r="B15" s="275" t="s">
        <v>329</v>
      </c>
      <c r="C15" s="275" t="s">
        <v>256</v>
      </c>
      <c r="D15" s="275"/>
      <c r="E15" s="275"/>
      <c r="F15" s="275" t="s">
        <v>330</v>
      </c>
      <c r="G15" s="275" t="s">
        <v>331</v>
      </c>
      <c r="H15" s="275"/>
      <c r="I15" s="274"/>
    </row>
    <row r="16" spans="1:13" ht="13" thickBot="1" x14ac:dyDescent="0.3">
      <c r="A16" s="140" t="s">
        <v>774</v>
      </c>
      <c r="B16" s="279">
        <f>B13*B11</f>
        <v>1.1705061552332334</v>
      </c>
      <c r="C16" s="276">
        <f>C13*C11+D13*D11+E13*E11</f>
        <v>0</v>
      </c>
      <c r="D16" s="138"/>
      <c r="E16" s="139"/>
      <c r="F16" s="276">
        <f>F13*F11+G13*G11+H13*H11</f>
        <v>0</v>
      </c>
      <c r="G16" s="640">
        <f>I13*I11+J13*J11+K13*K11</f>
        <v>0</v>
      </c>
      <c r="H16" s="139"/>
      <c r="I16" s="150" t="s">
        <v>513</v>
      </c>
    </row>
    <row r="17" spans="1:21" ht="13" thickBot="1" x14ac:dyDescent="0.3">
      <c r="A17" s="145" t="s">
        <v>775</v>
      </c>
      <c r="B17" s="279">
        <f>B13*B6</f>
        <v>1.2606502102160175</v>
      </c>
      <c r="C17" s="276">
        <f>C13*C6+D13*D6+E13*E6</f>
        <v>0</v>
      </c>
      <c r="D17" s="148"/>
      <c r="E17" s="149"/>
      <c r="F17" s="640">
        <f>F13*F6+G13*G6+H13*H6</f>
        <v>0</v>
      </c>
      <c r="G17" s="640">
        <f>I13*I6+J13*J6+K13*K6</f>
        <v>0</v>
      </c>
      <c r="H17" s="149"/>
      <c r="I17" s="140" t="s">
        <v>621</v>
      </c>
    </row>
    <row r="18" spans="1:21" ht="13" thickBot="1" x14ac:dyDescent="0.3"/>
    <row r="19" spans="1:21" ht="13" thickBot="1" x14ac:dyDescent="0.3">
      <c r="A19" s="81" t="s">
        <v>472</v>
      </c>
      <c r="B19" s="617">
        <f>'H-04'!D14</f>
        <v>70</v>
      </c>
      <c r="C19" s="618">
        <f>'H-04'!F13</f>
        <v>45.742186891075136</v>
      </c>
      <c r="D19" s="618">
        <f>'H-04'!E13</f>
        <v>38.170955452523629</v>
      </c>
      <c r="E19" s="618">
        <f>'H-04'!D13</f>
        <v>26.358645650862417</v>
      </c>
      <c r="F19" s="618">
        <f>'H-04'!F12</f>
        <v>41.199448027944229</v>
      </c>
      <c r="G19" s="618">
        <f>'H-04'!E12</f>
        <v>35.142462877103021</v>
      </c>
      <c r="H19" s="618">
        <f>'H-04'!D12</f>
        <v>24.42340567016516</v>
      </c>
      <c r="I19" s="618">
        <f>'H-04'!F12</f>
        <v>41.199448027944229</v>
      </c>
      <c r="J19" s="618">
        <f>'H-04'!E12</f>
        <v>35.142462877103021</v>
      </c>
      <c r="K19" s="619">
        <f>'H-04'!D12</f>
        <v>24.42340567016516</v>
      </c>
      <c r="L19" s="620">
        <f>ROUND(B19*B20*B21+C19*C20*C21+D19*D20*D21+E19*E20*E21+F19*F20*F21+G19*G20*G21+H19*H20*H21+I19*I20*I21+J19*J20*J21+K19*K20*K21,1)</f>
        <v>70</v>
      </c>
    </row>
    <row r="20" spans="1:21" x14ac:dyDescent="0.25">
      <c r="A20" s="86" t="s">
        <v>351</v>
      </c>
      <c r="B20" s="800">
        <f t="shared" ref="B20:K20" si="0">B13</f>
        <v>1</v>
      </c>
      <c r="C20" s="800">
        <f t="shared" si="0"/>
        <v>0</v>
      </c>
      <c r="D20" s="800">
        <f t="shared" si="0"/>
        <v>0</v>
      </c>
      <c r="E20" s="800">
        <f t="shared" si="0"/>
        <v>0</v>
      </c>
      <c r="F20" s="800">
        <f t="shared" si="0"/>
        <v>0</v>
      </c>
      <c r="G20" s="800">
        <f t="shared" si="0"/>
        <v>0</v>
      </c>
      <c r="H20" s="800">
        <f t="shared" si="0"/>
        <v>0</v>
      </c>
      <c r="I20" s="800">
        <f t="shared" si="0"/>
        <v>0</v>
      </c>
      <c r="J20" s="800">
        <f t="shared" si="0"/>
        <v>0</v>
      </c>
      <c r="K20" s="800">
        <f t="shared" si="0"/>
        <v>0</v>
      </c>
      <c r="L20" s="87"/>
    </row>
    <row r="21" spans="1:21" ht="13" thickBot="1" x14ac:dyDescent="0.3">
      <c r="A21" s="141" t="s">
        <v>352</v>
      </c>
      <c r="B21" s="801">
        <f>IF(OR(Rechnungen!G536=5,Rechnungen!G536=6),1,0)</f>
        <v>1</v>
      </c>
      <c r="C21" s="801">
        <f>IF(OR(Rechnungen!G536=7,Rechnungen!G536=8),1,0)</f>
        <v>0</v>
      </c>
      <c r="D21" s="801">
        <f>IF(OR(Rechnungen!G536=7,Rechnungen!G536=8),1,0)</f>
        <v>0</v>
      </c>
      <c r="E21" s="801">
        <f>IF(OR(Rechnungen!G536=7,Rechnungen!G536=8),1,0)</f>
        <v>0</v>
      </c>
      <c r="F21" s="801">
        <f>IF(OR(Rechnungen!G536=9,Rechnungen!G536=11),1,0)</f>
        <v>0</v>
      </c>
      <c r="G21" s="801">
        <f>IF(OR(Rechnungen!G536=9,Rechnungen!G536=11),1,0)</f>
        <v>0</v>
      </c>
      <c r="H21" s="801">
        <f>IF(OR(Rechnungen!G536=9,Rechnungen!G536=11),1,0)</f>
        <v>0</v>
      </c>
      <c r="I21" s="801">
        <f>IF(OR(Rechnungen!G536=10,Rechnungen!G536=12),1,0)</f>
        <v>0</v>
      </c>
      <c r="J21" s="801">
        <f>IF(OR(Rechnungen!G536=10,Rechnungen!G536=12),1,0)</f>
        <v>0</v>
      </c>
      <c r="K21" s="801">
        <f>IF(OR(Rechnungen!G536=10,Rechnungen!G536=12),1,0)</f>
        <v>0</v>
      </c>
      <c r="L21" s="144"/>
    </row>
    <row r="22" spans="1:21" ht="13" thickBot="1" x14ac:dyDescent="0.3"/>
    <row r="23" spans="1:21" ht="13" thickBot="1" x14ac:dyDescent="0.3">
      <c r="A23" s="81" t="s">
        <v>508</v>
      </c>
      <c r="B23" s="82"/>
      <c r="C23" s="82"/>
      <c r="D23" s="82"/>
      <c r="E23" s="82"/>
      <c r="F23" s="82"/>
      <c r="G23" s="82"/>
      <c r="H23" s="82"/>
      <c r="I23" s="82"/>
      <c r="J23" s="96"/>
      <c r="K23" s="97"/>
    </row>
    <row r="24" spans="1:21" x14ac:dyDescent="0.25">
      <c r="A24" s="81"/>
      <c r="B24" s="82"/>
      <c r="C24" s="82"/>
      <c r="D24" s="82"/>
      <c r="E24" s="82"/>
      <c r="F24" s="82"/>
      <c r="G24" s="82"/>
      <c r="H24" s="82"/>
      <c r="I24" s="82"/>
      <c r="J24" s="96"/>
      <c r="K24" s="97"/>
    </row>
    <row r="25" spans="1:21" x14ac:dyDescent="0.25">
      <c r="A25" s="98" t="s">
        <v>363</v>
      </c>
      <c r="B25" s="79" t="s">
        <v>452</v>
      </c>
      <c r="C25" s="79" t="s">
        <v>453</v>
      </c>
      <c r="D25" s="79" t="s">
        <v>454</v>
      </c>
      <c r="E25" s="79" t="s">
        <v>455</v>
      </c>
      <c r="F25" s="79" t="s">
        <v>456</v>
      </c>
      <c r="G25" s="79" t="s">
        <v>457</v>
      </c>
      <c r="H25" s="79" t="s">
        <v>458</v>
      </c>
      <c r="I25" s="79" t="s">
        <v>459</v>
      </c>
      <c r="J25" s="79" t="s">
        <v>460</v>
      </c>
      <c r="K25" s="99" t="s">
        <v>461</v>
      </c>
    </row>
    <row r="26" spans="1:21" x14ac:dyDescent="0.25">
      <c r="A26" s="98">
        <f>A6</f>
        <v>320</v>
      </c>
      <c r="B26" s="79">
        <f>0.42*A26^0.7</f>
        <v>23.815202311620425</v>
      </c>
      <c r="C26" s="79">
        <f>0.12*(B26/0.42)^-0.4</f>
        <v>2.3863780851864823E-2</v>
      </c>
      <c r="D26" s="79">
        <f>0.0644*A26^0.9</f>
        <v>11.574995953036559</v>
      </c>
      <c r="E26" s="79">
        <f>(81.5+3*LOG(B26))/100</f>
        <v>0.85630562825665502</v>
      </c>
      <c r="F26" s="79">
        <f>C26*(F28-20)/(70-20)</f>
        <v>2.3863780851864823E-2</v>
      </c>
      <c r="G26" s="79">
        <f>0.046*(B26/0.42)^0.286</f>
        <v>0.14597848675340103</v>
      </c>
      <c r="H26" s="79">
        <f>(1+(1/0.3-1)*F26)/(1+(1/G26-1)*F26)</f>
        <v>0.92635318894726937</v>
      </c>
      <c r="I26" s="79">
        <v>1</v>
      </c>
      <c r="J26" s="79">
        <f>E26+F26*(1-I26)/G26</f>
        <v>0.85630562825665502</v>
      </c>
      <c r="K26" s="99">
        <f>1/H26/J26</f>
        <v>1.2606502102160175</v>
      </c>
    </row>
    <row r="27" spans="1:21" x14ac:dyDescent="0.25">
      <c r="A27" s="98"/>
      <c r="B27" s="79"/>
      <c r="C27" s="79"/>
      <c r="D27" s="79"/>
      <c r="E27" s="79"/>
      <c r="F27" s="79" t="s">
        <v>258</v>
      </c>
      <c r="G27" s="79"/>
      <c r="H27" s="79"/>
      <c r="I27" s="79"/>
      <c r="J27" s="79"/>
      <c r="K27" s="99"/>
    </row>
    <row r="28" spans="1:21" ht="13" thickBot="1" x14ac:dyDescent="0.3">
      <c r="A28" s="98"/>
      <c r="B28" s="79"/>
      <c r="C28" s="79"/>
      <c r="D28" s="79"/>
      <c r="E28" s="79"/>
      <c r="F28" s="610">
        <f>'H-04'!G14</f>
        <v>70</v>
      </c>
      <c r="G28" s="79"/>
      <c r="H28" s="79"/>
      <c r="I28" s="79"/>
      <c r="J28" s="79"/>
      <c r="K28" s="99"/>
    </row>
    <row r="29" spans="1:21" x14ac:dyDescent="0.25">
      <c r="A29" s="98" t="s">
        <v>444</v>
      </c>
      <c r="B29" s="79"/>
      <c r="C29" s="79"/>
      <c r="D29" s="79"/>
      <c r="E29" s="79"/>
      <c r="F29" s="79"/>
      <c r="G29" s="79"/>
      <c r="H29" s="79"/>
      <c r="I29" s="79"/>
      <c r="J29" s="79"/>
      <c r="K29" s="99"/>
      <c r="L29" s="605"/>
      <c r="M29" s="96" t="s">
        <v>452</v>
      </c>
      <c r="N29" s="96" t="s">
        <v>453</v>
      </c>
      <c r="O29" s="96" t="s">
        <v>454</v>
      </c>
      <c r="P29" s="96" t="s">
        <v>455</v>
      </c>
      <c r="Q29" s="616" t="s">
        <v>456</v>
      </c>
      <c r="R29" s="96" t="s">
        <v>457</v>
      </c>
      <c r="S29" s="96" t="s">
        <v>458</v>
      </c>
      <c r="T29" s="96" t="s">
        <v>459</v>
      </c>
      <c r="U29" s="97" t="s">
        <v>460</v>
      </c>
    </row>
    <row r="30" spans="1:21" ht="13" thickBot="1" x14ac:dyDescent="0.3">
      <c r="A30" s="100" t="s">
        <v>462</v>
      </c>
      <c r="B30" s="627">
        <f>B26*K30</f>
        <v>23.815202311620425</v>
      </c>
      <c r="C30" s="627">
        <f>C26*K30</f>
        <v>2.3863780851864823E-2</v>
      </c>
      <c r="D30" s="627">
        <f>D26*K30</f>
        <v>11.574995953036559</v>
      </c>
      <c r="E30" s="627">
        <f>E26*K30</f>
        <v>0.85630562825665502</v>
      </c>
      <c r="F30" s="627">
        <f>F26*K30</f>
        <v>2.3863780851864823E-2</v>
      </c>
      <c r="G30" s="627">
        <f>G26*K30</f>
        <v>0.14597848675340103</v>
      </c>
      <c r="H30" s="101">
        <f>H26*K30</f>
        <v>0.92635318894726937</v>
      </c>
      <c r="I30" s="101">
        <f>I26*K30</f>
        <v>1</v>
      </c>
      <c r="J30" s="101">
        <f>J26*K30</f>
        <v>0.85630562825665502</v>
      </c>
      <c r="K30" s="102">
        <f>B20*B21</f>
        <v>1</v>
      </c>
      <c r="L30" s="622" t="s">
        <v>353</v>
      </c>
      <c r="M30" s="79">
        <f t="shared" ref="M30:U30" si="1">B30+B45+B61+B77+B93+B109+B125+B141+B157+B173</f>
        <v>23.815202311620425</v>
      </c>
      <c r="N30" s="79">
        <f t="shared" si="1"/>
        <v>2.3863780851864823E-2</v>
      </c>
      <c r="O30" s="79">
        <f t="shared" si="1"/>
        <v>11.574995953036559</v>
      </c>
      <c r="P30" s="79">
        <f t="shared" si="1"/>
        <v>0.85630562825665502</v>
      </c>
      <c r="Q30" s="79">
        <f t="shared" si="1"/>
        <v>2.3863780851864823E-2</v>
      </c>
      <c r="R30" s="79">
        <f t="shared" si="1"/>
        <v>0.14597848675340103</v>
      </c>
      <c r="S30" s="79">
        <f t="shared" si="1"/>
        <v>0.92635318894726937</v>
      </c>
      <c r="T30" s="79">
        <f t="shared" si="1"/>
        <v>1</v>
      </c>
      <c r="U30" s="623">
        <f t="shared" si="1"/>
        <v>0.85630562825665502</v>
      </c>
    </row>
    <row r="31" spans="1:21" x14ac:dyDescent="0.25">
      <c r="A31" s="98"/>
      <c r="B31" s="79"/>
      <c r="C31" s="79"/>
      <c r="D31" s="79"/>
      <c r="E31" s="79"/>
      <c r="F31" s="79"/>
      <c r="G31" s="79"/>
      <c r="H31" s="79"/>
      <c r="I31" s="79"/>
      <c r="J31" s="79"/>
      <c r="K31" s="99"/>
      <c r="L31" s="622" t="s">
        <v>354</v>
      </c>
      <c r="M31" s="79">
        <f t="shared" ref="M31:U31" si="2">B36+B52+B68+B84+B100+B116+B132+B148+B164+B179</f>
        <v>23.815202311620425</v>
      </c>
      <c r="N31" s="79">
        <f t="shared" si="2"/>
        <v>2.3863780851864823E-2</v>
      </c>
      <c r="O31" s="79">
        <f t="shared" si="2"/>
        <v>11.574995953036559</v>
      </c>
      <c r="P31" s="79">
        <f t="shared" si="2"/>
        <v>0.85630562825665502</v>
      </c>
      <c r="Q31" s="79">
        <f t="shared" si="2"/>
        <v>2.3863780851864823E-2</v>
      </c>
      <c r="R31" s="79">
        <f t="shared" si="2"/>
        <v>0.14597848675340103</v>
      </c>
      <c r="S31" s="79">
        <f t="shared" si="2"/>
        <v>0.92635318894726937</v>
      </c>
      <c r="T31" s="79">
        <f t="shared" si="2"/>
        <v>0.59659452129662061</v>
      </c>
      <c r="U31" s="623">
        <f t="shared" si="2"/>
        <v>0.9222521944413109</v>
      </c>
    </row>
    <row r="32" spans="1:21" ht="13" thickBot="1" x14ac:dyDescent="0.3">
      <c r="A32" s="98" t="s">
        <v>363</v>
      </c>
      <c r="B32" s="79" t="s">
        <v>452</v>
      </c>
      <c r="C32" s="79" t="s">
        <v>453</v>
      </c>
      <c r="D32" s="79" t="s">
        <v>454</v>
      </c>
      <c r="E32" s="79" t="s">
        <v>455</v>
      </c>
      <c r="F32" s="79" t="s">
        <v>456</v>
      </c>
      <c r="G32" s="79" t="s">
        <v>457</v>
      </c>
      <c r="H32" s="79" t="s">
        <v>458</v>
      </c>
      <c r="I32" s="79" t="s">
        <v>459</v>
      </c>
      <c r="J32" s="79" t="s">
        <v>460</v>
      </c>
      <c r="K32" s="99" t="s">
        <v>461</v>
      </c>
      <c r="L32" s="624" t="s">
        <v>355</v>
      </c>
      <c r="M32" s="625">
        <f>IF(OR(Rechnungen!$G536=5,Rechnungen!$G536=7,Rechnungen!$G536=9,Rechnungen!$G536=11),'H-03'!M31,'H-03'!M30)</f>
        <v>23.815202311620425</v>
      </c>
      <c r="N32" s="625">
        <f>IF(OR(Rechnungen!$G536=5,Rechnungen!$G536=7,Rechnungen!$G536=9,Rechnungen!$G536=11),'H-03'!N31,'H-03'!N30)</f>
        <v>2.3863780851864823E-2</v>
      </c>
      <c r="O32" s="625">
        <f>IF(OR(Rechnungen!$G536=5,Rechnungen!$G536=7,Rechnungen!$G536=9,Rechnungen!$G536=11),'H-03'!O31,'H-03'!O30)</f>
        <v>11.574995953036559</v>
      </c>
      <c r="P32" s="625">
        <f>IF(OR(Rechnungen!$G536=5,Rechnungen!$G536=7,Rechnungen!$G536=9,Rechnungen!$G536=11),'H-03'!P31,'H-03'!P30)</f>
        <v>0.85630562825665502</v>
      </c>
      <c r="Q32" s="625">
        <f>IF(OR(Rechnungen!$G536=5,Rechnungen!$G536=7,Rechnungen!$G536=9,Rechnungen!$G536=11),'H-03'!Q31,'H-03'!Q30)</f>
        <v>2.3863780851864823E-2</v>
      </c>
      <c r="R32" s="625">
        <f>IF(OR(Rechnungen!$G536=5,Rechnungen!$G536=7,Rechnungen!$G536=9,Rechnungen!$G536=11),'H-03'!R31,'H-03'!R30)</f>
        <v>0.14597848675340103</v>
      </c>
      <c r="S32" s="625">
        <f>IF(OR(Rechnungen!$G536=5,Rechnungen!$G536=7,Rechnungen!$G536=9,Rechnungen!$G536=11),'H-03'!S31,'H-03'!S30)</f>
        <v>0.92635318894726937</v>
      </c>
      <c r="T32" s="625">
        <f>IF(OR(Rechnungen!$G536=5,Rechnungen!$G536=7,Rechnungen!$G536=9,Rechnungen!$G536=11),'H-03'!T31,'H-03'!T30)</f>
        <v>0.59659452129662061</v>
      </c>
      <c r="U32" s="626">
        <f>IF(OR(Rechnungen!$G536=5,Rechnungen!$G536=7,Rechnungen!$G536=9,Rechnungen!$G536=11),'H-03'!U31,'H-03'!U30)</f>
        <v>0.9222521944413109</v>
      </c>
    </row>
    <row r="33" spans="1:11" x14ac:dyDescent="0.25">
      <c r="A33" s="98">
        <f>A11</f>
        <v>320</v>
      </c>
      <c r="B33" s="79">
        <f>0.42*A33^0.7</f>
        <v>23.815202311620425</v>
      </c>
      <c r="C33" s="79">
        <f>0.12*(B33/0.42)^-0.4</f>
        <v>2.3863780851864823E-2</v>
      </c>
      <c r="D33" s="79">
        <f>0.0644*A33^0.9</f>
        <v>11.574995953036559</v>
      </c>
      <c r="E33" s="79">
        <f>(81.5+3*LOG(B33))/100</f>
        <v>0.85630562825665502</v>
      </c>
      <c r="F33" s="79">
        <f>C33*(F35-20)/(70-20)</f>
        <v>2.3863780851864823E-2</v>
      </c>
      <c r="G33" s="79">
        <f>0.046*(B33/0.42)^0.286</f>
        <v>0.14597848675340103</v>
      </c>
      <c r="H33" s="79">
        <f>(1+(1/0.3-1)*F33)/(1+(1/G33-1)*F33)</f>
        <v>0.92635318894726937</v>
      </c>
      <c r="I33" s="79">
        <f>25*F33</f>
        <v>0.59659452129662061</v>
      </c>
      <c r="J33" s="79">
        <f>E33+F33*(1-I33)/G33</f>
        <v>0.9222521944413109</v>
      </c>
      <c r="K33" s="99">
        <f>1/H33/J33</f>
        <v>1.1705061552332334</v>
      </c>
    </row>
    <row r="34" spans="1:11" x14ac:dyDescent="0.25">
      <c r="A34" s="98"/>
      <c r="B34" s="79"/>
      <c r="C34" s="79"/>
      <c r="D34" s="79"/>
      <c r="E34" s="79"/>
      <c r="F34" s="79" t="s">
        <v>258</v>
      </c>
      <c r="G34" s="79"/>
      <c r="H34" s="79"/>
      <c r="I34" s="79"/>
      <c r="J34" s="79"/>
      <c r="K34" s="99"/>
    </row>
    <row r="35" spans="1:11" x14ac:dyDescent="0.25">
      <c r="A35" s="98" t="s">
        <v>444</v>
      </c>
      <c r="B35" s="79"/>
      <c r="C35" s="79"/>
      <c r="D35" s="79"/>
      <c r="E35" s="79"/>
      <c r="F35" s="610">
        <f>'H-04'!G14</f>
        <v>70</v>
      </c>
      <c r="G35" s="79"/>
      <c r="H35" s="79"/>
      <c r="I35" s="79"/>
      <c r="J35" s="79"/>
      <c r="K35" s="99"/>
    </row>
    <row r="36" spans="1:11" ht="13" thickBot="1" x14ac:dyDescent="0.3">
      <c r="A36" s="100" t="s">
        <v>463</v>
      </c>
      <c r="B36" s="627">
        <f>B33*K36</f>
        <v>23.815202311620425</v>
      </c>
      <c r="C36" s="627">
        <f>C33*K36</f>
        <v>2.3863780851864823E-2</v>
      </c>
      <c r="D36" s="627">
        <f>D33*K36</f>
        <v>11.574995953036559</v>
      </c>
      <c r="E36" s="627">
        <f>E33*K36</f>
        <v>0.85630562825665502</v>
      </c>
      <c r="F36" s="627">
        <f>F33*K36</f>
        <v>2.3863780851864823E-2</v>
      </c>
      <c r="G36" s="627">
        <f>G33*K36</f>
        <v>0.14597848675340103</v>
      </c>
      <c r="H36" s="101">
        <f>H33*K36</f>
        <v>0.92635318894726937</v>
      </c>
      <c r="I36" s="101">
        <f>I33*K36</f>
        <v>0.59659452129662061</v>
      </c>
      <c r="J36" s="101">
        <f>J33*K36</f>
        <v>0.9222521944413109</v>
      </c>
      <c r="K36" s="102">
        <f>B20*B21</f>
        <v>1</v>
      </c>
    </row>
    <row r="37" spans="1:11" ht="13" thickBot="1" x14ac:dyDescent="0.3"/>
    <row r="38" spans="1:11" ht="13" thickBot="1" x14ac:dyDescent="0.3">
      <c r="A38" s="81" t="s">
        <v>509</v>
      </c>
      <c r="B38" s="82"/>
      <c r="C38" s="82"/>
      <c r="D38" s="82"/>
      <c r="E38" s="82"/>
      <c r="F38" s="82"/>
      <c r="G38" s="82"/>
      <c r="H38" s="82"/>
      <c r="I38" s="82"/>
      <c r="J38" s="96"/>
      <c r="K38" s="97"/>
    </row>
    <row r="39" spans="1:11" x14ac:dyDescent="0.25">
      <c r="A39" s="81"/>
      <c r="B39" s="82"/>
      <c r="C39" s="82"/>
      <c r="D39" s="82"/>
      <c r="E39" s="82"/>
      <c r="F39" s="82"/>
      <c r="G39" s="82"/>
      <c r="H39" s="82"/>
      <c r="I39" s="82"/>
      <c r="J39" s="96"/>
      <c r="K39" s="97"/>
    </row>
    <row r="40" spans="1:11" x14ac:dyDescent="0.25">
      <c r="A40" s="98" t="s">
        <v>363</v>
      </c>
      <c r="B40" s="79" t="s">
        <v>452</v>
      </c>
      <c r="C40" s="79" t="s">
        <v>453</v>
      </c>
      <c r="D40" s="79" t="s">
        <v>454</v>
      </c>
      <c r="E40" s="79" t="s">
        <v>455</v>
      </c>
      <c r="F40" s="79" t="s">
        <v>456</v>
      </c>
      <c r="G40" s="79" t="s">
        <v>457</v>
      </c>
      <c r="H40" s="79" t="s">
        <v>458</v>
      </c>
      <c r="I40" s="79" t="s">
        <v>459</v>
      </c>
      <c r="J40" s="79" t="s">
        <v>460</v>
      </c>
      <c r="K40" s="99" t="s">
        <v>461</v>
      </c>
    </row>
    <row r="41" spans="1:11" x14ac:dyDescent="0.25">
      <c r="A41" s="98">
        <f>A33</f>
        <v>320</v>
      </c>
      <c r="B41" s="79">
        <f>0.42*A41^0.7</f>
        <v>23.815202311620425</v>
      </c>
      <c r="C41" s="79">
        <f>0.06*(B41/0.42)^-0.4</f>
        <v>1.1931890425932411E-2</v>
      </c>
      <c r="D41" s="79">
        <f>0.0644*A41^0.9</f>
        <v>11.574995953036559</v>
      </c>
      <c r="E41" s="79">
        <f>(89+1.5*LOG(B41))/100</f>
        <v>0.91065281412832744</v>
      </c>
      <c r="F41" s="79">
        <f>C41*(F43-20)/(70-20)</f>
        <v>6.1430590661636451E-3</v>
      </c>
      <c r="G41" s="79">
        <f>0.046*(B41/0.42)^0.286</f>
        <v>0.14597848675340103</v>
      </c>
      <c r="H41" s="79">
        <f>(1+(1/0.3-1)*F41)/(1+(1/G41-1)*F41)</f>
        <v>0.97914444131220857</v>
      </c>
      <c r="I41" s="79">
        <v>1</v>
      </c>
      <c r="J41" s="79">
        <f>E41+F41*(1-I41)/G41</f>
        <v>0.91065281412832744</v>
      </c>
      <c r="K41" s="99">
        <f>1/H41/J41</f>
        <v>1.1215029060487165</v>
      </c>
    </row>
    <row r="42" spans="1:11" x14ac:dyDescent="0.25">
      <c r="A42" s="98"/>
      <c r="B42" s="79"/>
      <c r="C42" s="79"/>
      <c r="D42" s="79"/>
      <c r="E42" s="79"/>
      <c r="F42" s="79" t="s">
        <v>258</v>
      </c>
      <c r="G42" s="79"/>
      <c r="H42" s="79"/>
      <c r="I42" s="79"/>
      <c r="J42" s="79"/>
      <c r="K42" s="99"/>
    </row>
    <row r="43" spans="1:11" x14ac:dyDescent="0.25">
      <c r="A43" s="98"/>
      <c r="B43" s="79"/>
      <c r="C43" s="79"/>
      <c r="D43" s="79"/>
      <c r="E43" s="79"/>
      <c r="F43" s="610">
        <f>'H-04'!F13</f>
        <v>45.742186891075136</v>
      </c>
      <c r="G43" s="79"/>
      <c r="H43" s="79"/>
      <c r="I43" s="79"/>
      <c r="J43" s="79"/>
      <c r="K43" s="99"/>
    </row>
    <row r="44" spans="1:11" x14ac:dyDescent="0.25">
      <c r="A44" s="98" t="s">
        <v>445</v>
      </c>
      <c r="B44" s="79"/>
      <c r="C44" s="79"/>
      <c r="D44" s="79"/>
      <c r="E44" s="79"/>
      <c r="F44" s="79"/>
      <c r="G44" s="79"/>
      <c r="H44" s="79"/>
      <c r="I44" s="79"/>
      <c r="J44" s="79"/>
      <c r="K44" s="99"/>
    </row>
    <row r="45" spans="1:11" ht="13" thickBot="1" x14ac:dyDescent="0.3">
      <c r="A45" s="100" t="s">
        <v>462</v>
      </c>
      <c r="B45" s="627">
        <f>B41*K45</f>
        <v>0</v>
      </c>
      <c r="C45" s="627">
        <f>C41*K45</f>
        <v>0</v>
      </c>
      <c r="D45" s="627">
        <f>D41*K45</f>
        <v>0</v>
      </c>
      <c r="E45" s="627">
        <f>E41*K45</f>
        <v>0</v>
      </c>
      <c r="F45" s="627">
        <f>F41*K45</f>
        <v>0</v>
      </c>
      <c r="G45" s="627">
        <f>G41*K45</f>
        <v>0</v>
      </c>
      <c r="H45" s="101">
        <f>H41*K45</f>
        <v>0</v>
      </c>
      <c r="I45" s="101">
        <f>I41*K45</f>
        <v>0</v>
      </c>
      <c r="J45" s="101">
        <f>J41*K45</f>
        <v>0</v>
      </c>
      <c r="K45" s="102">
        <f>C21*C20</f>
        <v>0</v>
      </c>
    </row>
    <row r="46" spans="1:11" x14ac:dyDescent="0.25">
      <c r="A46" s="98"/>
      <c r="B46" s="79"/>
      <c r="C46" s="79"/>
      <c r="D46" s="79"/>
      <c r="E46" s="79"/>
      <c r="F46" s="79"/>
      <c r="G46" s="79"/>
      <c r="H46" s="79"/>
      <c r="I46" s="79"/>
      <c r="J46" s="79"/>
      <c r="K46" s="99"/>
    </row>
    <row r="47" spans="1:11" x14ac:dyDescent="0.25">
      <c r="A47" s="98" t="s">
        <v>363</v>
      </c>
      <c r="B47" s="79" t="s">
        <v>452</v>
      </c>
      <c r="C47" s="79" t="s">
        <v>453</v>
      </c>
      <c r="D47" s="79" t="s">
        <v>454</v>
      </c>
      <c r="E47" s="79" t="s">
        <v>455</v>
      </c>
      <c r="F47" s="79" t="s">
        <v>456</v>
      </c>
      <c r="G47" s="79" t="s">
        <v>457</v>
      </c>
      <c r="H47" s="79" t="s">
        <v>458</v>
      </c>
      <c r="I47" s="79" t="s">
        <v>459</v>
      </c>
      <c r="J47" s="79" t="s">
        <v>460</v>
      </c>
      <c r="K47" s="99" t="s">
        <v>461</v>
      </c>
    </row>
    <row r="48" spans="1:11" x14ac:dyDescent="0.25">
      <c r="A48" s="98">
        <f>A41</f>
        <v>320</v>
      </c>
      <c r="B48" s="79">
        <f>0.42*A48^0.7</f>
        <v>23.815202311620425</v>
      </c>
      <c r="C48" s="79">
        <f>0.06*(B48/0.42)^-0.4</f>
        <v>1.1931890425932411E-2</v>
      </c>
      <c r="D48" s="79">
        <f>0.0644*A48^0.9</f>
        <v>11.574995953036559</v>
      </c>
      <c r="E48" s="79">
        <f>(89+1.5*LOG(B48))/100</f>
        <v>0.91065281412832744</v>
      </c>
      <c r="F48" s="79">
        <f>C48*(F50-20)/(70-20)</f>
        <v>6.1430590661636451E-3</v>
      </c>
      <c r="G48" s="79">
        <f>0.046*(B48/0.42)^0.286</f>
        <v>0.14597848675340103</v>
      </c>
      <c r="H48" s="79">
        <f>(1+(1/0.3-1)*F48)/(1+(1/G48-1)*F48)</f>
        <v>0.97914444131220857</v>
      </c>
      <c r="I48" s="79">
        <f>25*F48</f>
        <v>0.15357647665409113</v>
      </c>
      <c r="J48" s="79">
        <f>E48+F48*(1-I48)/G48</f>
        <v>0.94627196469321795</v>
      </c>
      <c r="K48" s="99">
        <f>1/H48/J48</f>
        <v>1.0792877899298929</v>
      </c>
    </row>
    <row r="49" spans="1:11" x14ac:dyDescent="0.25">
      <c r="A49" s="98"/>
      <c r="B49" s="79"/>
      <c r="C49" s="79"/>
      <c r="D49" s="79"/>
      <c r="E49" s="79"/>
      <c r="F49" s="79" t="s">
        <v>258</v>
      </c>
      <c r="G49" s="79"/>
      <c r="H49" s="79"/>
      <c r="I49" s="79"/>
      <c r="J49" s="79"/>
      <c r="K49" s="99"/>
    </row>
    <row r="50" spans="1:11" x14ac:dyDescent="0.25">
      <c r="A50" s="98"/>
      <c r="B50" s="79"/>
      <c r="C50" s="79"/>
      <c r="D50" s="79"/>
      <c r="E50" s="79"/>
      <c r="F50" s="610">
        <f>'H-04'!F13</f>
        <v>45.742186891075136</v>
      </c>
      <c r="G50" s="79"/>
      <c r="H50" s="79"/>
      <c r="I50" s="79"/>
      <c r="J50" s="79"/>
      <c r="K50" s="99"/>
    </row>
    <row r="51" spans="1:11" x14ac:dyDescent="0.25">
      <c r="A51" s="98" t="s">
        <v>445</v>
      </c>
      <c r="B51" s="79"/>
      <c r="C51" s="79"/>
      <c r="D51" s="79"/>
      <c r="E51" s="79"/>
      <c r="F51" s="79"/>
      <c r="G51" s="79"/>
      <c r="H51" s="79"/>
      <c r="I51" s="79"/>
      <c r="J51" s="79"/>
      <c r="K51" s="99"/>
    </row>
    <row r="52" spans="1:11" ht="13" thickBot="1" x14ac:dyDescent="0.3">
      <c r="A52" s="100" t="s">
        <v>463</v>
      </c>
      <c r="B52" s="627">
        <f>B48*K52</f>
        <v>0</v>
      </c>
      <c r="C52" s="627">
        <f>C48*K52</f>
        <v>0</v>
      </c>
      <c r="D52" s="627">
        <f>D48*K52</f>
        <v>0</v>
      </c>
      <c r="E52" s="627">
        <f>E48*K52</f>
        <v>0</v>
      </c>
      <c r="F52" s="627">
        <f>F48*K52</f>
        <v>0</v>
      </c>
      <c r="G52" s="627">
        <f>G48*K52</f>
        <v>0</v>
      </c>
      <c r="H52" s="101">
        <f>H48*K52</f>
        <v>0</v>
      </c>
      <c r="I52" s="101">
        <f>I48*K52</f>
        <v>0</v>
      </c>
      <c r="J52" s="101">
        <f>J48*K52</f>
        <v>0</v>
      </c>
      <c r="K52" s="102">
        <f>C21*C20</f>
        <v>0</v>
      </c>
    </row>
    <row r="53" spans="1:11" ht="13" thickBot="1" x14ac:dyDescent="0.3"/>
    <row r="54" spans="1:11" ht="13" thickBot="1" x14ac:dyDescent="0.3">
      <c r="A54" s="81" t="s">
        <v>510</v>
      </c>
      <c r="B54" s="82"/>
      <c r="C54" s="82"/>
      <c r="D54" s="82"/>
      <c r="E54" s="82"/>
      <c r="F54" s="82"/>
      <c r="G54" s="82"/>
      <c r="H54" s="82"/>
      <c r="I54" s="82"/>
      <c r="J54" s="96"/>
      <c r="K54" s="97"/>
    </row>
    <row r="55" spans="1:11" x14ac:dyDescent="0.25">
      <c r="A55" s="81"/>
      <c r="B55" s="82"/>
      <c r="C55" s="82"/>
      <c r="D55" s="82"/>
      <c r="E55" s="82"/>
      <c r="F55" s="82"/>
      <c r="G55" s="82"/>
      <c r="H55" s="82"/>
      <c r="I55" s="82"/>
      <c r="J55" s="96"/>
      <c r="K55" s="97"/>
    </row>
    <row r="56" spans="1:11" x14ac:dyDescent="0.25">
      <c r="A56" s="98" t="s">
        <v>363</v>
      </c>
      <c r="B56" s="79" t="s">
        <v>452</v>
      </c>
      <c r="C56" s="79" t="s">
        <v>453</v>
      </c>
      <c r="D56" s="79" t="s">
        <v>454</v>
      </c>
      <c r="E56" s="79" t="s">
        <v>455</v>
      </c>
      <c r="F56" s="79" t="s">
        <v>456</v>
      </c>
      <c r="G56" s="79" t="s">
        <v>457</v>
      </c>
      <c r="H56" s="79" t="s">
        <v>458</v>
      </c>
      <c r="I56" s="79" t="s">
        <v>459</v>
      </c>
      <c r="J56" s="79" t="s">
        <v>460</v>
      </c>
      <c r="K56" s="99" t="s">
        <v>461</v>
      </c>
    </row>
    <row r="57" spans="1:11" x14ac:dyDescent="0.25">
      <c r="A57" s="98">
        <f>A6</f>
        <v>320</v>
      </c>
      <c r="B57" s="79">
        <f>0.42*A57^0.7</f>
        <v>23.815202311620425</v>
      </c>
      <c r="C57" s="79">
        <f>0.06*(B57/0.42)^-0.4</f>
        <v>1.1931890425932411E-2</v>
      </c>
      <c r="D57" s="79">
        <f>0.0644*A57^0.9</f>
        <v>11.574995953036559</v>
      </c>
      <c r="E57" s="79">
        <f>(89+1.5*LOG(B57))/100</f>
        <v>0.91065281412832744</v>
      </c>
      <c r="F57" s="79">
        <f>C57*(F59-20)/(70-20)</f>
        <v>4.3362769878802204E-3</v>
      </c>
      <c r="G57" s="79">
        <f>0.046*(B57/0.42)^0.286</f>
        <v>0.14597848675340103</v>
      </c>
      <c r="H57" s="79">
        <f>(1+(1/0.3-1)*F57)/(1+(1/G57-1)*F57)</f>
        <v>0.98512666827487727</v>
      </c>
      <c r="I57" s="79">
        <v>1</v>
      </c>
      <c r="J57" s="79">
        <f>E57+F57*(1-I57)/G57</f>
        <v>0.91065281412832744</v>
      </c>
      <c r="K57" s="99">
        <f>1/H57/J57</f>
        <v>1.1146925281152629</v>
      </c>
    </row>
    <row r="58" spans="1:11" x14ac:dyDescent="0.25">
      <c r="A58" s="98"/>
      <c r="B58" s="79"/>
      <c r="C58" s="79"/>
      <c r="D58" s="79"/>
      <c r="E58" s="79"/>
      <c r="F58" s="79" t="s">
        <v>258</v>
      </c>
      <c r="G58" s="79"/>
      <c r="H58" s="79"/>
      <c r="I58" s="79"/>
      <c r="J58" s="79"/>
      <c r="K58" s="99"/>
    </row>
    <row r="59" spans="1:11" x14ac:dyDescent="0.25">
      <c r="A59" s="98"/>
      <c r="B59" s="79"/>
      <c r="C59" s="79"/>
      <c r="D59" s="79"/>
      <c r="E59" s="79"/>
      <c r="F59" s="610">
        <f>'H-04'!E13</f>
        <v>38.170955452523629</v>
      </c>
      <c r="G59" s="79"/>
      <c r="H59" s="79"/>
      <c r="I59" s="79"/>
      <c r="J59" s="79"/>
      <c r="K59" s="99"/>
    </row>
    <row r="60" spans="1:11" x14ac:dyDescent="0.25">
      <c r="A60" s="98" t="s">
        <v>445</v>
      </c>
      <c r="B60" s="79"/>
      <c r="C60" s="79"/>
      <c r="D60" s="79"/>
      <c r="E60" s="79"/>
      <c r="F60" s="79"/>
      <c r="G60" s="79"/>
      <c r="H60" s="79"/>
      <c r="I60" s="79"/>
      <c r="J60" s="79"/>
      <c r="K60" s="99"/>
    </row>
    <row r="61" spans="1:11" ht="13" thickBot="1" x14ac:dyDescent="0.3">
      <c r="A61" s="100" t="s">
        <v>462</v>
      </c>
      <c r="B61" s="627">
        <f>B57*K61</f>
        <v>0</v>
      </c>
      <c r="C61" s="627">
        <f>C57*K61</f>
        <v>0</v>
      </c>
      <c r="D61" s="627">
        <f>D57*K61</f>
        <v>0</v>
      </c>
      <c r="E61" s="627">
        <f>E57*K61</f>
        <v>0</v>
      </c>
      <c r="F61" s="627">
        <f>F57*K61</f>
        <v>0</v>
      </c>
      <c r="G61" s="627">
        <f>G57*K61</f>
        <v>0</v>
      </c>
      <c r="H61" s="101">
        <f>H57*K61</f>
        <v>0</v>
      </c>
      <c r="I61" s="101">
        <f>I57*K61</f>
        <v>0</v>
      </c>
      <c r="J61" s="101">
        <f>J57*K61</f>
        <v>0</v>
      </c>
      <c r="K61" s="102">
        <f>D20*D21</f>
        <v>0</v>
      </c>
    </row>
    <row r="62" spans="1:11" x14ac:dyDescent="0.25">
      <c r="A62" s="98"/>
      <c r="B62" s="79"/>
      <c r="C62" s="79"/>
      <c r="D62" s="79"/>
      <c r="E62" s="79"/>
      <c r="F62" s="79"/>
      <c r="G62" s="79"/>
      <c r="H62" s="79"/>
      <c r="I62" s="79"/>
      <c r="J62" s="79"/>
      <c r="K62" s="99"/>
    </row>
    <row r="63" spans="1:11" x14ac:dyDescent="0.25">
      <c r="A63" s="98" t="s">
        <v>363</v>
      </c>
      <c r="B63" s="79" t="s">
        <v>452</v>
      </c>
      <c r="C63" s="79" t="s">
        <v>453</v>
      </c>
      <c r="D63" s="79" t="s">
        <v>454</v>
      </c>
      <c r="E63" s="79" t="s">
        <v>455</v>
      </c>
      <c r="F63" s="79" t="s">
        <v>456</v>
      </c>
      <c r="G63" s="79" t="s">
        <v>457</v>
      </c>
      <c r="H63" s="79" t="s">
        <v>458</v>
      </c>
      <c r="I63" s="79" t="s">
        <v>459</v>
      </c>
      <c r="J63" s="79" t="s">
        <v>460</v>
      </c>
      <c r="K63" s="99" t="s">
        <v>461</v>
      </c>
    </row>
    <row r="64" spans="1:11" x14ac:dyDescent="0.25">
      <c r="A64" s="98">
        <f>A11</f>
        <v>320</v>
      </c>
      <c r="B64" s="79">
        <f>0.42*A64^0.7</f>
        <v>23.815202311620425</v>
      </c>
      <c r="C64" s="79">
        <f>0.06*(B64/0.42)^-0.4</f>
        <v>1.1931890425932411E-2</v>
      </c>
      <c r="D64" s="79">
        <f>0.0644*A64^0.9</f>
        <v>11.574995953036559</v>
      </c>
      <c r="E64" s="79">
        <f>(89+1.5*LOG(B64))/100</f>
        <v>0.91065281412832744</v>
      </c>
      <c r="F64" s="79">
        <f>C64*(F66-20)/(70-20)</f>
        <v>4.3362769878802204E-3</v>
      </c>
      <c r="G64" s="79">
        <f>0.046*(B64/0.42)^0.286</f>
        <v>0.14597848675340103</v>
      </c>
      <c r="H64" s="79">
        <f>(1+(1/0.3-1)*F64)/(1+(1/G64-1)*F64)</f>
        <v>0.98512666827487727</v>
      </c>
      <c r="I64" s="79">
        <f>25*F64</f>
        <v>0.10840692469700551</v>
      </c>
      <c r="J64" s="79">
        <f>E64+F64*(1-I64)/G64</f>
        <v>0.93713750115978589</v>
      </c>
      <c r="K64" s="99">
        <f>1/H64/J64</f>
        <v>1.0831899122164204</v>
      </c>
    </row>
    <row r="65" spans="1:11" x14ac:dyDescent="0.25">
      <c r="A65" s="98"/>
      <c r="B65" s="79"/>
      <c r="C65" s="79"/>
      <c r="D65" s="79"/>
      <c r="E65" s="79"/>
      <c r="F65" s="79" t="s">
        <v>258</v>
      </c>
      <c r="G65" s="79"/>
      <c r="H65" s="79"/>
      <c r="I65" s="79"/>
      <c r="J65" s="79"/>
      <c r="K65" s="99"/>
    </row>
    <row r="66" spans="1:11" x14ac:dyDescent="0.25">
      <c r="A66" s="98"/>
      <c r="B66" s="79"/>
      <c r="C66" s="79"/>
      <c r="D66" s="79"/>
      <c r="E66" s="79"/>
      <c r="F66" s="610">
        <f>'H-04'!E13</f>
        <v>38.170955452523629</v>
      </c>
      <c r="G66" s="79"/>
      <c r="H66" s="79"/>
      <c r="I66" s="79"/>
      <c r="J66" s="79"/>
      <c r="K66" s="99"/>
    </row>
    <row r="67" spans="1:11" x14ac:dyDescent="0.25">
      <c r="A67" s="98" t="s">
        <v>445</v>
      </c>
      <c r="B67" s="79"/>
      <c r="C67" s="79"/>
      <c r="D67" s="79"/>
      <c r="E67" s="79"/>
      <c r="F67" s="79"/>
      <c r="G67" s="79"/>
      <c r="H67" s="79"/>
      <c r="I67" s="79"/>
      <c r="J67" s="79"/>
      <c r="K67" s="99"/>
    </row>
    <row r="68" spans="1:11" ht="13" thickBot="1" x14ac:dyDescent="0.3">
      <c r="A68" s="100" t="s">
        <v>463</v>
      </c>
      <c r="B68" s="627">
        <f>B64*K68</f>
        <v>0</v>
      </c>
      <c r="C68" s="627">
        <f>C64*K68</f>
        <v>0</v>
      </c>
      <c r="D68" s="627">
        <f>D64*K68</f>
        <v>0</v>
      </c>
      <c r="E68" s="627">
        <f>E64*K68</f>
        <v>0</v>
      </c>
      <c r="F68" s="627">
        <f>F64*K68</f>
        <v>0</v>
      </c>
      <c r="G68" s="627">
        <f>G64*K68</f>
        <v>0</v>
      </c>
      <c r="H68" s="101">
        <f>H64*K68</f>
        <v>0</v>
      </c>
      <c r="I68" s="101">
        <f>I64*K68</f>
        <v>0</v>
      </c>
      <c r="J68" s="101">
        <f>J64*K68</f>
        <v>0</v>
      </c>
      <c r="K68" s="102">
        <f>D20*D21</f>
        <v>0</v>
      </c>
    </row>
    <row r="69" spans="1:11" ht="13" thickBot="1" x14ac:dyDescent="0.3"/>
    <row r="70" spans="1:11" ht="13" thickBot="1" x14ac:dyDescent="0.3">
      <c r="A70" s="81" t="s">
        <v>511</v>
      </c>
      <c r="B70" s="82"/>
      <c r="C70" s="82"/>
      <c r="D70" s="82"/>
      <c r="E70" s="82"/>
      <c r="F70" s="82"/>
      <c r="G70" s="82"/>
      <c r="H70" s="82"/>
      <c r="I70" s="82"/>
      <c r="J70" s="96"/>
      <c r="K70" s="97"/>
    </row>
    <row r="71" spans="1:11" x14ac:dyDescent="0.25">
      <c r="A71" s="81"/>
      <c r="B71" s="82"/>
      <c r="C71" s="82"/>
      <c r="D71" s="82"/>
      <c r="E71" s="82"/>
      <c r="F71" s="82"/>
      <c r="G71" s="82"/>
      <c r="H71" s="82"/>
      <c r="I71" s="82"/>
      <c r="J71" s="96"/>
      <c r="K71" s="97"/>
    </row>
    <row r="72" spans="1:11" x14ac:dyDescent="0.25">
      <c r="A72" s="98" t="s">
        <v>363</v>
      </c>
      <c r="B72" s="79" t="s">
        <v>452</v>
      </c>
      <c r="C72" s="79" t="s">
        <v>453</v>
      </c>
      <c r="D72" s="79" t="s">
        <v>454</v>
      </c>
      <c r="E72" s="79" t="s">
        <v>455</v>
      </c>
      <c r="F72" s="79" t="s">
        <v>456</v>
      </c>
      <c r="G72" s="79" t="s">
        <v>457</v>
      </c>
      <c r="H72" s="79" t="s">
        <v>458</v>
      </c>
      <c r="I72" s="79" t="s">
        <v>459</v>
      </c>
      <c r="J72" s="79" t="s">
        <v>460</v>
      </c>
      <c r="K72" s="99" t="s">
        <v>461</v>
      </c>
    </row>
    <row r="73" spans="1:11" x14ac:dyDescent="0.25">
      <c r="A73" s="98">
        <f>A6</f>
        <v>320</v>
      </c>
      <c r="B73" s="79">
        <f>0.42*A73^0.7</f>
        <v>23.815202311620425</v>
      </c>
      <c r="C73" s="79">
        <f>0.06*(B73/0.42)^-0.4</f>
        <v>1.1931890425932411E-2</v>
      </c>
      <c r="D73" s="79">
        <f>0.0644*A73^0.9</f>
        <v>11.574995953036559</v>
      </c>
      <c r="E73" s="79">
        <f>(89+1.5*LOG(B73))/100</f>
        <v>0.91065281412832744</v>
      </c>
      <c r="F73" s="79">
        <f>C73*(F75-20)/(70-20)</f>
        <v>1.5174132632684409E-3</v>
      </c>
      <c r="G73" s="79">
        <f>0.046*(B73/0.42)^0.286</f>
        <v>0.14597848675340103</v>
      </c>
      <c r="H73" s="79">
        <f>(1+(1/0.3-1)*F73)/(1+(1/G73-1)*F73)</f>
        <v>0.99471023019200744</v>
      </c>
      <c r="I73" s="79">
        <v>1</v>
      </c>
      <c r="J73" s="79">
        <f>E73+F73*(1-I73)/G73</f>
        <v>0.91065281412832744</v>
      </c>
      <c r="K73" s="99">
        <f>1/H73/J73</f>
        <v>1.1039529935880137</v>
      </c>
    </row>
    <row r="74" spans="1:11" x14ac:dyDescent="0.25">
      <c r="A74" s="98"/>
      <c r="B74" s="79"/>
      <c r="C74" s="79"/>
      <c r="D74" s="79"/>
      <c r="E74" s="79"/>
      <c r="F74" s="79" t="s">
        <v>258</v>
      </c>
      <c r="G74" s="79"/>
      <c r="H74" s="79"/>
      <c r="I74" s="79"/>
      <c r="J74" s="79"/>
      <c r="K74" s="99"/>
    </row>
    <row r="75" spans="1:11" x14ac:dyDescent="0.25">
      <c r="A75" s="98"/>
      <c r="B75" s="79"/>
      <c r="C75" s="79"/>
      <c r="D75" s="79"/>
      <c r="E75" s="79"/>
      <c r="F75" s="610">
        <f>'H-04'!D13</f>
        <v>26.358645650862417</v>
      </c>
      <c r="G75" s="79"/>
      <c r="H75" s="79"/>
      <c r="I75" s="79"/>
      <c r="J75" s="79"/>
      <c r="K75" s="99"/>
    </row>
    <row r="76" spans="1:11" x14ac:dyDescent="0.25">
      <c r="A76" s="98" t="s">
        <v>445</v>
      </c>
      <c r="B76" s="79"/>
      <c r="C76" s="79"/>
      <c r="D76" s="79"/>
      <c r="E76" s="79"/>
      <c r="F76" s="79"/>
      <c r="G76" s="79"/>
      <c r="H76" s="79"/>
      <c r="I76" s="79"/>
      <c r="J76" s="79"/>
      <c r="K76" s="99"/>
    </row>
    <row r="77" spans="1:11" ht="13" thickBot="1" x14ac:dyDescent="0.3">
      <c r="A77" s="100" t="s">
        <v>462</v>
      </c>
      <c r="B77" s="627">
        <f>B73*K77</f>
        <v>0</v>
      </c>
      <c r="C77" s="627">
        <f>C73*K77</f>
        <v>0</v>
      </c>
      <c r="D77" s="627">
        <f>D73*K77</f>
        <v>0</v>
      </c>
      <c r="E77" s="627">
        <f>E73*K77</f>
        <v>0</v>
      </c>
      <c r="F77" s="627">
        <f>F73*K77</f>
        <v>0</v>
      </c>
      <c r="G77" s="627">
        <f>G73*K77</f>
        <v>0</v>
      </c>
      <c r="H77" s="101">
        <f>H73*K77</f>
        <v>0</v>
      </c>
      <c r="I77" s="101">
        <f>I73*K77</f>
        <v>0</v>
      </c>
      <c r="J77" s="101">
        <f>J73*K77</f>
        <v>0</v>
      </c>
      <c r="K77" s="102">
        <f>E20*E21</f>
        <v>0</v>
      </c>
    </row>
    <row r="78" spans="1:11" x14ac:dyDescent="0.25">
      <c r="A78" s="98"/>
      <c r="B78" s="79"/>
      <c r="C78" s="79"/>
      <c r="D78" s="79"/>
      <c r="E78" s="79"/>
      <c r="F78" s="79"/>
      <c r="G78" s="79"/>
      <c r="H78" s="79"/>
      <c r="I78" s="79"/>
      <c r="J78" s="79"/>
      <c r="K78" s="99"/>
    </row>
    <row r="79" spans="1:11" x14ac:dyDescent="0.25">
      <c r="A79" s="98" t="s">
        <v>363</v>
      </c>
      <c r="B79" s="79" t="s">
        <v>452</v>
      </c>
      <c r="C79" s="79" t="s">
        <v>453</v>
      </c>
      <c r="D79" s="79" t="s">
        <v>454</v>
      </c>
      <c r="E79" s="79" t="s">
        <v>455</v>
      </c>
      <c r="F79" s="79" t="s">
        <v>456</v>
      </c>
      <c r="G79" s="79" t="s">
        <v>457</v>
      </c>
      <c r="H79" s="79" t="s">
        <v>458</v>
      </c>
      <c r="I79" s="79" t="s">
        <v>459</v>
      </c>
      <c r="J79" s="79" t="s">
        <v>460</v>
      </c>
      <c r="K79" s="99" t="s">
        <v>461</v>
      </c>
    </row>
    <row r="80" spans="1:11" x14ac:dyDescent="0.25">
      <c r="A80" s="98">
        <f>A6</f>
        <v>320</v>
      </c>
      <c r="B80" s="79">
        <f>0.42*A80^0.7</f>
        <v>23.815202311620425</v>
      </c>
      <c r="C80" s="79">
        <f>0.06*(B80/0.42)^-0.4</f>
        <v>1.1931890425932411E-2</v>
      </c>
      <c r="D80" s="79">
        <f>0.0644*A80^0.9</f>
        <v>11.574995953036559</v>
      </c>
      <c r="E80" s="79">
        <f>(89+1.5*LOG(B80))/100</f>
        <v>0.91065281412832744</v>
      </c>
      <c r="F80" s="79">
        <f>C80*(F82-20)/(70-20)</f>
        <v>1.5174132632684409E-3</v>
      </c>
      <c r="G80" s="79">
        <f>0.046*(B80/0.42)^0.286</f>
        <v>0.14597848675340103</v>
      </c>
      <c r="H80" s="79">
        <f>(1+(1/0.3-1)*F80)/(1+(1/G80-1)*F80)</f>
        <v>0.99471023019200744</v>
      </c>
      <c r="I80" s="79">
        <f>25*F80</f>
        <v>3.7935331581711022E-2</v>
      </c>
      <c r="J80" s="79">
        <f>E80+F80*(1-I80)/G80</f>
        <v>0.9206532581694139</v>
      </c>
      <c r="K80" s="99">
        <f>1/H80/J80</f>
        <v>1.091961486428936</v>
      </c>
    </row>
    <row r="81" spans="1:11" x14ac:dyDescent="0.25">
      <c r="A81" s="98"/>
      <c r="B81" s="79"/>
      <c r="C81" s="79"/>
      <c r="D81" s="79"/>
      <c r="E81" s="79"/>
      <c r="F81" s="79" t="s">
        <v>258</v>
      </c>
      <c r="G81" s="79"/>
      <c r="H81" s="79"/>
      <c r="I81" s="79"/>
      <c r="J81" s="79"/>
      <c r="K81" s="99"/>
    </row>
    <row r="82" spans="1:11" x14ac:dyDescent="0.25">
      <c r="A82" s="98"/>
      <c r="B82" s="79"/>
      <c r="C82" s="79"/>
      <c r="D82" s="79"/>
      <c r="E82" s="79"/>
      <c r="F82" s="610">
        <f>'H-04'!D13</f>
        <v>26.358645650862417</v>
      </c>
      <c r="G82" s="79"/>
      <c r="H82" s="79"/>
      <c r="I82" s="79"/>
      <c r="J82" s="79"/>
      <c r="K82" s="99"/>
    </row>
    <row r="83" spans="1:11" x14ac:dyDescent="0.25">
      <c r="A83" s="98" t="s">
        <v>445</v>
      </c>
      <c r="B83" s="79"/>
      <c r="C83" s="79"/>
      <c r="D83" s="79"/>
      <c r="E83" s="79"/>
      <c r="F83" s="79"/>
      <c r="G83" s="79"/>
      <c r="H83" s="79"/>
      <c r="I83" s="79"/>
      <c r="J83" s="79"/>
      <c r="K83" s="99"/>
    </row>
    <row r="84" spans="1:11" ht="13" thickBot="1" x14ac:dyDescent="0.3">
      <c r="A84" s="100" t="s">
        <v>463</v>
      </c>
      <c r="B84" s="627">
        <f>B80*K84</f>
        <v>0</v>
      </c>
      <c r="C84" s="627">
        <f>C80*K84</f>
        <v>0</v>
      </c>
      <c r="D84" s="627">
        <f>D80*K84</f>
        <v>0</v>
      </c>
      <c r="E84" s="627">
        <f>E80*K84</f>
        <v>0</v>
      </c>
      <c r="F84" s="627">
        <f>F80*K84</f>
        <v>0</v>
      </c>
      <c r="G84" s="627">
        <f>G80*K84</f>
        <v>0</v>
      </c>
      <c r="H84" s="101">
        <f>H80*K84</f>
        <v>0</v>
      </c>
      <c r="I84" s="101">
        <f>I80*K84</f>
        <v>0</v>
      </c>
      <c r="J84" s="101">
        <f>J80*K84</f>
        <v>0</v>
      </c>
      <c r="K84" s="102">
        <f>E20*E21</f>
        <v>0</v>
      </c>
    </row>
    <row r="85" spans="1:11" ht="13" thickBot="1" x14ac:dyDescent="0.3"/>
    <row r="86" spans="1:11" ht="13" thickBot="1" x14ac:dyDescent="0.3">
      <c r="A86" s="81" t="s">
        <v>323</v>
      </c>
      <c r="B86" s="82"/>
      <c r="C86" s="82"/>
      <c r="D86" s="82"/>
      <c r="E86" s="82"/>
      <c r="F86" s="82"/>
      <c r="G86" s="82"/>
      <c r="H86" s="82"/>
      <c r="I86" s="82"/>
      <c r="J86" s="96"/>
      <c r="K86" s="97"/>
    </row>
    <row r="87" spans="1:11" x14ac:dyDescent="0.25">
      <c r="A87" s="81"/>
      <c r="B87" s="82"/>
      <c r="C87" s="82"/>
      <c r="D87" s="82"/>
      <c r="E87" s="82"/>
      <c r="F87" s="82"/>
      <c r="G87" s="82"/>
      <c r="H87" s="82"/>
      <c r="I87" s="82"/>
      <c r="J87" s="96"/>
      <c r="K87" s="97"/>
    </row>
    <row r="88" spans="1:11" x14ac:dyDescent="0.25">
      <c r="A88" s="98" t="s">
        <v>363</v>
      </c>
      <c r="B88" s="79" t="s">
        <v>452</v>
      </c>
      <c r="C88" s="79" t="s">
        <v>453</v>
      </c>
      <c r="D88" s="79" t="s">
        <v>454</v>
      </c>
      <c r="E88" s="79" t="s">
        <v>455</v>
      </c>
      <c r="F88" s="79" t="s">
        <v>456</v>
      </c>
      <c r="G88" s="79" t="s">
        <v>457</v>
      </c>
      <c r="H88" s="79" t="s">
        <v>458</v>
      </c>
      <c r="I88" s="79" t="s">
        <v>459</v>
      </c>
      <c r="J88" s="79" t="s">
        <v>460</v>
      </c>
      <c r="K88" s="99" t="s">
        <v>461</v>
      </c>
    </row>
    <row r="89" spans="1:11" x14ac:dyDescent="0.25">
      <c r="A89" s="98">
        <f>A6</f>
        <v>320</v>
      </c>
      <c r="B89" s="79">
        <f>0.42*A89^0.7</f>
        <v>23.815202311620425</v>
      </c>
      <c r="C89" s="79">
        <f>0.06*(B89/0.42)^-0.4</f>
        <v>1.1931890425932411E-2</v>
      </c>
      <c r="D89" s="79">
        <f>0.0644*A89^0.9</f>
        <v>11.574995953036559</v>
      </c>
      <c r="E89" s="79">
        <f>(98+LOG(B89))/100</f>
        <v>0.99376854275221826</v>
      </c>
      <c r="F89" s="79">
        <f>C89*(F91-20)/(70-20)</f>
        <v>5.0589898191935904E-3</v>
      </c>
      <c r="G89" s="79">
        <f>0.046*(B89/0.42)^0.286</f>
        <v>0.14597848675340103</v>
      </c>
      <c r="H89" s="79">
        <f>(1+(1/0.3-1)*F89)/(1+(1/G89-1)*F89)</f>
        <v>0.98271903765216517</v>
      </c>
      <c r="I89" s="79">
        <v>1</v>
      </c>
      <c r="J89" s="79">
        <f>E89+F89*(1-I89)/G89</f>
        <v>0.99376854275221826</v>
      </c>
      <c r="K89" s="99">
        <f>1/H89/(J89+0.003*(30-F91))</f>
        <v>1.0597963223710845</v>
      </c>
    </row>
    <row r="90" spans="1:11" x14ac:dyDescent="0.25">
      <c r="A90" s="98"/>
      <c r="B90" s="79"/>
      <c r="C90" s="79"/>
      <c r="D90" s="79"/>
      <c r="E90" s="79"/>
      <c r="F90" s="79" t="s">
        <v>258</v>
      </c>
      <c r="G90" s="79"/>
      <c r="H90" s="79"/>
      <c r="I90" s="79"/>
      <c r="J90" s="79"/>
      <c r="K90" s="99"/>
    </row>
    <row r="91" spans="1:11" x14ac:dyDescent="0.25">
      <c r="A91" s="98"/>
      <c r="B91" s="79"/>
      <c r="C91" s="79"/>
      <c r="D91" s="79"/>
      <c r="E91" s="79"/>
      <c r="F91" s="610">
        <f>'H-04'!F12</f>
        <v>41.199448027944229</v>
      </c>
      <c r="G91" s="79"/>
      <c r="H91" s="79"/>
      <c r="I91" s="79"/>
      <c r="J91" s="79"/>
      <c r="K91" s="99"/>
    </row>
    <row r="92" spans="1:11" x14ac:dyDescent="0.25">
      <c r="A92" s="98" t="s">
        <v>446</v>
      </c>
      <c r="B92" s="79"/>
      <c r="C92" s="79"/>
      <c r="D92" s="79"/>
      <c r="E92" s="79"/>
      <c r="F92" s="79"/>
      <c r="G92" s="79"/>
      <c r="H92" s="79"/>
      <c r="I92" s="79"/>
      <c r="J92" s="79"/>
      <c r="K92" s="99"/>
    </row>
    <row r="93" spans="1:11" ht="13" thickBot="1" x14ac:dyDescent="0.3">
      <c r="A93" s="100" t="s">
        <v>462</v>
      </c>
      <c r="B93" s="627">
        <f>B89*K93</f>
        <v>0</v>
      </c>
      <c r="C93" s="627">
        <f>C89*K93</f>
        <v>0</v>
      </c>
      <c r="D93" s="627">
        <f>D89*K93</f>
        <v>0</v>
      </c>
      <c r="E93" s="627">
        <f>E89*K93</f>
        <v>0</v>
      </c>
      <c r="F93" s="627">
        <f>F89*K93</f>
        <v>0</v>
      </c>
      <c r="G93" s="627">
        <f>G89*K93</f>
        <v>0</v>
      </c>
      <c r="H93" s="101">
        <f>H89*K93</f>
        <v>0</v>
      </c>
      <c r="I93" s="101">
        <f>I89*K93</f>
        <v>0</v>
      </c>
      <c r="J93" s="101">
        <f>J89*K93</f>
        <v>0</v>
      </c>
      <c r="K93" s="102">
        <f>F20*F21</f>
        <v>0</v>
      </c>
    </row>
    <row r="94" spans="1:11" x14ac:dyDescent="0.25">
      <c r="A94" s="98"/>
      <c r="B94" s="79"/>
      <c r="C94" s="79"/>
      <c r="D94" s="79"/>
      <c r="E94" s="79"/>
      <c r="F94" s="79"/>
      <c r="G94" s="79"/>
      <c r="H94" s="79"/>
      <c r="I94" s="79"/>
      <c r="J94" s="79"/>
      <c r="K94" s="99"/>
    </row>
    <row r="95" spans="1:11" x14ac:dyDescent="0.25">
      <c r="A95" s="98" t="s">
        <v>363</v>
      </c>
      <c r="B95" s="79" t="s">
        <v>452</v>
      </c>
      <c r="C95" s="79" t="s">
        <v>453</v>
      </c>
      <c r="D95" s="79" t="s">
        <v>454</v>
      </c>
      <c r="E95" s="79" t="s">
        <v>455</v>
      </c>
      <c r="F95" s="79" t="s">
        <v>456</v>
      </c>
      <c r="G95" s="79" t="s">
        <v>457</v>
      </c>
      <c r="H95" s="79" t="s">
        <v>458</v>
      </c>
      <c r="I95" s="79" t="s">
        <v>459</v>
      </c>
      <c r="J95" s="79" t="s">
        <v>460</v>
      </c>
      <c r="K95" s="99" t="s">
        <v>461</v>
      </c>
    </row>
    <row r="96" spans="1:11" x14ac:dyDescent="0.25">
      <c r="A96" s="98">
        <f>A11</f>
        <v>320</v>
      </c>
      <c r="B96" s="79">
        <f>0.42*A96^0.7</f>
        <v>23.815202311620425</v>
      </c>
      <c r="C96" s="79">
        <f>0.06*(B96/0.42)^-0.4</f>
        <v>1.1931890425932411E-2</v>
      </c>
      <c r="D96" s="79">
        <f>0.0644*A96^0.9</f>
        <v>11.574995953036559</v>
      </c>
      <c r="E96" s="79">
        <f>(98+LOG(B96))/100</f>
        <v>0.99376854275221826</v>
      </c>
      <c r="F96" s="79">
        <f>C96*(F98-20)/(70-20)</f>
        <v>5.0589898191935904E-3</v>
      </c>
      <c r="G96" s="79">
        <f>0.046*(B96/0.42)^0.286</f>
        <v>0.14597848675340103</v>
      </c>
      <c r="H96" s="79">
        <f>(1+(1/0.3-1)*F96)/(1+(1/G96-1)*F96)</f>
        <v>0.98271903765216517</v>
      </c>
      <c r="I96" s="79">
        <f>25*F96</f>
        <v>0.12647474547983975</v>
      </c>
      <c r="J96" s="79">
        <f>E96+F96*(1-I96)/G96</f>
        <v>1.0240411909191443</v>
      </c>
      <c r="K96" s="99">
        <f>1/H96/(J96+0.003*(30-F98))</f>
        <v>1.0274039018510577</v>
      </c>
    </row>
    <row r="97" spans="1:11" x14ac:dyDescent="0.25">
      <c r="A97" s="98"/>
      <c r="B97" s="79"/>
      <c r="C97" s="79"/>
      <c r="D97" s="79"/>
      <c r="E97" s="79"/>
      <c r="F97" s="79" t="s">
        <v>258</v>
      </c>
      <c r="G97" s="79"/>
      <c r="H97" s="79"/>
      <c r="I97" s="79"/>
      <c r="J97" s="79"/>
      <c r="K97" s="99"/>
    </row>
    <row r="98" spans="1:11" x14ac:dyDescent="0.25">
      <c r="A98" s="98"/>
      <c r="B98" s="79"/>
      <c r="C98" s="79"/>
      <c r="D98" s="79"/>
      <c r="E98" s="79"/>
      <c r="F98" s="610">
        <f>'H-04'!F12</f>
        <v>41.199448027944229</v>
      </c>
      <c r="G98" s="79"/>
      <c r="H98" s="79"/>
      <c r="I98" s="79"/>
      <c r="J98" s="79"/>
      <c r="K98" s="99"/>
    </row>
    <row r="99" spans="1:11" x14ac:dyDescent="0.25">
      <c r="A99" s="98" t="s">
        <v>446</v>
      </c>
      <c r="B99" s="79"/>
      <c r="C99" s="79"/>
      <c r="D99" s="79"/>
      <c r="E99" s="79"/>
      <c r="F99" s="79"/>
      <c r="G99" s="79"/>
      <c r="H99" s="79"/>
      <c r="I99" s="79"/>
      <c r="J99" s="79"/>
      <c r="K99" s="99"/>
    </row>
    <row r="100" spans="1:11" ht="13" thickBot="1" x14ac:dyDescent="0.3">
      <c r="A100" s="100" t="s">
        <v>463</v>
      </c>
      <c r="B100" s="627">
        <f>B96*K100</f>
        <v>0</v>
      </c>
      <c r="C100" s="627">
        <f>C96*K100</f>
        <v>0</v>
      </c>
      <c r="D100" s="627">
        <f>D96*K100</f>
        <v>0</v>
      </c>
      <c r="E100" s="627">
        <f>E96*K100</f>
        <v>0</v>
      </c>
      <c r="F100" s="627">
        <f>F96*K100</f>
        <v>0</v>
      </c>
      <c r="G100" s="627">
        <f>G96*K100</f>
        <v>0</v>
      </c>
      <c r="H100" s="101">
        <f>H96*K100</f>
        <v>0</v>
      </c>
      <c r="I100" s="101">
        <f>I96*K100</f>
        <v>0</v>
      </c>
      <c r="J100" s="101">
        <f>J96*K100</f>
        <v>0</v>
      </c>
      <c r="K100" s="102">
        <f>F20*F21</f>
        <v>0</v>
      </c>
    </row>
    <row r="101" spans="1:11" ht="13" thickBot="1" x14ac:dyDescent="0.3"/>
    <row r="102" spans="1:11" ht="13" thickBot="1" x14ac:dyDescent="0.3">
      <c r="A102" s="81" t="s">
        <v>324</v>
      </c>
      <c r="B102" s="82"/>
      <c r="C102" s="82"/>
      <c r="D102" s="82"/>
      <c r="E102" s="82"/>
      <c r="F102" s="82"/>
      <c r="G102" s="82"/>
      <c r="H102" s="82"/>
      <c r="I102" s="82"/>
      <c r="J102" s="96"/>
      <c r="K102" s="97"/>
    </row>
    <row r="103" spans="1:11" x14ac:dyDescent="0.25">
      <c r="A103" s="81"/>
      <c r="B103" s="82"/>
      <c r="C103" s="82"/>
      <c r="D103" s="82"/>
      <c r="E103" s="82"/>
      <c r="F103" s="82"/>
      <c r="G103" s="82"/>
      <c r="H103" s="82"/>
      <c r="I103" s="82"/>
      <c r="J103" s="96"/>
      <c r="K103" s="97"/>
    </row>
    <row r="104" spans="1:11" x14ac:dyDescent="0.25">
      <c r="A104" s="98" t="s">
        <v>363</v>
      </c>
      <c r="B104" s="79" t="s">
        <v>452</v>
      </c>
      <c r="C104" s="79" t="s">
        <v>453</v>
      </c>
      <c r="D104" s="79" t="s">
        <v>454</v>
      </c>
      <c r="E104" s="79" t="s">
        <v>455</v>
      </c>
      <c r="F104" s="79" t="s">
        <v>456</v>
      </c>
      <c r="G104" s="79" t="s">
        <v>457</v>
      </c>
      <c r="H104" s="79" t="s">
        <v>458</v>
      </c>
      <c r="I104" s="79" t="s">
        <v>459</v>
      </c>
      <c r="J104" s="79" t="s">
        <v>460</v>
      </c>
      <c r="K104" s="99" t="s">
        <v>461</v>
      </c>
    </row>
    <row r="105" spans="1:11" x14ac:dyDescent="0.25">
      <c r="A105" s="98">
        <f>A6</f>
        <v>320</v>
      </c>
      <c r="B105" s="79">
        <f>0.42*A105^0.7</f>
        <v>23.815202311620425</v>
      </c>
      <c r="C105" s="79">
        <f>0.06*(B105/0.42)^-0.4</f>
        <v>1.1931890425932411E-2</v>
      </c>
      <c r="D105" s="79">
        <f>0.0644*A105^0.9</f>
        <v>11.574995953036559</v>
      </c>
      <c r="E105" s="79">
        <f>(98+LOG(B105))/100</f>
        <v>0.99376854275221826</v>
      </c>
      <c r="F105" s="79">
        <f>C105*(F107-20)/(70-20)</f>
        <v>3.6135641565668499E-3</v>
      </c>
      <c r="G105" s="79">
        <f>0.046*(B105/0.42)^0.286</f>
        <v>0.14597848675340103</v>
      </c>
      <c r="H105" s="79">
        <f>(1+(1/0.3-1)*F105)/(1+(1/G105-1)*F105)</f>
        <v>0.98755423682737054</v>
      </c>
      <c r="I105" s="79">
        <v>1</v>
      </c>
      <c r="J105" s="79">
        <f>E105+F105*(1-I105)/G105</f>
        <v>0.99376854275221826</v>
      </c>
      <c r="K105" s="99">
        <f>1/H105/(J105+0.003*(30-F107))</f>
        <v>1.0350199498768471</v>
      </c>
    </row>
    <row r="106" spans="1:11" x14ac:dyDescent="0.25">
      <c r="A106" s="98"/>
      <c r="B106" s="79"/>
      <c r="C106" s="79"/>
      <c r="D106" s="79"/>
      <c r="E106" s="79"/>
      <c r="F106" s="79" t="s">
        <v>258</v>
      </c>
      <c r="G106" s="79"/>
      <c r="H106" s="79"/>
      <c r="I106" s="79"/>
      <c r="J106" s="79"/>
      <c r="K106" s="99"/>
    </row>
    <row r="107" spans="1:11" x14ac:dyDescent="0.25">
      <c r="A107" s="98"/>
      <c r="B107" s="79"/>
      <c r="C107" s="79"/>
      <c r="D107" s="79"/>
      <c r="E107" s="79"/>
      <c r="F107" s="610">
        <f>'H-04'!E12</f>
        <v>35.142462877103021</v>
      </c>
      <c r="G107" s="79"/>
      <c r="H107" s="79"/>
      <c r="I107" s="79"/>
      <c r="J107" s="79"/>
      <c r="K107" s="99"/>
    </row>
    <row r="108" spans="1:11" x14ac:dyDescent="0.25">
      <c r="A108" s="98" t="s">
        <v>446</v>
      </c>
      <c r="B108" s="79"/>
      <c r="C108" s="79"/>
      <c r="D108" s="79"/>
      <c r="E108" s="79"/>
      <c r="F108" s="79"/>
      <c r="G108" s="79"/>
      <c r="H108" s="79"/>
      <c r="I108" s="79"/>
      <c r="J108" s="79"/>
      <c r="K108" s="99"/>
    </row>
    <row r="109" spans="1:11" ht="13" thickBot="1" x14ac:dyDescent="0.3">
      <c r="A109" s="100" t="s">
        <v>462</v>
      </c>
      <c r="B109" s="627">
        <f>B105*K109</f>
        <v>0</v>
      </c>
      <c r="C109" s="627">
        <f>C105*K109</f>
        <v>0</v>
      </c>
      <c r="D109" s="627">
        <f>D105*K109</f>
        <v>0</v>
      </c>
      <c r="E109" s="627">
        <f>E105*K109</f>
        <v>0</v>
      </c>
      <c r="F109" s="627">
        <f>F105*K109</f>
        <v>0</v>
      </c>
      <c r="G109" s="627">
        <f>G105*K109</f>
        <v>0</v>
      </c>
      <c r="H109" s="101">
        <f>H105*K109</f>
        <v>0</v>
      </c>
      <c r="I109" s="101">
        <f>I105*K109</f>
        <v>0</v>
      </c>
      <c r="J109" s="101">
        <f>J105*K109</f>
        <v>0</v>
      </c>
      <c r="K109" s="102">
        <f>G20*G21</f>
        <v>0</v>
      </c>
    </row>
    <row r="110" spans="1:11" x14ac:dyDescent="0.25">
      <c r="A110" s="98"/>
      <c r="B110" s="79"/>
      <c r="C110" s="79"/>
      <c r="D110" s="79"/>
      <c r="E110" s="79"/>
      <c r="F110" s="79"/>
      <c r="G110" s="79"/>
      <c r="H110" s="79"/>
      <c r="I110" s="79"/>
      <c r="J110" s="79"/>
      <c r="K110" s="99"/>
    </row>
    <row r="111" spans="1:11" x14ac:dyDescent="0.25">
      <c r="A111" s="98" t="s">
        <v>363</v>
      </c>
      <c r="B111" s="79" t="s">
        <v>452</v>
      </c>
      <c r="C111" s="79" t="s">
        <v>453</v>
      </c>
      <c r="D111" s="79" t="s">
        <v>454</v>
      </c>
      <c r="E111" s="79" t="s">
        <v>455</v>
      </c>
      <c r="F111" s="79" t="s">
        <v>456</v>
      </c>
      <c r="G111" s="79" t="s">
        <v>457</v>
      </c>
      <c r="H111" s="79" t="s">
        <v>458</v>
      </c>
      <c r="I111" s="79" t="s">
        <v>459</v>
      </c>
      <c r="J111" s="79" t="s">
        <v>460</v>
      </c>
      <c r="K111" s="99" t="s">
        <v>461</v>
      </c>
    </row>
    <row r="112" spans="1:11" x14ac:dyDescent="0.25">
      <c r="A112" s="98">
        <f>A6</f>
        <v>320</v>
      </c>
      <c r="B112" s="79">
        <f>0.42*A112^0.7</f>
        <v>23.815202311620425</v>
      </c>
      <c r="C112" s="79">
        <f>0.06*(B112/0.42)^-0.4</f>
        <v>1.1931890425932411E-2</v>
      </c>
      <c r="D112" s="79">
        <f>0.0644*A112^0.9</f>
        <v>11.574995953036559</v>
      </c>
      <c r="E112" s="79">
        <f>(98+LOG(B112))/100</f>
        <v>0.99376854275221826</v>
      </c>
      <c r="F112" s="79">
        <f>C112*(F114-20)/(70-20)</f>
        <v>3.6135641565668499E-3</v>
      </c>
      <c r="G112" s="79">
        <f>0.046*(B112/0.42)^0.286</f>
        <v>0.14597848675340103</v>
      </c>
      <c r="H112" s="79">
        <f>(1+(1/0.3-1)*F112)/(1+(1/G112-1)*F112)</f>
        <v>0.98755423682737054</v>
      </c>
      <c r="I112" s="79">
        <f>25*F112</f>
        <v>9.0339103914171243E-2</v>
      </c>
      <c r="J112" s="79">
        <f>E112+F112*(1-I112)/G112</f>
        <v>1.0162863676854161</v>
      </c>
      <c r="K112" s="99">
        <f>1/H112/(J112+0.003*(30-F114))</f>
        <v>1.0117335543691397</v>
      </c>
    </row>
    <row r="113" spans="1:11" x14ac:dyDescent="0.25">
      <c r="A113" s="98"/>
      <c r="B113" s="79"/>
      <c r="C113" s="79"/>
      <c r="D113" s="79"/>
      <c r="E113" s="79"/>
      <c r="F113" s="79" t="s">
        <v>258</v>
      </c>
      <c r="G113" s="79"/>
      <c r="H113" s="79"/>
      <c r="I113" s="79"/>
      <c r="J113" s="79"/>
      <c r="K113" s="99"/>
    </row>
    <row r="114" spans="1:11" x14ac:dyDescent="0.25">
      <c r="A114" s="98"/>
      <c r="B114" s="79"/>
      <c r="C114" s="79"/>
      <c r="D114" s="79"/>
      <c r="E114" s="79"/>
      <c r="F114" s="610">
        <f>'H-04'!E12</f>
        <v>35.142462877103021</v>
      </c>
      <c r="G114" s="79"/>
      <c r="H114" s="79"/>
      <c r="I114" s="79"/>
      <c r="J114" s="79"/>
      <c r="K114" s="99"/>
    </row>
    <row r="115" spans="1:11" x14ac:dyDescent="0.25">
      <c r="A115" s="98" t="s">
        <v>446</v>
      </c>
      <c r="B115" s="79"/>
      <c r="C115" s="79"/>
      <c r="D115" s="79"/>
      <c r="E115" s="79"/>
      <c r="F115" s="79"/>
      <c r="G115" s="79"/>
      <c r="H115" s="79"/>
      <c r="I115" s="79"/>
      <c r="J115" s="79"/>
      <c r="K115" s="99"/>
    </row>
    <row r="116" spans="1:11" ht="13" thickBot="1" x14ac:dyDescent="0.3">
      <c r="A116" s="100" t="s">
        <v>463</v>
      </c>
      <c r="B116" s="627">
        <f>B112*K116</f>
        <v>0</v>
      </c>
      <c r="C116" s="627">
        <f>C112*K116</f>
        <v>0</v>
      </c>
      <c r="D116" s="627">
        <f>D112*K116</f>
        <v>0</v>
      </c>
      <c r="E116" s="627">
        <f>E112*K116</f>
        <v>0</v>
      </c>
      <c r="F116" s="627">
        <f>F112*K116</f>
        <v>0</v>
      </c>
      <c r="G116" s="627">
        <f>G112*K116</f>
        <v>0</v>
      </c>
      <c r="H116" s="101">
        <f>H112*K116</f>
        <v>0</v>
      </c>
      <c r="I116" s="101">
        <f>I112*K116</f>
        <v>0</v>
      </c>
      <c r="J116" s="101">
        <f>J112*K116</f>
        <v>0</v>
      </c>
      <c r="K116" s="102">
        <f>G20*G21</f>
        <v>0</v>
      </c>
    </row>
    <row r="117" spans="1:11" ht="13" thickBot="1" x14ac:dyDescent="0.3"/>
    <row r="118" spans="1:11" ht="13" thickBot="1" x14ac:dyDescent="0.3">
      <c r="A118" s="81" t="s">
        <v>325</v>
      </c>
      <c r="B118" s="82"/>
      <c r="C118" s="82"/>
      <c r="D118" s="82"/>
      <c r="E118" s="82"/>
      <c r="F118" s="82"/>
      <c r="G118" s="82"/>
      <c r="H118" s="82"/>
      <c r="I118" s="82"/>
      <c r="J118" s="96"/>
      <c r="K118" s="97"/>
    </row>
    <row r="119" spans="1:11" x14ac:dyDescent="0.25">
      <c r="A119" s="81"/>
      <c r="B119" s="82"/>
      <c r="C119" s="82"/>
      <c r="D119" s="82"/>
      <c r="E119" s="82"/>
      <c r="F119" s="82"/>
      <c r="G119" s="82"/>
      <c r="H119" s="82"/>
      <c r="I119" s="82"/>
      <c r="J119" s="96"/>
      <c r="K119" s="97"/>
    </row>
    <row r="120" spans="1:11" x14ac:dyDescent="0.25">
      <c r="A120" s="98" t="s">
        <v>363</v>
      </c>
      <c r="B120" s="79" t="s">
        <v>452</v>
      </c>
      <c r="C120" s="79" t="s">
        <v>453</v>
      </c>
      <c r="D120" s="79" t="s">
        <v>454</v>
      </c>
      <c r="E120" s="79" t="s">
        <v>455</v>
      </c>
      <c r="F120" s="79" t="s">
        <v>456</v>
      </c>
      <c r="G120" s="79" t="s">
        <v>457</v>
      </c>
      <c r="H120" s="79" t="s">
        <v>458</v>
      </c>
      <c r="I120" s="79" t="s">
        <v>459</v>
      </c>
      <c r="J120" s="79" t="s">
        <v>460</v>
      </c>
      <c r="K120" s="99" t="s">
        <v>461</v>
      </c>
    </row>
    <row r="121" spans="1:11" x14ac:dyDescent="0.25">
      <c r="A121" s="98">
        <f>A6</f>
        <v>320</v>
      </c>
      <c r="B121" s="79">
        <f>0.42*A121^0.7</f>
        <v>23.815202311620425</v>
      </c>
      <c r="C121" s="79">
        <f>0.06*(B121/0.42)^-0.4</f>
        <v>1.1931890425932411E-2</v>
      </c>
      <c r="D121" s="79">
        <f>0.0644*A121^0.9</f>
        <v>11.574995953036559</v>
      </c>
      <c r="E121" s="79">
        <f>(98+LOG(B121))/100</f>
        <v>0.99376854275221826</v>
      </c>
      <c r="F121" s="79">
        <f>C121*(F123-20)/(70-20)</f>
        <v>1.0555918353171761E-3</v>
      </c>
      <c r="G121" s="79">
        <f>0.046*(B121/0.42)^0.286</f>
        <v>0.14597848675340103</v>
      </c>
      <c r="H121" s="79">
        <f>(1+(1/0.3-1)*F121)/(1+(1/G121-1)*F121)</f>
        <v>0.99631027894490198</v>
      </c>
      <c r="I121" s="79">
        <v>1</v>
      </c>
      <c r="J121" s="79">
        <f>E121+F121*(1-I121)/G121</f>
        <v>0.99376854275221826</v>
      </c>
      <c r="K121" s="99">
        <f>1/H121/(J121+0.003*(30-F123))</f>
        <v>0.99327565414605834</v>
      </c>
    </row>
    <row r="122" spans="1:11" x14ac:dyDescent="0.25">
      <c r="A122" s="98"/>
      <c r="B122" s="79"/>
      <c r="C122" s="79"/>
      <c r="D122" s="79"/>
      <c r="E122" s="79"/>
      <c r="F122" s="79" t="s">
        <v>258</v>
      </c>
      <c r="G122" s="79"/>
      <c r="H122" s="79"/>
      <c r="I122" s="79"/>
      <c r="J122" s="79"/>
      <c r="K122" s="99"/>
    </row>
    <row r="123" spans="1:11" x14ac:dyDescent="0.25">
      <c r="A123" s="98"/>
      <c r="B123" s="79"/>
      <c r="C123" s="79"/>
      <c r="D123" s="79"/>
      <c r="E123" s="79"/>
      <c r="F123" s="610">
        <f>'H-04'!D12</f>
        <v>24.42340567016516</v>
      </c>
      <c r="G123" s="79"/>
      <c r="H123" s="79"/>
      <c r="I123" s="79"/>
      <c r="J123" s="79"/>
      <c r="K123" s="99"/>
    </row>
    <row r="124" spans="1:11" x14ac:dyDescent="0.25">
      <c r="A124" s="98" t="s">
        <v>446</v>
      </c>
      <c r="B124" s="79"/>
      <c r="C124" s="79"/>
      <c r="D124" s="79"/>
      <c r="E124" s="79"/>
      <c r="F124" s="79"/>
      <c r="G124" s="79"/>
      <c r="H124" s="79"/>
      <c r="I124" s="79"/>
      <c r="J124" s="79"/>
      <c r="K124" s="99"/>
    </row>
    <row r="125" spans="1:11" ht="13" thickBot="1" x14ac:dyDescent="0.3">
      <c r="A125" s="100" t="s">
        <v>462</v>
      </c>
      <c r="B125" s="627">
        <f>B121*K125</f>
        <v>0</v>
      </c>
      <c r="C125" s="627">
        <f>C121*K125</f>
        <v>0</v>
      </c>
      <c r="D125" s="627">
        <f>D121*K125</f>
        <v>0</v>
      </c>
      <c r="E125" s="627">
        <f>E121*K125</f>
        <v>0</v>
      </c>
      <c r="F125" s="627">
        <f>F121*K125</f>
        <v>0</v>
      </c>
      <c r="G125" s="627">
        <f>G121*K125</f>
        <v>0</v>
      </c>
      <c r="H125" s="101">
        <f>H121*K125</f>
        <v>0</v>
      </c>
      <c r="I125" s="101">
        <f>I121*K125</f>
        <v>0</v>
      </c>
      <c r="J125" s="101">
        <f>J121*K125</f>
        <v>0</v>
      </c>
      <c r="K125" s="102">
        <f>H20*H21</f>
        <v>0</v>
      </c>
    </row>
    <row r="126" spans="1:11" x14ac:dyDescent="0.25">
      <c r="A126" s="98"/>
      <c r="B126" s="79"/>
      <c r="C126" s="79"/>
      <c r="D126" s="79"/>
      <c r="E126" s="79"/>
      <c r="F126" s="79"/>
      <c r="G126" s="79"/>
      <c r="H126" s="79"/>
      <c r="I126" s="79"/>
      <c r="J126" s="79"/>
      <c r="K126" s="99"/>
    </row>
    <row r="127" spans="1:11" x14ac:dyDescent="0.25">
      <c r="A127" s="98" t="s">
        <v>363</v>
      </c>
      <c r="B127" s="79" t="s">
        <v>452</v>
      </c>
      <c r="C127" s="79" t="s">
        <v>453</v>
      </c>
      <c r="D127" s="79" t="s">
        <v>454</v>
      </c>
      <c r="E127" s="79" t="s">
        <v>455</v>
      </c>
      <c r="F127" s="79" t="s">
        <v>456</v>
      </c>
      <c r="G127" s="79" t="s">
        <v>457</v>
      </c>
      <c r="H127" s="79" t="s">
        <v>458</v>
      </c>
      <c r="I127" s="79" t="s">
        <v>459</v>
      </c>
      <c r="J127" s="79" t="s">
        <v>460</v>
      </c>
      <c r="K127" s="99" t="s">
        <v>461</v>
      </c>
    </row>
    <row r="128" spans="1:11" x14ac:dyDescent="0.25">
      <c r="A128" s="98">
        <f>A6</f>
        <v>320</v>
      </c>
      <c r="B128" s="79">
        <f>0.42*A128^0.7</f>
        <v>23.815202311620425</v>
      </c>
      <c r="C128" s="79">
        <f>0.06*(B128/0.42)^-0.4</f>
        <v>1.1931890425932411E-2</v>
      </c>
      <c r="D128" s="79">
        <f>0.0644*A128^0.9</f>
        <v>11.574995953036559</v>
      </c>
      <c r="E128" s="79">
        <f>(98+LOG(B128))/100</f>
        <v>0.99376854275221826</v>
      </c>
      <c r="F128" s="79">
        <f>C128*(F130-20)/(70-20)</f>
        <v>1.0555918353171761E-3</v>
      </c>
      <c r="G128" s="79">
        <f>0.046*(B128/0.42)^0.286</f>
        <v>0.14597848675340103</v>
      </c>
      <c r="H128" s="79">
        <f>(1+(1/0.3-1)*F128)/(1+(1/G128-1)*F128)</f>
        <v>0.99631027894490198</v>
      </c>
      <c r="I128" s="79">
        <f>25*F128</f>
        <v>2.6389795882929404E-2</v>
      </c>
      <c r="J128" s="79">
        <f>E128+F128*(1-I128)/G128</f>
        <v>1.0008088608504844</v>
      </c>
      <c r="K128" s="99">
        <f>1/H128/(J128+0.003*(30-F130))</f>
        <v>0.98640321091573391</v>
      </c>
    </row>
    <row r="129" spans="1:11" x14ac:dyDescent="0.25">
      <c r="A129" s="98"/>
      <c r="B129" s="79"/>
      <c r="C129" s="79"/>
      <c r="D129" s="79"/>
      <c r="E129" s="79"/>
      <c r="F129" s="79" t="s">
        <v>258</v>
      </c>
      <c r="G129" s="79"/>
      <c r="H129" s="79"/>
      <c r="I129" s="79"/>
      <c r="J129" s="79"/>
      <c r="K129" s="99"/>
    </row>
    <row r="130" spans="1:11" x14ac:dyDescent="0.25">
      <c r="A130" s="98"/>
      <c r="B130" s="79"/>
      <c r="C130" s="79"/>
      <c r="D130" s="79"/>
      <c r="E130" s="79"/>
      <c r="F130" s="610">
        <f>'H-04'!D12</f>
        <v>24.42340567016516</v>
      </c>
      <c r="G130" s="79"/>
      <c r="H130" s="79"/>
      <c r="I130" s="79"/>
      <c r="J130" s="79"/>
      <c r="K130" s="99"/>
    </row>
    <row r="131" spans="1:11" x14ac:dyDescent="0.25">
      <c r="A131" s="98" t="s">
        <v>446</v>
      </c>
      <c r="B131" s="79"/>
      <c r="C131" s="79"/>
      <c r="D131" s="79"/>
      <c r="E131" s="79"/>
      <c r="F131" s="79"/>
      <c r="G131" s="79"/>
      <c r="H131" s="79"/>
      <c r="I131" s="79"/>
      <c r="J131" s="79"/>
      <c r="K131" s="99"/>
    </row>
    <row r="132" spans="1:11" ht="13" thickBot="1" x14ac:dyDescent="0.3">
      <c r="A132" s="100" t="s">
        <v>463</v>
      </c>
      <c r="B132" s="627">
        <f>B128*K132</f>
        <v>0</v>
      </c>
      <c r="C132" s="627">
        <f>C128*K132</f>
        <v>0</v>
      </c>
      <c r="D132" s="627">
        <f>D128*K132</f>
        <v>0</v>
      </c>
      <c r="E132" s="627">
        <f>E128*K132</f>
        <v>0</v>
      </c>
      <c r="F132" s="627">
        <f>F128*K132</f>
        <v>0</v>
      </c>
      <c r="G132" s="627">
        <f>G128*K132</f>
        <v>0</v>
      </c>
      <c r="H132" s="101">
        <f>H128*K132</f>
        <v>0</v>
      </c>
      <c r="I132" s="101">
        <f>I128*K132</f>
        <v>0</v>
      </c>
      <c r="J132" s="101">
        <f>J128*K132</f>
        <v>0</v>
      </c>
      <c r="K132" s="102">
        <f>H20*H21</f>
        <v>0</v>
      </c>
    </row>
    <row r="133" spans="1:11" ht="13" thickBot="1" x14ac:dyDescent="0.3"/>
    <row r="134" spans="1:11" ht="13" thickBot="1" x14ac:dyDescent="0.3">
      <c r="A134" s="81" t="s">
        <v>326</v>
      </c>
      <c r="B134" s="82"/>
      <c r="C134" s="82"/>
      <c r="D134" s="82"/>
      <c r="E134" s="82"/>
      <c r="F134" s="82"/>
      <c r="G134" s="82"/>
      <c r="H134" s="82"/>
      <c r="I134" s="82"/>
      <c r="J134" s="96"/>
      <c r="K134" s="97"/>
    </row>
    <row r="135" spans="1:11" x14ac:dyDescent="0.25">
      <c r="A135" s="81"/>
      <c r="B135" s="82"/>
      <c r="C135" s="82"/>
      <c r="D135" s="82"/>
      <c r="E135" s="82"/>
      <c r="F135" s="82"/>
      <c r="G135" s="82"/>
      <c r="H135" s="82"/>
      <c r="I135" s="82"/>
      <c r="J135" s="96"/>
      <c r="K135" s="97"/>
    </row>
    <row r="136" spans="1:11" x14ac:dyDescent="0.25">
      <c r="A136" s="98" t="s">
        <v>363</v>
      </c>
      <c r="B136" s="79" t="s">
        <v>452</v>
      </c>
      <c r="C136" s="79" t="s">
        <v>453</v>
      </c>
      <c r="D136" s="79" t="s">
        <v>454</v>
      </c>
      <c r="E136" s="79" t="s">
        <v>455</v>
      </c>
      <c r="F136" s="79" t="s">
        <v>456</v>
      </c>
      <c r="G136" s="79" t="s">
        <v>457</v>
      </c>
      <c r="H136" s="79" t="s">
        <v>458</v>
      </c>
      <c r="I136" s="79" t="s">
        <v>459</v>
      </c>
      <c r="J136" s="79" t="s">
        <v>460</v>
      </c>
      <c r="K136" s="99" t="s">
        <v>461</v>
      </c>
    </row>
    <row r="137" spans="1:11" x14ac:dyDescent="0.25">
      <c r="A137" s="98">
        <f>A6</f>
        <v>320</v>
      </c>
      <c r="B137" s="79">
        <f>0.42*A137^0.7</f>
        <v>23.815202311620425</v>
      </c>
      <c r="C137" s="79">
        <f>0.06*(B137/0.42)^-0.4</f>
        <v>1.1931890425932411E-2</v>
      </c>
      <c r="D137" s="79">
        <f>0.0644*A137^0.9</f>
        <v>11.574995953036559</v>
      </c>
      <c r="E137" s="79">
        <f>(103+LOG(B137))/105</f>
        <v>0.99406527881163653</v>
      </c>
      <c r="F137" s="79">
        <f>C137*(F139-20)/(70-20)</f>
        <v>5.0589898191935904E-3</v>
      </c>
      <c r="G137" s="79">
        <f>0.046*(B137/0.42)^0.286</f>
        <v>0.14597848675340103</v>
      </c>
      <c r="H137" s="79">
        <f>(1+(1/0.3-1)*F137)/(1+(1/G137-1)*F137)</f>
        <v>0.98271903765216517</v>
      </c>
      <c r="I137" s="79">
        <v>1</v>
      </c>
      <c r="J137" s="79">
        <f>1.05*E137+F137*(1-I137)/G137</f>
        <v>1.0437685427522183</v>
      </c>
      <c r="K137" s="99">
        <f>1/H137/(J137+0.003*(30-F139))</f>
        <v>1.0073399974979038</v>
      </c>
    </row>
    <row r="138" spans="1:11" x14ac:dyDescent="0.25">
      <c r="A138" s="98"/>
      <c r="B138" s="79"/>
      <c r="C138" s="79"/>
      <c r="D138" s="79"/>
      <c r="E138" s="79"/>
      <c r="F138" s="79" t="s">
        <v>258</v>
      </c>
      <c r="G138" s="79"/>
      <c r="H138" s="79"/>
      <c r="I138" s="79"/>
      <c r="J138" s="79"/>
      <c r="K138" s="99"/>
    </row>
    <row r="139" spans="1:11" x14ac:dyDescent="0.25">
      <c r="A139" s="98"/>
      <c r="B139" s="79"/>
      <c r="C139" s="79"/>
      <c r="D139" s="79"/>
      <c r="E139" s="79"/>
      <c r="F139" s="610">
        <f>'H-04'!F12</f>
        <v>41.199448027944229</v>
      </c>
      <c r="G139" s="79"/>
      <c r="H139" s="79"/>
      <c r="I139" s="79"/>
      <c r="J139" s="79"/>
      <c r="K139" s="99"/>
    </row>
    <row r="140" spans="1:11" x14ac:dyDescent="0.25">
      <c r="A140" s="98" t="s">
        <v>446</v>
      </c>
      <c r="B140" s="79"/>
      <c r="C140" s="79"/>
      <c r="D140" s="79"/>
      <c r="E140" s="79"/>
      <c r="F140" s="79"/>
      <c r="G140" s="79"/>
      <c r="H140" s="79"/>
      <c r="I140" s="79"/>
      <c r="J140" s="79"/>
      <c r="K140" s="99"/>
    </row>
    <row r="141" spans="1:11" ht="13" thickBot="1" x14ac:dyDescent="0.3">
      <c r="A141" s="100" t="s">
        <v>462</v>
      </c>
      <c r="B141" s="627">
        <f>B137*K141</f>
        <v>0</v>
      </c>
      <c r="C141" s="627">
        <f>C137*K141</f>
        <v>0</v>
      </c>
      <c r="D141" s="627">
        <f>D137*K141</f>
        <v>0</v>
      </c>
      <c r="E141" s="627">
        <f>E137*K141</f>
        <v>0</v>
      </c>
      <c r="F141" s="627">
        <f>F137*K141</f>
        <v>0</v>
      </c>
      <c r="G141" s="627">
        <f>G137*K141</f>
        <v>0</v>
      </c>
      <c r="H141" s="101">
        <f>H137*K141</f>
        <v>0</v>
      </c>
      <c r="I141" s="101">
        <f>I137*K141</f>
        <v>0</v>
      </c>
      <c r="J141" s="101">
        <f>J137*K141</f>
        <v>0</v>
      </c>
      <c r="K141" s="102">
        <f>I20*I21</f>
        <v>0</v>
      </c>
    </row>
    <row r="142" spans="1:11" x14ac:dyDescent="0.25">
      <c r="A142" s="98"/>
      <c r="B142" s="79"/>
      <c r="C142" s="79"/>
      <c r="D142" s="79"/>
      <c r="E142" s="79"/>
      <c r="F142" s="79"/>
      <c r="G142" s="79"/>
      <c r="H142" s="79"/>
      <c r="I142" s="79"/>
      <c r="J142" s="79"/>
      <c r="K142" s="99"/>
    </row>
    <row r="143" spans="1:11" x14ac:dyDescent="0.25">
      <c r="A143" s="98" t="s">
        <v>363</v>
      </c>
      <c r="B143" s="79" t="s">
        <v>452</v>
      </c>
      <c r="C143" s="79" t="s">
        <v>453</v>
      </c>
      <c r="D143" s="79" t="s">
        <v>454</v>
      </c>
      <c r="E143" s="79" t="s">
        <v>455</v>
      </c>
      <c r="F143" s="79" t="s">
        <v>456</v>
      </c>
      <c r="G143" s="79" t="s">
        <v>457</v>
      </c>
      <c r="H143" s="79" t="s">
        <v>458</v>
      </c>
      <c r="I143" s="79" t="s">
        <v>459</v>
      </c>
      <c r="J143" s="79" t="s">
        <v>460</v>
      </c>
      <c r="K143" s="99" t="s">
        <v>461</v>
      </c>
    </row>
    <row r="144" spans="1:11" x14ac:dyDescent="0.25">
      <c r="A144" s="98">
        <f>A6</f>
        <v>320</v>
      </c>
      <c r="B144" s="79">
        <f>0.42*A144^0.7</f>
        <v>23.815202311620425</v>
      </c>
      <c r="C144" s="79">
        <f>0.06*(B144/0.42)^-0.4</f>
        <v>1.1931890425932411E-2</v>
      </c>
      <c r="D144" s="79">
        <f>0.0644*A144^0.9</f>
        <v>11.574995953036559</v>
      </c>
      <c r="E144" s="103">
        <f>(103+LOG(B144))/105</f>
        <v>0.99406527881163653</v>
      </c>
      <c r="F144" s="79">
        <f>C144*(F146-20)/(70-20)</f>
        <v>5.0589898191935904E-3</v>
      </c>
      <c r="G144" s="79">
        <f>0.046*(B144/0.42)^0.286</f>
        <v>0.14597848675340103</v>
      </c>
      <c r="H144" s="79">
        <f>(1+(1/0.3-1)*F144)/(1+(1/G144-1)*F144)</f>
        <v>0.98271903765216517</v>
      </c>
      <c r="I144" s="79">
        <f>25*F144</f>
        <v>0.12647474547983975</v>
      </c>
      <c r="J144" s="79">
        <f>1.05*E144+F144*(1-I144)/G144</f>
        <v>1.0740411909191443</v>
      </c>
      <c r="K144" s="99">
        <f>1/H144/(J144+0.003*(30-F146))</f>
        <v>0.97803050738849373</v>
      </c>
    </row>
    <row r="145" spans="1:11" x14ac:dyDescent="0.25">
      <c r="A145" s="98"/>
      <c r="B145" s="79"/>
      <c r="C145" s="79"/>
      <c r="D145" s="79"/>
      <c r="E145" s="79"/>
      <c r="F145" s="79" t="s">
        <v>258</v>
      </c>
      <c r="G145" s="79"/>
      <c r="H145" s="79"/>
      <c r="I145" s="79"/>
      <c r="J145" s="79"/>
      <c r="K145" s="99"/>
    </row>
    <row r="146" spans="1:11" x14ac:dyDescent="0.25">
      <c r="A146" s="98"/>
      <c r="B146" s="79"/>
      <c r="C146" s="79"/>
      <c r="D146" s="79"/>
      <c r="E146" s="79"/>
      <c r="F146" s="610">
        <f>'H-04'!F12</f>
        <v>41.199448027944229</v>
      </c>
      <c r="G146" s="79"/>
      <c r="H146" s="79"/>
      <c r="I146" s="79"/>
      <c r="J146" s="79"/>
      <c r="K146" s="99"/>
    </row>
    <row r="147" spans="1:11" x14ac:dyDescent="0.25">
      <c r="A147" s="98" t="s">
        <v>446</v>
      </c>
      <c r="B147" s="79"/>
      <c r="C147" s="79"/>
      <c r="D147" s="79"/>
      <c r="E147" s="79"/>
      <c r="F147" s="79"/>
      <c r="G147" s="79"/>
      <c r="H147" s="79"/>
      <c r="I147" s="79"/>
      <c r="J147" s="79"/>
      <c r="K147" s="99"/>
    </row>
    <row r="148" spans="1:11" ht="13" thickBot="1" x14ac:dyDescent="0.3">
      <c r="A148" s="100" t="s">
        <v>463</v>
      </c>
      <c r="B148" s="627">
        <f>B144*K148</f>
        <v>0</v>
      </c>
      <c r="C148" s="627">
        <f>C144*K148</f>
        <v>0</v>
      </c>
      <c r="D148" s="627">
        <f>D144*K148</f>
        <v>0</v>
      </c>
      <c r="E148" s="627">
        <f>E144*K148</f>
        <v>0</v>
      </c>
      <c r="F148" s="627">
        <f>F144*K148</f>
        <v>0</v>
      </c>
      <c r="G148" s="627">
        <f>G144*K148</f>
        <v>0</v>
      </c>
      <c r="H148" s="101">
        <f>H144*K148</f>
        <v>0</v>
      </c>
      <c r="I148" s="101">
        <f>I144*K148</f>
        <v>0</v>
      </c>
      <c r="J148" s="101">
        <f>J144*K148</f>
        <v>0</v>
      </c>
      <c r="K148" s="102">
        <f>I20*I21</f>
        <v>0</v>
      </c>
    </row>
    <row r="149" spans="1:11" ht="13" thickBot="1" x14ac:dyDescent="0.3"/>
    <row r="150" spans="1:11" ht="13" thickBot="1" x14ac:dyDescent="0.3">
      <c r="A150" s="81" t="s">
        <v>327</v>
      </c>
      <c r="B150" s="82"/>
      <c r="C150" s="82"/>
      <c r="D150" s="82"/>
      <c r="E150" s="82"/>
      <c r="F150" s="82"/>
      <c r="G150" s="82"/>
      <c r="H150" s="82"/>
      <c r="I150" s="82"/>
      <c r="J150" s="96"/>
      <c r="K150" s="97"/>
    </row>
    <row r="151" spans="1:11" x14ac:dyDescent="0.25">
      <c r="A151" s="81"/>
      <c r="B151" s="82"/>
      <c r="C151" s="82"/>
      <c r="D151" s="82"/>
      <c r="E151" s="82"/>
      <c r="F151" s="82"/>
      <c r="G151" s="82"/>
      <c r="H151" s="82"/>
      <c r="I151" s="82"/>
      <c r="J151" s="96"/>
      <c r="K151" s="97"/>
    </row>
    <row r="152" spans="1:11" x14ac:dyDescent="0.25">
      <c r="A152" s="98" t="s">
        <v>363</v>
      </c>
      <c r="B152" s="79" t="s">
        <v>452</v>
      </c>
      <c r="C152" s="79" t="s">
        <v>453</v>
      </c>
      <c r="D152" s="79" t="s">
        <v>454</v>
      </c>
      <c r="E152" s="79" t="s">
        <v>455</v>
      </c>
      <c r="F152" s="79" t="s">
        <v>456</v>
      </c>
      <c r="G152" s="79" t="s">
        <v>457</v>
      </c>
      <c r="H152" s="79" t="s">
        <v>458</v>
      </c>
      <c r="I152" s="79" t="s">
        <v>459</v>
      </c>
      <c r="J152" s="79" t="s">
        <v>460</v>
      </c>
      <c r="K152" s="99" t="s">
        <v>461</v>
      </c>
    </row>
    <row r="153" spans="1:11" x14ac:dyDescent="0.25">
      <c r="A153" s="98">
        <f>A6</f>
        <v>320</v>
      </c>
      <c r="B153" s="79">
        <f>0.42*A153^0.7</f>
        <v>23.815202311620425</v>
      </c>
      <c r="C153" s="79">
        <f>0.06*(B153/0.42)^-0.4</f>
        <v>1.1931890425932411E-2</v>
      </c>
      <c r="D153" s="79">
        <f>0.0644*A153^0.9</f>
        <v>11.574995953036559</v>
      </c>
      <c r="E153" s="79">
        <f>(103+LOG(B153))/105</f>
        <v>0.99406527881163653</v>
      </c>
      <c r="F153" s="79">
        <f>C153*(F155-20)/(70-20)</f>
        <v>3.6135641565668499E-3</v>
      </c>
      <c r="G153" s="79">
        <f>0.046*(B153/0.42)^0.286</f>
        <v>0.14597848675340103</v>
      </c>
      <c r="H153" s="79">
        <f>(1+(1/0.3-1)*F153)/(1+(1/G153-1)*F153)</f>
        <v>0.98755423682737054</v>
      </c>
      <c r="I153" s="79">
        <v>1</v>
      </c>
      <c r="J153" s="79">
        <f>1.05*E153+F153*(1-I153)/G153</f>
        <v>1.0437685427522183</v>
      </c>
      <c r="K153" s="99">
        <f>1/H153/(J153+0.003*(30-F155))</f>
        <v>0.98469521349295464</v>
      </c>
    </row>
    <row r="154" spans="1:11" x14ac:dyDescent="0.25">
      <c r="A154" s="98"/>
      <c r="B154" s="79"/>
      <c r="C154" s="79"/>
      <c r="D154" s="79"/>
      <c r="E154" s="79"/>
      <c r="F154" s="79" t="s">
        <v>258</v>
      </c>
      <c r="G154" s="79"/>
      <c r="H154" s="79"/>
      <c r="I154" s="79"/>
      <c r="J154" s="79"/>
      <c r="K154" s="99"/>
    </row>
    <row r="155" spans="1:11" x14ac:dyDescent="0.25">
      <c r="A155" s="98"/>
      <c r="B155" s="79"/>
      <c r="C155" s="79"/>
      <c r="D155" s="79"/>
      <c r="E155" s="79"/>
      <c r="F155" s="610">
        <f>'H-04'!E12</f>
        <v>35.142462877103021</v>
      </c>
      <c r="G155" s="79"/>
      <c r="H155" s="79"/>
      <c r="I155" s="79"/>
      <c r="J155" s="79"/>
      <c r="K155" s="99"/>
    </row>
    <row r="156" spans="1:11" x14ac:dyDescent="0.25">
      <c r="A156" s="98" t="s">
        <v>446</v>
      </c>
      <c r="B156" s="79" t="s">
        <v>464</v>
      </c>
      <c r="C156" s="79"/>
      <c r="D156" s="79"/>
      <c r="E156" s="79"/>
      <c r="F156" s="79"/>
      <c r="G156" s="79"/>
      <c r="H156" s="79"/>
      <c r="I156" s="79"/>
      <c r="J156" s="79"/>
      <c r="K156" s="99"/>
    </row>
    <row r="157" spans="1:11" ht="13" thickBot="1" x14ac:dyDescent="0.3">
      <c r="A157" s="100" t="s">
        <v>462</v>
      </c>
      <c r="B157" s="627">
        <f>B153*K157</f>
        <v>0</v>
      </c>
      <c r="C157" s="627">
        <f>C153*K157</f>
        <v>0</v>
      </c>
      <c r="D157" s="627">
        <f>D153*K157</f>
        <v>0</v>
      </c>
      <c r="E157" s="627">
        <f>E153*K157</f>
        <v>0</v>
      </c>
      <c r="F157" s="627">
        <f>F153*K157</f>
        <v>0</v>
      </c>
      <c r="G157" s="627">
        <f>G153*K157</f>
        <v>0</v>
      </c>
      <c r="H157" s="101">
        <f>H153*K157</f>
        <v>0</v>
      </c>
      <c r="I157" s="101">
        <f>I153*K157</f>
        <v>0</v>
      </c>
      <c r="J157" s="101">
        <f>J153*K157</f>
        <v>0</v>
      </c>
      <c r="K157" s="102">
        <f>I29*I30</f>
        <v>0</v>
      </c>
    </row>
    <row r="158" spans="1:11" x14ac:dyDescent="0.25">
      <c r="A158" s="98"/>
      <c r="B158" s="79"/>
      <c r="C158" s="79"/>
      <c r="D158" s="79"/>
      <c r="E158" s="79"/>
      <c r="F158" s="79"/>
      <c r="G158" s="79"/>
      <c r="H158" s="79"/>
      <c r="I158" s="79"/>
      <c r="J158" s="79"/>
      <c r="K158" s="99"/>
    </row>
    <row r="159" spans="1:11" x14ac:dyDescent="0.25">
      <c r="A159" s="98" t="s">
        <v>363</v>
      </c>
      <c r="B159" s="79" t="s">
        <v>452</v>
      </c>
      <c r="C159" s="79" t="s">
        <v>453</v>
      </c>
      <c r="D159" s="79" t="s">
        <v>454</v>
      </c>
      <c r="E159" s="79" t="s">
        <v>455</v>
      </c>
      <c r="F159" s="79" t="s">
        <v>456</v>
      </c>
      <c r="G159" s="79" t="s">
        <v>457</v>
      </c>
      <c r="H159" s="79" t="s">
        <v>458</v>
      </c>
      <c r="I159" s="79" t="s">
        <v>459</v>
      </c>
      <c r="J159" s="79" t="s">
        <v>460</v>
      </c>
      <c r="K159" s="99" t="s">
        <v>461</v>
      </c>
    </row>
    <row r="160" spans="1:11" x14ac:dyDescent="0.25">
      <c r="A160" s="98">
        <f>A6</f>
        <v>320</v>
      </c>
      <c r="B160" s="79">
        <f>0.42*A160^0.7</f>
        <v>23.815202311620425</v>
      </c>
      <c r="C160" s="79">
        <f>0.06*(B160/0.42)^-0.4</f>
        <v>1.1931890425932411E-2</v>
      </c>
      <c r="D160" s="79">
        <f>0.0644*A160^0.9</f>
        <v>11.574995953036559</v>
      </c>
      <c r="E160" s="103">
        <f>(103+LOG(B160))/105</f>
        <v>0.99406527881163653</v>
      </c>
      <c r="F160" s="79">
        <f>C160*(F162-20)/(70-20)</f>
        <v>3.6135641565668499E-3</v>
      </c>
      <c r="G160" s="79">
        <f>0.046*(B160/0.42)^0.286</f>
        <v>0.14597848675340103</v>
      </c>
      <c r="H160" s="79">
        <f>(1+(1/0.3-1)*F160)/(1+(1/G160-1)*F160)</f>
        <v>0.98755423682737054</v>
      </c>
      <c r="I160" s="79">
        <f>25*F160</f>
        <v>9.0339103914171243E-2</v>
      </c>
      <c r="J160" s="79">
        <f>1.05*E160+F160*(1-I160)/G160</f>
        <v>1.0662863676854162</v>
      </c>
      <c r="K160" s="99">
        <f>1/H160/(J160+0.003*(30-F162))</f>
        <v>0.96359514690747361</v>
      </c>
    </row>
    <row r="161" spans="1:11" x14ac:dyDescent="0.25">
      <c r="A161" s="98"/>
      <c r="B161" s="79"/>
      <c r="C161" s="79"/>
      <c r="D161" s="79"/>
      <c r="E161" s="79"/>
      <c r="F161" s="79" t="s">
        <v>258</v>
      </c>
      <c r="G161" s="79"/>
      <c r="H161" s="79"/>
      <c r="I161" s="79"/>
      <c r="J161" s="79"/>
      <c r="K161" s="99"/>
    </row>
    <row r="162" spans="1:11" x14ac:dyDescent="0.25">
      <c r="A162" s="98"/>
      <c r="B162" s="79"/>
      <c r="C162" s="79"/>
      <c r="D162" s="79"/>
      <c r="E162" s="79"/>
      <c r="F162" s="610">
        <f>'H-04'!E12</f>
        <v>35.142462877103021</v>
      </c>
      <c r="G162" s="79"/>
      <c r="H162" s="79"/>
      <c r="I162" s="79"/>
      <c r="J162" s="79"/>
      <c r="K162" s="99"/>
    </row>
    <row r="163" spans="1:11" x14ac:dyDescent="0.25">
      <c r="A163" s="98" t="s">
        <v>446</v>
      </c>
      <c r="B163" s="79"/>
      <c r="C163" s="79"/>
      <c r="D163" s="79"/>
      <c r="E163" s="79"/>
      <c r="F163" s="79"/>
      <c r="G163" s="79"/>
      <c r="H163" s="79"/>
      <c r="I163" s="79"/>
      <c r="J163" s="79"/>
      <c r="K163" s="99"/>
    </row>
    <row r="164" spans="1:11" ht="13" thickBot="1" x14ac:dyDescent="0.3">
      <c r="A164" s="100" t="s">
        <v>463</v>
      </c>
      <c r="B164" s="627">
        <f>B160*K164</f>
        <v>0</v>
      </c>
      <c r="C164" s="627">
        <f>C160*K164</f>
        <v>0</v>
      </c>
      <c r="D164" s="627">
        <f>D160*K164</f>
        <v>0</v>
      </c>
      <c r="E164" s="627">
        <f>E160*K164</f>
        <v>0</v>
      </c>
      <c r="F164" s="627">
        <f>F160*K164</f>
        <v>0</v>
      </c>
      <c r="G164" s="627">
        <f>G160*K164</f>
        <v>0</v>
      </c>
      <c r="H164" s="101">
        <f>H160*K164</f>
        <v>0</v>
      </c>
      <c r="I164" s="101">
        <f>I160*K164</f>
        <v>0</v>
      </c>
      <c r="J164" s="101">
        <f>J160*K164</f>
        <v>0</v>
      </c>
      <c r="K164" s="102">
        <f>I36*I37</f>
        <v>0</v>
      </c>
    </row>
    <row r="165" spans="1:11" ht="13" thickBot="1" x14ac:dyDescent="0.3"/>
    <row r="166" spans="1:11" ht="13" thickBot="1" x14ac:dyDescent="0.3">
      <c r="A166" s="81" t="s">
        <v>328</v>
      </c>
      <c r="B166" s="82"/>
      <c r="C166" s="82"/>
      <c r="D166" s="82"/>
      <c r="E166" s="82"/>
      <c r="F166" s="82"/>
      <c r="G166" s="82"/>
      <c r="H166" s="82"/>
      <c r="I166" s="82"/>
      <c r="J166" s="96"/>
      <c r="K166" s="97"/>
    </row>
    <row r="167" spans="1:11" x14ac:dyDescent="0.25">
      <c r="A167" s="81"/>
      <c r="B167" s="82"/>
      <c r="C167" s="82"/>
      <c r="D167" s="82"/>
      <c r="E167" s="82"/>
      <c r="F167" s="82"/>
      <c r="G167" s="82"/>
      <c r="H167" s="82"/>
      <c r="I167" s="82"/>
      <c r="J167" s="96"/>
      <c r="K167" s="97"/>
    </row>
    <row r="168" spans="1:11" x14ac:dyDescent="0.25">
      <c r="A168" s="98" t="s">
        <v>363</v>
      </c>
      <c r="B168" s="79" t="s">
        <v>452</v>
      </c>
      <c r="C168" s="79" t="s">
        <v>453</v>
      </c>
      <c r="D168" s="79" t="s">
        <v>454</v>
      </c>
      <c r="E168" s="79" t="s">
        <v>455</v>
      </c>
      <c r="F168" s="79" t="s">
        <v>456</v>
      </c>
      <c r="G168" s="79" t="s">
        <v>457</v>
      </c>
      <c r="H168" s="79" t="s">
        <v>458</v>
      </c>
      <c r="I168" s="79" t="s">
        <v>459</v>
      </c>
      <c r="J168" s="79" t="s">
        <v>460</v>
      </c>
      <c r="K168" s="99" t="s">
        <v>461</v>
      </c>
    </row>
    <row r="169" spans="1:11" x14ac:dyDescent="0.25">
      <c r="A169" s="98">
        <f>A6</f>
        <v>320</v>
      </c>
      <c r="B169" s="79">
        <f>0.42*A169^0.7</f>
        <v>23.815202311620425</v>
      </c>
      <c r="C169" s="79">
        <f>0.06*(B169/0.42)^-0.4</f>
        <v>1.1931890425932411E-2</v>
      </c>
      <c r="D169" s="79">
        <f>0.0644*A169^0.9</f>
        <v>11.574995953036559</v>
      </c>
      <c r="E169" s="79">
        <f>(103+LOG(B169))/105</f>
        <v>0.99406527881163653</v>
      </c>
      <c r="F169" s="79">
        <f>C169*(F171-20)/(70-20)</f>
        <v>1.0555918353171761E-3</v>
      </c>
      <c r="G169" s="79">
        <f>0.046*(B169/0.42)^0.286</f>
        <v>0.14597848675340103</v>
      </c>
      <c r="H169" s="79">
        <f>(1+(1/0.3-1)*F169)/(1+(1/G169-1)*F169)</f>
        <v>0.99631027894490198</v>
      </c>
      <c r="I169" s="79">
        <v>1</v>
      </c>
      <c r="J169" s="79">
        <f>1.05*E169+F169*(1-I169)/G169</f>
        <v>1.0437685427522183</v>
      </c>
      <c r="K169" s="99">
        <f>1/H169/(J169+0.003*(30-F171))</f>
        <v>0.94644504489208559</v>
      </c>
    </row>
    <row r="170" spans="1:11" x14ac:dyDescent="0.25">
      <c r="A170" s="98"/>
      <c r="B170" s="79"/>
      <c r="C170" s="79"/>
      <c r="D170" s="79"/>
      <c r="E170" s="79"/>
      <c r="F170" s="79" t="s">
        <v>258</v>
      </c>
      <c r="G170" s="79"/>
      <c r="H170" s="79"/>
      <c r="I170" s="79"/>
      <c r="J170" s="79"/>
      <c r="K170" s="99"/>
    </row>
    <row r="171" spans="1:11" x14ac:dyDescent="0.25">
      <c r="A171" s="98"/>
      <c r="B171" s="79"/>
      <c r="C171" s="79"/>
      <c r="D171" s="79"/>
      <c r="E171" s="79"/>
      <c r="F171" s="610">
        <f>'H-04'!D12</f>
        <v>24.42340567016516</v>
      </c>
      <c r="G171" s="79"/>
      <c r="H171" s="79"/>
      <c r="I171" s="79"/>
      <c r="J171" s="79"/>
      <c r="K171" s="99"/>
    </row>
    <row r="172" spans="1:11" x14ac:dyDescent="0.25">
      <c r="A172" s="98" t="s">
        <v>446</v>
      </c>
      <c r="B172" s="79"/>
      <c r="C172" s="79"/>
      <c r="D172" s="79"/>
      <c r="E172" s="79"/>
      <c r="F172" s="79"/>
      <c r="G172" s="79"/>
      <c r="H172" s="79"/>
      <c r="I172" s="79"/>
      <c r="J172" s="79"/>
      <c r="K172" s="99"/>
    </row>
    <row r="173" spans="1:11" ht="13" thickBot="1" x14ac:dyDescent="0.3">
      <c r="A173" s="100" t="s">
        <v>462</v>
      </c>
      <c r="B173" s="627">
        <f>B169*K173</f>
        <v>0</v>
      </c>
      <c r="C173" s="627">
        <f>C169*K173</f>
        <v>0</v>
      </c>
      <c r="D173" s="627">
        <f>D169*K173</f>
        <v>0</v>
      </c>
      <c r="E173" s="627">
        <f>E169*K173</f>
        <v>0</v>
      </c>
      <c r="F173" s="627">
        <f>F169*K173</f>
        <v>0</v>
      </c>
      <c r="G173" s="627">
        <f>G169*K173</f>
        <v>0</v>
      </c>
      <c r="H173" s="101">
        <f>H169*K173</f>
        <v>0</v>
      </c>
      <c r="I173" s="101">
        <f>I169*K173</f>
        <v>0</v>
      </c>
      <c r="J173" s="101">
        <f>J169*K173</f>
        <v>0</v>
      </c>
      <c r="K173" s="102">
        <f>K20*K21</f>
        <v>0</v>
      </c>
    </row>
    <row r="174" spans="1:11" x14ac:dyDescent="0.25">
      <c r="A174" s="98" t="s">
        <v>363</v>
      </c>
      <c r="B174" s="79" t="s">
        <v>452</v>
      </c>
      <c r="C174" s="79" t="s">
        <v>453</v>
      </c>
      <c r="D174" s="79" t="s">
        <v>454</v>
      </c>
      <c r="E174" s="79" t="s">
        <v>455</v>
      </c>
      <c r="F174" s="79" t="s">
        <v>456</v>
      </c>
      <c r="G174" s="79" t="s">
        <v>457</v>
      </c>
      <c r="H174" s="79" t="s">
        <v>458</v>
      </c>
      <c r="I174" s="79" t="s">
        <v>459</v>
      </c>
      <c r="J174" s="79" t="s">
        <v>460</v>
      </c>
      <c r="K174" s="99" t="s">
        <v>461</v>
      </c>
    </row>
    <row r="175" spans="1:11" x14ac:dyDescent="0.25">
      <c r="A175" s="98">
        <f>A11</f>
        <v>320</v>
      </c>
      <c r="B175" s="79">
        <f>0.42*A175^0.7</f>
        <v>23.815202311620425</v>
      </c>
      <c r="C175" s="79">
        <f>0.06*(B175/0.42)^-0.4</f>
        <v>1.1931890425932411E-2</v>
      </c>
      <c r="D175" s="79">
        <f>0.0644*A175^0.9</f>
        <v>11.574995953036559</v>
      </c>
      <c r="E175" s="103">
        <f>(103+LOG(B175))/105</f>
        <v>0.99406527881163653</v>
      </c>
      <c r="F175" s="79">
        <f>C175*(F177-20)/(70-20)</f>
        <v>1.0555918353171761E-3</v>
      </c>
      <c r="G175" s="79">
        <f>0.046*(B175/0.42)^0.286</f>
        <v>0.14597848675340103</v>
      </c>
      <c r="H175" s="79">
        <f>(1+(1/0.3-1)*F175)/(1+(1/G175-1)*F175)</f>
        <v>0.99631027894490198</v>
      </c>
      <c r="I175" s="79">
        <f>25*F175</f>
        <v>2.6389795882929404E-2</v>
      </c>
      <c r="J175" s="79">
        <f>1.05*E175+F175*(1-I175)/G175</f>
        <v>1.0508088608504844</v>
      </c>
      <c r="K175" s="99">
        <f>1/H175/(J175+0.003*(30-F177))</f>
        <v>0.94020332781981175</v>
      </c>
    </row>
    <row r="176" spans="1:11" x14ac:dyDescent="0.25">
      <c r="A176" s="98"/>
      <c r="B176" s="79"/>
      <c r="C176" s="79"/>
      <c r="D176" s="79"/>
      <c r="E176" s="79"/>
      <c r="F176" s="79" t="s">
        <v>258</v>
      </c>
      <c r="G176" s="79"/>
      <c r="H176" s="79"/>
      <c r="I176" s="79"/>
      <c r="J176" s="79"/>
      <c r="K176" s="99"/>
    </row>
    <row r="177" spans="1:11" x14ac:dyDescent="0.25">
      <c r="A177" s="98"/>
      <c r="B177" s="79"/>
      <c r="C177" s="79"/>
      <c r="D177" s="79"/>
      <c r="E177" s="79"/>
      <c r="F177" s="610">
        <f>'H-04'!D12</f>
        <v>24.42340567016516</v>
      </c>
      <c r="G177" s="79"/>
      <c r="H177" s="79"/>
      <c r="I177" s="79"/>
      <c r="J177" s="79"/>
      <c r="K177" s="99"/>
    </row>
    <row r="178" spans="1:11" x14ac:dyDescent="0.25">
      <c r="A178" s="98" t="s">
        <v>446</v>
      </c>
      <c r="B178" s="79"/>
      <c r="C178" s="79"/>
      <c r="D178" s="79"/>
      <c r="E178" s="79"/>
      <c r="F178" s="79"/>
      <c r="G178" s="79"/>
      <c r="H178" s="79"/>
      <c r="I178" s="79"/>
      <c r="J178" s="79"/>
      <c r="K178" s="99"/>
    </row>
    <row r="179" spans="1:11" ht="13" thickBot="1" x14ac:dyDescent="0.3">
      <c r="A179" s="100" t="s">
        <v>463</v>
      </c>
      <c r="B179" s="627">
        <f>B175*K179</f>
        <v>0</v>
      </c>
      <c r="C179" s="627">
        <f>C175*K179</f>
        <v>0</v>
      </c>
      <c r="D179" s="627">
        <f>D175*K179</f>
        <v>0</v>
      </c>
      <c r="E179" s="627">
        <f>E175*K179</f>
        <v>0</v>
      </c>
      <c r="F179" s="627">
        <f>F175*K179</f>
        <v>0</v>
      </c>
      <c r="G179" s="627">
        <f>G175*K179</f>
        <v>0</v>
      </c>
      <c r="H179" s="101">
        <f>H175*K179</f>
        <v>0</v>
      </c>
      <c r="I179" s="101">
        <f>I175*K179</f>
        <v>0</v>
      </c>
      <c r="J179" s="101">
        <f>J175*K179</f>
        <v>0</v>
      </c>
      <c r="K179" s="102">
        <f>K20*K21</f>
        <v>0</v>
      </c>
    </row>
    <row r="180" spans="1:11" ht="13" thickBot="1" x14ac:dyDescent="0.3">
      <c r="A180" s="272" t="s">
        <v>247</v>
      </c>
    </row>
    <row r="181" spans="1:11" x14ac:dyDescent="0.25">
      <c r="A181" s="81" t="s">
        <v>547</v>
      </c>
      <c r="B181" s="82"/>
      <c r="C181" s="82"/>
      <c r="D181" s="82"/>
      <c r="E181" s="83"/>
    </row>
    <row r="182" spans="1:11" x14ac:dyDescent="0.25">
      <c r="A182" s="86"/>
      <c r="B182" s="78"/>
      <c r="C182" s="78"/>
      <c r="D182" s="78"/>
      <c r="E182" s="87"/>
    </row>
    <row r="183" spans="1:11" x14ac:dyDescent="0.25">
      <c r="A183" s="98" t="s">
        <v>425</v>
      </c>
      <c r="B183" s="79" t="s">
        <v>452</v>
      </c>
      <c r="C183" s="79" t="s">
        <v>465</v>
      </c>
      <c r="D183" s="79" t="s">
        <v>457</v>
      </c>
      <c r="E183" s="99" t="s">
        <v>466</v>
      </c>
    </row>
    <row r="184" spans="1:11" ht="13" thickBot="1" x14ac:dyDescent="0.3">
      <c r="A184" s="100">
        <f>A6</f>
        <v>320</v>
      </c>
      <c r="B184" s="101">
        <f>0.42*A184^0.7</f>
        <v>23.815202311620425</v>
      </c>
      <c r="C184" s="101">
        <f>0.015*B184^0.48</f>
        <v>6.8703887428195221E-2</v>
      </c>
      <c r="D184" s="101">
        <f>G175</f>
        <v>0.14597848675340103</v>
      </c>
      <c r="E184" s="102">
        <f>D184/0.3*185*24*C184/A184</f>
        <v>0.46385464033903279</v>
      </c>
    </row>
    <row r="186" spans="1:11" ht="13" thickBot="1" x14ac:dyDescent="0.3"/>
    <row r="187" spans="1:11" ht="13" thickBot="1" x14ac:dyDescent="0.3">
      <c r="A187" s="81"/>
      <c r="B187" s="82"/>
      <c r="C187" s="82"/>
      <c r="D187" s="83"/>
      <c r="E187" s="81" t="s">
        <v>498</v>
      </c>
      <c r="F187" s="82"/>
      <c r="G187" s="83" t="s">
        <v>499</v>
      </c>
      <c r="H187" s="80" t="s">
        <v>616</v>
      </c>
      <c r="I187" s="81" t="s">
        <v>617</v>
      </c>
      <c r="J187" s="97" t="s">
        <v>618</v>
      </c>
    </row>
    <row r="188" spans="1:11" ht="14" x14ac:dyDescent="0.3">
      <c r="A188" s="8" t="s">
        <v>500</v>
      </c>
      <c r="B188" s="78"/>
      <c r="C188" s="78"/>
      <c r="D188" s="87"/>
      <c r="E188" s="8">
        <f>1/(4.9*0.853*1.031)</f>
        <v>0.23205782825386209</v>
      </c>
      <c r="F188" s="78"/>
      <c r="G188" s="87">
        <f>(2*A6^0.9)*1600/1000/A6</f>
        <v>1.7973596200367326</v>
      </c>
      <c r="H188" s="85">
        <f>IF(E1=3,1,0)</f>
        <v>0</v>
      </c>
      <c r="I188" s="283">
        <f>E188*H188+E189*H189</f>
        <v>0</v>
      </c>
      <c r="J188" s="284">
        <f>H188*G188+H189*G189</f>
        <v>0</v>
      </c>
    </row>
    <row r="189" spans="1:11" ht="14.5" thickBot="1" x14ac:dyDescent="0.35">
      <c r="A189" s="8" t="s">
        <v>501</v>
      </c>
      <c r="B189" s="78"/>
      <c r="C189" s="78"/>
      <c r="D189" s="87"/>
      <c r="E189" s="8">
        <f>1/(4.9*1.068*1)</f>
        <v>0.19108767102346552</v>
      </c>
      <c r="F189" s="78"/>
      <c r="G189" s="87">
        <f>(2*A6^0.9)*1600/1000/A6</f>
        <v>1.7973596200367326</v>
      </c>
      <c r="H189" s="85">
        <f>IF(E1=4,1,0)</f>
        <v>0</v>
      </c>
      <c r="I189" s="141"/>
      <c r="J189" s="142"/>
    </row>
    <row r="190" spans="1:11" ht="14" x14ac:dyDescent="0.3">
      <c r="A190" s="8" t="s">
        <v>502</v>
      </c>
      <c r="B190" s="78"/>
      <c r="C190" s="78"/>
      <c r="D190" s="87"/>
      <c r="E190" s="8">
        <f>1/(4*0.89*1.031)</f>
        <v>0.27245283841367063</v>
      </c>
      <c r="F190" s="78"/>
      <c r="G190" s="87">
        <f>(1.2*A6^0.9)*1600/1000/A6</f>
        <v>1.0784157720220398</v>
      </c>
      <c r="H190" s="85">
        <f>IF(E1=3,1,0)</f>
        <v>0</v>
      </c>
      <c r="I190" s="283">
        <f>E190*H190+E191*H191</f>
        <v>0</v>
      </c>
      <c r="J190" s="284">
        <f>H190*G190+H191*G191</f>
        <v>0</v>
      </c>
    </row>
    <row r="191" spans="1:11" ht="14.5" thickBot="1" x14ac:dyDescent="0.35">
      <c r="A191" s="8" t="s">
        <v>503</v>
      </c>
      <c r="B191" s="78"/>
      <c r="C191" s="78"/>
      <c r="D191" s="87"/>
      <c r="E191" s="8">
        <f>1/(4*1.087*1)</f>
        <v>0.22999080036798528</v>
      </c>
      <c r="F191" s="78"/>
      <c r="G191" s="87">
        <f>(1.2*A6^0.9)*1600/1000/A6</f>
        <v>1.0784157720220398</v>
      </c>
      <c r="H191" s="85">
        <f>IF(E1=4,1,0)</f>
        <v>0</v>
      </c>
      <c r="I191" s="141"/>
      <c r="J191" s="142"/>
    </row>
    <row r="192" spans="1:11" ht="14" x14ac:dyDescent="0.3">
      <c r="A192" s="8" t="s">
        <v>504</v>
      </c>
      <c r="B192" s="78"/>
      <c r="C192" s="78"/>
      <c r="D192" s="87"/>
      <c r="E192" s="8">
        <f>1/(1.031*(2.6*0.08+3.1*0.745+4*0.053))</f>
        <v>0.35535156796214223</v>
      </c>
      <c r="F192" s="78"/>
      <c r="G192" s="87">
        <v>0</v>
      </c>
      <c r="H192" s="85">
        <f>IF(E1=3,1,0)</f>
        <v>0</v>
      </c>
      <c r="I192" s="283">
        <f>E192*H192+E193*H193</f>
        <v>0</v>
      </c>
      <c r="J192" s="284">
        <f>H192*G192+H193*G193</f>
        <v>0</v>
      </c>
    </row>
    <row r="193" spans="1:24" ht="14.5" thickBot="1" x14ac:dyDescent="0.35">
      <c r="A193" s="8" t="s">
        <v>505</v>
      </c>
      <c r="B193" s="78"/>
      <c r="C193" s="78"/>
      <c r="D193" s="87"/>
      <c r="E193" s="8">
        <f>1/(1*(2.6*0.103+3.1*0.903+4*0.061))</f>
        <v>0.3020144362900547</v>
      </c>
      <c r="F193" s="78"/>
      <c r="G193" s="87">
        <v>0</v>
      </c>
      <c r="H193" s="85">
        <f>IF(E1=4,1,0)</f>
        <v>0</v>
      </c>
      <c r="I193" s="141"/>
      <c r="J193" s="142"/>
    </row>
    <row r="194" spans="1:24" ht="14" x14ac:dyDescent="0.3">
      <c r="A194" s="8" t="s">
        <v>507</v>
      </c>
      <c r="B194" s="78"/>
      <c r="C194" s="78"/>
      <c r="D194" s="87"/>
      <c r="E194" s="8">
        <f>1/(3.8*0.853*1.031)</f>
        <v>0.29923246274840115</v>
      </c>
      <c r="F194" s="78"/>
      <c r="G194" s="87">
        <v>0</v>
      </c>
      <c r="H194" s="85">
        <f>IF(E1=3,1,0)</f>
        <v>0</v>
      </c>
      <c r="I194" s="285">
        <f>E194*H194+E195*H195</f>
        <v>0</v>
      </c>
      <c r="J194" s="286">
        <f>H194*G194+H195*G195</f>
        <v>0</v>
      </c>
    </row>
    <row r="195" spans="1:24" ht="14.5" thickBot="1" x14ac:dyDescent="0.35">
      <c r="A195" s="11" t="s">
        <v>506</v>
      </c>
      <c r="B195" s="143"/>
      <c r="C195" s="143"/>
      <c r="D195" s="144"/>
      <c r="E195" s="11">
        <f>1/(3.8*1.068*1)</f>
        <v>0.24640252316183719</v>
      </c>
      <c r="F195" s="143"/>
      <c r="G195" s="144">
        <v>0</v>
      </c>
      <c r="H195" s="92">
        <f>IF(E1=4,1,0)</f>
        <v>0</v>
      </c>
      <c r="I195" s="141"/>
      <c r="J195" s="142"/>
    </row>
    <row r="197" spans="1:24" ht="13" thickBot="1" x14ac:dyDescent="0.3"/>
    <row r="198" spans="1:24" x14ac:dyDescent="0.25">
      <c r="A198" s="498" t="s">
        <v>201</v>
      </c>
      <c r="B198" s="83"/>
      <c r="F198" s="499"/>
    </row>
    <row r="199" spans="1:24" x14ac:dyDescent="0.25">
      <c r="A199" s="86"/>
      <c r="B199" s="87"/>
      <c r="F199" s="499"/>
    </row>
    <row r="200" spans="1:24" x14ac:dyDescent="0.25">
      <c r="A200" s="500" t="s">
        <v>364</v>
      </c>
      <c r="B200" s="501">
        <f>Rechnungen!H3</f>
        <v>63.749645630919829</v>
      </c>
      <c r="C200" s="499" t="s">
        <v>1094</v>
      </c>
      <c r="F200" s="499"/>
    </row>
    <row r="201" spans="1:24" x14ac:dyDescent="0.25">
      <c r="A201" s="500" t="s">
        <v>159</v>
      </c>
      <c r="B201" s="501">
        <f>Rechnungen!C400</f>
        <v>0</v>
      </c>
      <c r="F201" s="499"/>
    </row>
    <row r="202" spans="1:24" ht="13" thickBot="1" x14ac:dyDescent="0.3">
      <c r="A202" s="500" t="s">
        <v>202</v>
      </c>
      <c r="B202" s="501">
        <f>'L-03'!C38</f>
        <v>0</v>
      </c>
      <c r="F202" s="499"/>
    </row>
    <row r="203" spans="1:24" x14ac:dyDescent="0.25">
      <c r="A203" s="500" t="s">
        <v>579</v>
      </c>
      <c r="B203" s="501">
        <f>Rechnungen!E400</f>
        <v>0.4</v>
      </c>
      <c r="D203" s="605" t="s">
        <v>158</v>
      </c>
      <c r="E203" s="96">
        <v>0.77</v>
      </c>
      <c r="F203" s="96">
        <v>0.73</v>
      </c>
      <c r="G203" s="96">
        <v>0.69</v>
      </c>
      <c r="H203" s="96">
        <v>0.65</v>
      </c>
      <c r="I203" s="606">
        <v>0.62</v>
      </c>
      <c r="J203" s="606">
        <v>0.57999999999999996</v>
      </c>
      <c r="K203" s="606">
        <v>0.54</v>
      </c>
      <c r="L203" s="606">
        <v>0.5</v>
      </c>
      <c r="M203" s="606">
        <v>0.46</v>
      </c>
      <c r="N203" s="606">
        <v>0.42</v>
      </c>
      <c r="O203" s="606">
        <v>0.38</v>
      </c>
      <c r="P203" s="606">
        <v>0.35</v>
      </c>
      <c r="Q203" s="606">
        <v>0.31</v>
      </c>
      <c r="R203" s="606">
        <v>0.27</v>
      </c>
      <c r="S203" s="606">
        <v>0.23</v>
      </c>
      <c r="T203" s="606">
        <v>0.19</v>
      </c>
      <c r="U203" s="96"/>
      <c r="V203" s="96"/>
      <c r="W203" s="96"/>
      <c r="X203" s="97"/>
    </row>
    <row r="204" spans="1:24" x14ac:dyDescent="0.25">
      <c r="A204" s="86"/>
      <c r="B204" s="87"/>
      <c r="D204" s="98" t="s">
        <v>239</v>
      </c>
      <c r="E204" s="79">
        <v>1</v>
      </c>
      <c r="F204" s="79">
        <v>0.99</v>
      </c>
      <c r="G204" s="79">
        <v>0.99</v>
      </c>
      <c r="H204" s="79">
        <v>0.99</v>
      </c>
      <c r="I204" s="103">
        <v>0.99</v>
      </c>
      <c r="J204" s="103">
        <v>0.98</v>
      </c>
      <c r="K204" s="103">
        <v>0.97</v>
      </c>
      <c r="L204" s="103">
        <v>0.96</v>
      </c>
      <c r="M204" s="103">
        <v>0.95</v>
      </c>
      <c r="N204" s="103">
        <v>0.93</v>
      </c>
      <c r="O204" s="103">
        <v>0.9</v>
      </c>
      <c r="P204" s="103">
        <v>0.87</v>
      </c>
      <c r="Q204" s="103">
        <v>0.83</v>
      </c>
      <c r="R204" s="103">
        <v>0.77</v>
      </c>
      <c r="S204" s="103">
        <v>0.7</v>
      </c>
      <c r="T204" s="103">
        <v>0.61</v>
      </c>
      <c r="U204" s="78" t="s">
        <v>244</v>
      </c>
      <c r="V204" s="78" t="s">
        <v>245</v>
      </c>
      <c r="W204" s="78" t="s">
        <v>246</v>
      </c>
      <c r="X204" s="87" t="s">
        <v>429</v>
      </c>
    </row>
    <row r="205" spans="1:24" x14ac:dyDescent="0.25">
      <c r="A205" s="86" t="s">
        <v>156</v>
      </c>
      <c r="B205" s="87">
        <f>3*(B200+B201)/(2.4+(B200+B201)^0.25)</f>
        <v>36.598065400265348</v>
      </c>
      <c r="D205" s="98" t="s">
        <v>240</v>
      </c>
      <c r="E205" s="79">
        <f>IF($B$208&lt;=E203,IF($B$208&gt;F203,F203,0),0)</f>
        <v>0</v>
      </c>
      <c r="F205" s="79">
        <f t="shared" ref="F205:T205" si="3">IF($B$208&lt;=F203,IF($B$208&gt;G203,G203,0),0)</f>
        <v>0</v>
      </c>
      <c r="G205" s="79">
        <f t="shared" si="3"/>
        <v>0</v>
      </c>
      <c r="H205" s="79">
        <f t="shared" si="3"/>
        <v>0</v>
      </c>
      <c r="I205" s="79">
        <f t="shared" si="3"/>
        <v>0</v>
      </c>
      <c r="J205" s="79">
        <f t="shared" si="3"/>
        <v>0</v>
      </c>
      <c r="K205" s="79">
        <f t="shared" si="3"/>
        <v>0</v>
      </c>
      <c r="L205" s="79">
        <f t="shared" si="3"/>
        <v>0</v>
      </c>
      <c r="M205" s="79">
        <f t="shared" si="3"/>
        <v>0</v>
      </c>
      <c r="N205" s="79">
        <f t="shared" si="3"/>
        <v>0</v>
      </c>
      <c r="O205" s="79">
        <f t="shared" si="3"/>
        <v>0</v>
      </c>
      <c r="P205" s="79">
        <f t="shared" si="3"/>
        <v>0</v>
      </c>
      <c r="Q205" s="79">
        <f t="shared" si="3"/>
        <v>0</v>
      </c>
      <c r="R205" s="79">
        <f t="shared" si="3"/>
        <v>0.23</v>
      </c>
      <c r="S205" s="79">
        <f t="shared" si="3"/>
        <v>0</v>
      </c>
      <c r="T205" s="79">
        <f t="shared" si="3"/>
        <v>0</v>
      </c>
      <c r="U205" s="78">
        <f>SUM(E205:T205)</f>
        <v>0.23</v>
      </c>
      <c r="V205" s="78">
        <f>IF(B208&gt;E203,F203,0)</f>
        <v>0</v>
      </c>
      <c r="W205" s="78">
        <f>IF(B208&lt;T203,T203,0)</f>
        <v>0</v>
      </c>
      <c r="X205" s="87">
        <f>IF(B208&gt;E203,V205,IF(B208&lt;T203,W205,U205))</f>
        <v>0.23</v>
      </c>
    </row>
    <row r="206" spans="1:24" x14ac:dyDescent="0.25">
      <c r="A206" s="86" t="s">
        <v>112</v>
      </c>
      <c r="B206" s="87">
        <f>9.3</f>
        <v>9.3000000000000007</v>
      </c>
      <c r="D206" s="98" t="s">
        <v>241</v>
      </c>
      <c r="E206" s="103">
        <f>IF($B$208&lt;=E203,IF($B$208&gt;F203,E203,0),0)</f>
        <v>0</v>
      </c>
      <c r="F206" s="103">
        <f t="shared" ref="F206:T206" si="4">IF($B$208&lt;=F203,IF($B$208&gt;G203,F203,0),0)</f>
        <v>0</v>
      </c>
      <c r="G206" s="103">
        <f t="shared" si="4"/>
        <v>0</v>
      </c>
      <c r="H206" s="103">
        <f t="shared" si="4"/>
        <v>0</v>
      </c>
      <c r="I206" s="103">
        <f t="shared" si="4"/>
        <v>0</v>
      </c>
      <c r="J206" s="103">
        <f t="shared" si="4"/>
        <v>0</v>
      </c>
      <c r="K206" s="103">
        <f>IF($B$208&lt;=K203,IF($B$208&gt;L203,K203,0),0)</f>
        <v>0</v>
      </c>
      <c r="L206" s="103">
        <f>IF($B$208&lt;=L203,IF($B$208&gt;M203,L203,0),0)</f>
        <v>0</v>
      </c>
      <c r="M206" s="103">
        <f t="shared" si="4"/>
        <v>0</v>
      </c>
      <c r="N206" s="103">
        <f t="shared" si="4"/>
        <v>0</v>
      </c>
      <c r="O206" s="103">
        <f t="shared" si="4"/>
        <v>0</v>
      </c>
      <c r="P206" s="103">
        <f t="shared" si="4"/>
        <v>0</v>
      </c>
      <c r="Q206" s="103">
        <f t="shared" si="4"/>
        <v>0</v>
      </c>
      <c r="R206" s="103">
        <f t="shared" si="4"/>
        <v>0.27</v>
      </c>
      <c r="S206" s="103">
        <f t="shared" si="4"/>
        <v>0</v>
      </c>
      <c r="T206" s="103">
        <f t="shared" si="4"/>
        <v>0</v>
      </c>
      <c r="U206" s="78">
        <f>SUM(E206:T206)</f>
        <v>0.27</v>
      </c>
      <c r="V206" s="78">
        <f>IF(B208&gt;E203,E203,0)</f>
        <v>0</v>
      </c>
      <c r="W206" s="78">
        <f>IF(B208&lt;T203,S203,0)</f>
        <v>0</v>
      </c>
      <c r="X206" s="87">
        <f>IF(B208&gt;E203,V206,IF(B208&lt;T203,W206,U206))</f>
        <v>0.27</v>
      </c>
    </row>
    <row r="207" spans="1:24" x14ac:dyDescent="0.25">
      <c r="A207" s="86" t="s">
        <v>203</v>
      </c>
      <c r="B207" s="87">
        <f>B206*B203/0.4-B202</f>
        <v>9.3000000000000007</v>
      </c>
      <c r="D207" s="86" t="s">
        <v>242</v>
      </c>
      <c r="E207" s="79">
        <f>IF(E205=0,0,E204)</f>
        <v>0</v>
      </c>
      <c r="F207" s="79">
        <f t="shared" ref="F207:K207" si="5">IF(F205=0,0,G204)</f>
        <v>0</v>
      </c>
      <c r="G207" s="79">
        <f t="shared" si="5"/>
        <v>0</v>
      </c>
      <c r="H207" s="79">
        <f t="shared" si="5"/>
        <v>0</v>
      </c>
      <c r="I207" s="79">
        <f t="shared" si="5"/>
        <v>0</v>
      </c>
      <c r="J207" s="79">
        <f t="shared" si="5"/>
        <v>0</v>
      </c>
      <c r="K207" s="79">
        <f t="shared" si="5"/>
        <v>0</v>
      </c>
      <c r="L207" s="79">
        <f>IF(L205=0,0,M204)</f>
        <v>0</v>
      </c>
      <c r="M207" s="79">
        <f t="shared" ref="M207:T207" si="6">IF(M205=0,0,N204)</f>
        <v>0</v>
      </c>
      <c r="N207" s="79">
        <f t="shared" si="6"/>
        <v>0</v>
      </c>
      <c r="O207" s="79">
        <f t="shared" si="6"/>
        <v>0</v>
      </c>
      <c r="P207" s="79">
        <f t="shared" si="6"/>
        <v>0</v>
      </c>
      <c r="Q207" s="79">
        <f t="shared" si="6"/>
        <v>0</v>
      </c>
      <c r="R207" s="79">
        <f t="shared" si="6"/>
        <v>0.7</v>
      </c>
      <c r="S207" s="79">
        <f t="shared" si="6"/>
        <v>0</v>
      </c>
      <c r="T207" s="79">
        <f t="shared" si="6"/>
        <v>0</v>
      </c>
      <c r="U207" s="78">
        <f>SUM(E207:T207)</f>
        <v>0.7</v>
      </c>
      <c r="V207" s="78">
        <f>IF(B208&gt;E203,F204,0)</f>
        <v>0</v>
      </c>
      <c r="W207" s="78">
        <f>IF(B208&lt;T203,T204,0)</f>
        <v>0</v>
      </c>
      <c r="X207" s="87">
        <f>IF(B208&gt;E203,V207,IF(B208&lt;T203,W207,U207))</f>
        <v>0.7</v>
      </c>
    </row>
    <row r="208" spans="1:24" x14ac:dyDescent="0.25">
      <c r="A208" s="86" t="s">
        <v>158</v>
      </c>
      <c r="B208" s="87">
        <f>B207/B205</f>
        <v>0.25411179247558185</v>
      </c>
      <c r="D208" s="86" t="s">
        <v>243</v>
      </c>
      <c r="E208" s="79">
        <f>IF(E206=0,0,E204)</f>
        <v>0</v>
      </c>
      <c r="F208" s="79">
        <f t="shared" ref="F208:T208" si="7">IF(F206=0,0,F204)</f>
        <v>0</v>
      </c>
      <c r="G208" s="79">
        <f t="shared" si="7"/>
        <v>0</v>
      </c>
      <c r="H208" s="79">
        <f t="shared" si="7"/>
        <v>0</v>
      </c>
      <c r="I208" s="79">
        <f t="shared" si="7"/>
        <v>0</v>
      </c>
      <c r="J208" s="79">
        <f t="shared" si="7"/>
        <v>0</v>
      </c>
      <c r="K208" s="79">
        <f t="shared" si="7"/>
        <v>0</v>
      </c>
      <c r="L208" s="79">
        <f>IF(L206=0,0,L204)</f>
        <v>0</v>
      </c>
      <c r="M208" s="79">
        <f t="shared" si="7"/>
        <v>0</v>
      </c>
      <c r="N208" s="79">
        <f t="shared" si="7"/>
        <v>0</v>
      </c>
      <c r="O208" s="79">
        <f t="shared" si="7"/>
        <v>0</v>
      </c>
      <c r="P208" s="79">
        <f t="shared" si="7"/>
        <v>0</v>
      </c>
      <c r="Q208" s="79">
        <f t="shared" si="7"/>
        <v>0</v>
      </c>
      <c r="R208" s="79">
        <f t="shared" si="7"/>
        <v>0.77</v>
      </c>
      <c r="S208" s="79">
        <f t="shared" si="7"/>
        <v>0</v>
      </c>
      <c r="T208" s="79">
        <f t="shared" si="7"/>
        <v>0</v>
      </c>
      <c r="U208" s="78">
        <f>SUM(E208:T208)</f>
        <v>0.77</v>
      </c>
      <c r="V208" s="78">
        <f>IF(B208&gt;E203,E204,0)</f>
        <v>0</v>
      </c>
      <c r="W208" s="78">
        <f>IF(B208&lt;T203,S204,0)</f>
        <v>0</v>
      </c>
      <c r="X208" s="87">
        <f>IF(B208&gt;E203,V208,IF(B208&lt;T203,W208,U208))</f>
        <v>0.77</v>
      </c>
    </row>
    <row r="209" spans="1:24" ht="14.5" thickBot="1" x14ac:dyDescent="0.35">
      <c r="A209" s="141" t="s">
        <v>204</v>
      </c>
      <c r="B209" s="502">
        <f>X209</f>
        <v>0.74219563683226819</v>
      </c>
      <c r="D209" s="141"/>
      <c r="E209" s="143"/>
      <c r="F209" s="506"/>
      <c r="G209" s="143"/>
      <c r="H209" s="143"/>
      <c r="I209" s="143"/>
      <c r="J209" s="101"/>
      <c r="K209" s="101"/>
      <c r="L209" s="101"/>
      <c r="M209" s="101"/>
      <c r="N209" s="101"/>
      <c r="O209" s="101"/>
      <c r="P209" s="101"/>
      <c r="Q209" s="101"/>
      <c r="R209" s="101"/>
      <c r="S209" s="101"/>
      <c r="T209" s="101"/>
      <c r="U209" s="101"/>
      <c r="V209" s="101"/>
      <c r="W209" s="101"/>
      <c r="X209" s="142">
        <f>X207+(B208-X205)*(X208-X207)/(X206-X205)</f>
        <v>0.74219563683226819</v>
      </c>
    </row>
    <row r="210" spans="1:24" ht="13" thickBot="1" x14ac:dyDescent="0.3">
      <c r="F210" s="499"/>
    </row>
    <row r="211" spans="1:24" x14ac:dyDescent="0.25">
      <c r="A211" s="498" t="s">
        <v>205</v>
      </c>
      <c r="B211" s="82"/>
      <c r="C211" s="82"/>
      <c r="D211" s="82"/>
      <c r="E211" s="82" t="s">
        <v>612</v>
      </c>
      <c r="F211" s="503" t="s">
        <v>613</v>
      </c>
    </row>
    <row r="212" spans="1:24" x14ac:dyDescent="0.25">
      <c r="A212" s="86" t="s">
        <v>206</v>
      </c>
      <c r="B212" s="78">
        <f>IF(Rechnungen!G536=16,1,0)</f>
        <v>0</v>
      </c>
      <c r="C212" s="504" t="s">
        <v>207</v>
      </c>
      <c r="D212" s="78"/>
      <c r="E212" s="78">
        <f>IF(B212=0,0.95,B209)</f>
        <v>0.95</v>
      </c>
      <c r="F212" s="505">
        <f>1-E212</f>
        <v>5.0000000000000044E-2</v>
      </c>
    </row>
    <row r="213" spans="1:24" ht="13" thickBot="1" x14ac:dyDescent="0.3">
      <c r="A213" s="141"/>
      <c r="B213" s="143"/>
      <c r="C213" s="506" t="s">
        <v>208</v>
      </c>
      <c r="D213" s="143"/>
      <c r="E213" s="143">
        <f>E212*(1-0.1)</f>
        <v>0.85499999999999998</v>
      </c>
      <c r="F213" s="507">
        <f>1-0.1-E213</f>
        <v>4.500000000000004E-2</v>
      </c>
    </row>
  </sheetData>
  <customSheetViews>
    <customSheetView guid="{AB7935E0-18C1-11D5-A405-00409522490A}" state="hidden" showRuler="0">
      <selection sqref="A1:IV65536"/>
      <pageMargins left="0.78740157499999996" right="0.78740157499999996" top="0.984251969" bottom="0.984251969" header="0.4921259845" footer="0.4921259845"/>
      <headerFooter alignWithMargins="0"/>
    </customSheetView>
    <customSheetView guid="{586D4F31-1FA3-11D6-B431-009027A4C716}" showGridLines="0" state="hidden" showRuler="0">
      <pageMargins left="0.78740157499999996" right="0.78740157499999996" top="0.984251969" bottom="0.984251969" header="0.4921259845" footer="0.4921259845"/>
      <headerFooter alignWithMargins="0"/>
    </customSheetView>
  </customSheetViews>
  <mergeCells count="8">
    <mergeCell ref="B3:K3"/>
    <mergeCell ref="B8:K8"/>
    <mergeCell ref="I9:K9"/>
    <mergeCell ref="I4:K4"/>
    <mergeCell ref="C9:E9"/>
    <mergeCell ref="F9:H9"/>
    <mergeCell ref="C4:E4"/>
    <mergeCell ref="F4:H4"/>
  </mergeCells>
  <phoneticPr fontId="0" type="noConversion"/>
  <pageMargins left="0.78740157499999996" right="0.78740157499999996" top="0.984251969" bottom="0.984251969" header="0.4921259845" footer="0.4921259845"/>
  <pageSetup paperSize="9" orientation="portrait" horizontalDpi="300" verticalDpi="300" copies="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1"/>
  <dimension ref="A1:G15"/>
  <sheetViews>
    <sheetView showGridLines="0" workbookViewId="0"/>
  </sheetViews>
  <sheetFormatPr baseColWidth="10" defaultRowHeight="14" x14ac:dyDescent="0.3"/>
  <sheetData>
    <row r="1" spans="1:7" x14ac:dyDescent="0.3">
      <c r="A1" s="611" t="s">
        <v>249</v>
      </c>
      <c r="B1" s="611"/>
    </row>
    <row r="2" spans="1:7" ht="14.5" thickBot="1" x14ac:dyDescent="0.35"/>
    <row r="3" spans="1:7" x14ac:dyDescent="0.3">
      <c r="C3" s="675" t="s">
        <v>250</v>
      </c>
      <c r="D3" s="676">
        <v>35</v>
      </c>
      <c r="E3" s="676">
        <v>55</v>
      </c>
      <c r="F3" s="676">
        <v>70</v>
      </c>
      <c r="G3" s="677">
        <v>90</v>
      </c>
    </row>
    <row r="4" spans="1:7" x14ac:dyDescent="0.3">
      <c r="C4" s="678" t="s">
        <v>251</v>
      </c>
      <c r="D4" s="679">
        <v>28</v>
      </c>
      <c r="E4" s="679">
        <v>45</v>
      </c>
      <c r="F4" s="679">
        <v>55</v>
      </c>
      <c r="G4" s="680">
        <v>70</v>
      </c>
    </row>
    <row r="5" spans="1:7" x14ac:dyDescent="0.3">
      <c r="C5" s="678" t="s">
        <v>252</v>
      </c>
      <c r="D5" s="679">
        <f>19-2900/185</f>
        <v>3.3243243243243246</v>
      </c>
      <c r="E5" s="679">
        <f>19-2900/185</f>
        <v>3.3243243243243246</v>
      </c>
      <c r="F5" s="679">
        <f>19-2900/185</f>
        <v>3.3243243243243246</v>
      </c>
      <c r="G5" s="680">
        <f>19-2900/185</f>
        <v>3.3243243243243246</v>
      </c>
    </row>
    <row r="6" spans="1:7" x14ac:dyDescent="0.3">
      <c r="C6" s="678" t="s">
        <v>457</v>
      </c>
      <c r="D6" s="679">
        <f>(20-D5)/(20-(-12))</f>
        <v>0.52111486486486491</v>
      </c>
      <c r="E6" s="679">
        <f>(20-E5)/(20-(-12))</f>
        <v>0.52111486486486491</v>
      </c>
      <c r="F6" s="679">
        <f>(20-F5)/(20-(-12))</f>
        <v>0.52111486486486491</v>
      </c>
      <c r="G6" s="680">
        <f>(20-G5)/(20-(-12))</f>
        <v>0.52111486486486491</v>
      </c>
    </row>
    <row r="7" spans="1:7" x14ac:dyDescent="0.3">
      <c r="C7" s="678" t="s">
        <v>579</v>
      </c>
      <c r="D7" s="679">
        <v>1.1000000000000001</v>
      </c>
      <c r="E7" s="679">
        <v>1.3</v>
      </c>
      <c r="F7" s="679">
        <v>1.3</v>
      </c>
      <c r="G7" s="680">
        <v>1.3</v>
      </c>
    </row>
    <row r="8" spans="1:7" x14ac:dyDescent="0.3">
      <c r="C8" s="678" t="s">
        <v>253</v>
      </c>
      <c r="D8" s="681">
        <f>D6^(1/D7)*(D4-20)+20</f>
        <v>24.42340567016516</v>
      </c>
      <c r="E8" s="681">
        <f>E6^(1/E7)*(E4-20)+20</f>
        <v>35.142462877103021</v>
      </c>
      <c r="F8" s="681">
        <f>F6^(1/F7)*(F4-20)+20</f>
        <v>41.199448027944229</v>
      </c>
      <c r="G8" s="682">
        <f>G6^(1/G7)*(G4-20)+20</f>
        <v>50.284925754206043</v>
      </c>
    </row>
    <row r="9" spans="1:7" x14ac:dyDescent="0.3">
      <c r="C9" s="678" t="s">
        <v>254</v>
      </c>
      <c r="D9" s="681">
        <f>D6^(1/D7)*(D3-20)+20</f>
        <v>28.293885631559675</v>
      </c>
      <c r="E9" s="681">
        <f>E6^(1/E7)*(E3-20)+20</f>
        <v>41.199448027944229</v>
      </c>
      <c r="F9" s="681">
        <f>F6^(1/F7)*(F3-20)+20</f>
        <v>50.284925754206043</v>
      </c>
      <c r="G9" s="682">
        <f>G6^(1/G7)*(G3-20)+20</f>
        <v>62.39889605588845</v>
      </c>
    </row>
    <row r="10" spans="1:7" x14ac:dyDescent="0.3">
      <c r="C10" s="683" t="s">
        <v>255</v>
      </c>
      <c r="D10" s="687">
        <f>(D8+D9)/2</f>
        <v>26.358645650862417</v>
      </c>
      <c r="E10" s="687">
        <f>(E8+E9)/2</f>
        <v>38.170955452523629</v>
      </c>
      <c r="F10" s="687">
        <f>(F8+F9)/2</f>
        <v>45.742186891075136</v>
      </c>
      <c r="G10" s="688">
        <f>(G8+G9)/2</f>
        <v>56.341910905047243</v>
      </c>
    </row>
    <row r="11" spans="1:7" x14ac:dyDescent="0.3">
      <c r="C11" s="678"/>
      <c r="D11" s="681"/>
      <c r="E11" s="681"/>
      <c r="F11" s="681"/>
      <c r="G11" s="682"/>
    </row>
    <row r="12" spans="1:7" x14ac:dyDescent="0.3">
      <c r="C12" s="678" t="s">
        <v>446</v>
      </c>
      <c r="D12" s="685">
        <f>D8</f>
        <v>24.42340567016516</v>
      </c>
      <c r="E12" s="685">
        <f>E8</f>
        <v>35.142462877103021</v>
      </c>
      <c r="F12" s="685">
        <f>F8</f>
        <v>41.199448027944229</v>
      </c>
      <c r="G12" s="686">
        <f>G8</f>
        <v>50.284925754206043</v>
      </c>
    </row>
    <row r="13" spans="1:7" x14ac:dyDescent="0.3">
      <c r="C13" s="678" t="s">
        <v>256</v>
      </c>
      <c r="D13" s="685">
        <f>D10</f>
        <v>26.358645650862417</v>
      </c>
      <c r="E13" s="685">
        <f>E10</f>
        <v>38.170955452523629</v>
      </c>
      <c r="F13" s="685">
        <f>F10</f>
        <v>45.742186891075136</v>
      </c>
      <c r="G13" s="686">
        <f>G10</f>
        <v>56.341910905047243</v>
      </c>
    </row>
    <row r="14" spans="1:7" x14ac:dyDescent="0.3">
      <c r="C14" s="678" t="s">
        <v>257</v>
      </c>
      <c r="D14" s="685">
        <v>70</v>
      </c>
      <c r="E14" s="685">
        <v>70</v>
      </c>
      <c r="F14" s="685">
        <v>70</v>
      </c>
      <c r="G14" s="686">
        <v>70</v>
      </c>
    </row>
    <row r="15" spans="1:7" ht="14.5" thickBot="1" x14ac:dyDescent="0.35">
      <c r="C15" s="684" t="s">
        <v>92</v>
      </c>
      <c r="D15" s="689">
        <f>D9</f>
        <v>28.293885631559675</v>
      </c>
      <c r="E15" s="689">
        <f>E9</f>
        <v>41.199448027944229</v>
      </c>
      <c r="F15" s="689">
        <f>F9</f>
        <v>50.284925754206043</v>
      </c>
      <c r="G15" s="690">
        <f>G9</f>
        <v>62.39889605588845</v>
      </c>
    </row>
  </sheetData>
  <phoneticPr fontId="0" type="noConversion"/>
  <pageMargins left="0.78740157499999996" right="0.78740157499999996" top="0.984251969" bottom="0.984251969" header="0.4921259845" footer="0.492125984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2"/>
  <dimension ref="A1:J77"/>
  <sheetViews>
    <sheetView showGridLines="0" workbookViewId="0"/>
  </sheetViews>
  <sheetFormatPr baseColWidth="10" defaultRowHeight="14" x14ac:dyDescent="0.3"/>
  <sheetData>
    <row r="1" spans="1:9" ht="14.5" thickBot="1" x14ac:dyDescent="0.35">
      <c r="A1" s="615" t="s">
        <v>341</v>
      </c>
      <c r="C1" s="646" t="s">
        <v>363</v>
      </c>
      <c r="D1" s="656">
        <f>Rechnungen!D14</f>
        <v>320</v>
      </c>
    </row>
    <row r="2" spans="1:9" ht="14.5" thickBot="1" x14ac:dyDescent="0.35">
      <c r="C2" s="691" t="s">
        <v>308</v>
      </c>
      <c r="D2" s="693"/>
      <c r="E2" s="694">
        <f>Rechnungen!F330</f>
        <v>1</v>
      </c>
      <c r="F2" s="695" t="s">
        <v>309</v>
      </c>
      <c r="G2" s="696">
        <f>IF(OR(E2=25,E2=26),1,0)</f>
        <v>0</v>
      </c>
    </row>
    <row r="3" spans="1:9" ht="14.5" thickBot="1" x14ac:dyDescent="0.35"/>
    <row r="4" spans="1:9" x14ac:dyDescent="0.3">
      <c r="A4" s="646" t="s">
        <v>363</v>
      </c>
      <c r="B4" s="647" t="s">
        <v>364</v>
      </c>
      <c r="C4" s="647" t="s">
        <v>278</v>
      </c>
      <c r="D4" s="647" t="s">
        <v>279</v>
      </c>
      <c r="E4" s="647" t="s">
        <v>280</v>
      </c>
      <c r="F4" s="647" t="s">
        <v>317</v>
      </c>
      <c r="G4" s="647" t="s">
        <v>572</v>
      </c>
      <c r="H4" s="648" t="s">
        <v>265</v>
      </c>
    </row>
    <row r="5" spans="1:9" ht="14.5" thickBot="1" x14ac:dyDescent="0.35">
      <c r="A5" s="649">
        <f>D1</f>
        <v>320</v>
      </c>
      <c r="B5" s="652">
        <f>Rechnungen!H3</f>
        <v>63.749645630919829</v>
      </c>
      <c r="C5" s="652">
        <f>'Ergebnisse IST (05,06,07)'!G124</f>
        <v>3.3</v>
      </c>
      <c r="D5" s="652">
        <f>'Ergebnisse IST (05,06,07)'!G125</f>
        <v>7.63</v>
      </c>
      <c r="E5" s="652">
        <f>'Ergebnisse IST (05,06,07)'!G126</f>
        <v>0</v>
      </c>
      <c r="F5" s="652">
        <f>'Ergebnisse IST (05,06,07)'!G120+'Ergebnisse IST (05,06,07)'!G121</f>
        <v>3.4</v>
      </c>
      <c r="G5" s="652">
        <f>'Ergebnisse IST (05,06,07)'!G122</f>
        <v>0</v>
      </c>
      <c r="H5" s="654">
        <f>(B5-F5-G5+C5+D5+E5)*A5</f>
        <v>22809.486601894347</v>
      </c>
      <c r="I5" t="s">
        <v>1094</v>
      </c>
    </row>
    <row r="6" spans="1:9" ht="14.5" thickBot="1" x14ac:dyDescent="0.35"/>
    <row r="7" spans="1:9" x14ac:dyDescent="0.3">
      <c r="A7" s="646" t="s">
        <v>363</v>
      </c>
      <c r="B7" s="647" t="s">
        <v>704</v>
      </c>
      <c r="C7" s="647" t="s">
        <v>281</v>
      </c>
      <c r="D7" s="647" t="s">
        <v>282</v>
      </c>
      <c r="E7" s="647" t="s">
        <v>283</v>
      </c>
      <c r="F7" s="648" t="s">
        <v>471</v>
      </c>
    </row>
    <row r="8" spans="1:9" ht="14.5" thickBot="1" x14ac:dyDescent="0.35">
      <c r="A8" s="649">
        <f>D1</f>
        <v>320</v>
      </c>
      <c r="B8" s="652">
        <f>'Ergebnisse IST (05,06,07)'!G71</f>
        <v>12.5</v>
      </c>
      <c r="C8" s="652">
        <f>'Ergebnisse IST (05,06,07)'!G72</f>
        <v>0</v>
      </c>
      <c r="D8" s="652">
        <f>'Ergebnisse IST (05,06,07)'!G73</f>
        <v>7.56</v>
      </c>
      <c r="E8" s="652">
        <f>'Ergebnisse IST (05,06,07)'!G74</f>
        <v>0</v>
      </c>
      <c r="F8" s="651">
        <f>IF(G2=0,0,(B8+C8+D8+E8)*A8)</f>
        <v>0</v>
      </c>
    </row>
    <row r="10" spans="1:9" ht="14.5" thickBot="1" x14ac:dyDescent="0.35">
      <c r="A10" s="645" t="s">
        <v>277</v>
      </c>
    </row>
    <row r="11" spans="1:9" x14ac:dyDescent="0.3">
      <c r="A11" s="646" t="s">
        <v>259</v>
      </c>
      <c r="B11" s="647" t="s">
        <v>260</v>
      </c>
      <c r="C11" s="647" t="s">
        <v>261</v>
      </c>
      <c r="D11" s="647" t="s">
        <v>262</v>
      </c>
      <c r="E11" s="648" t="s">
        <v>316</v>
      </c>
    </row>
    <row r="12" spans="1:9" ht="14.5" thickBot="1" x14ac:dyDescent="0.35">
      <c r="A12" s="649">
        <f>G15</f>
        <v>0.26378404141253486</v>
      </c>
      <c r="B12" s="650">
        <f>0.85*D12</f>
        <v>0.59499999999999997</v>
      </c>
      <c r="C12" s="650">
        <f>J24</f>
        <v>0.19372032073184331</v>
      </c>
      <c r="D12" s="650">
        <v>0.7</v>
      </c>
      <c r="E12" s="658">
        <f>A12*(1/B12)+(1-A12+C12)*(1/D12)</f>
        <v>1.7718149224099951</v>
      </c>
    </row>
    <row r="13" spans="1:9" ht="14.5" thickBot="1" x14ac:dyDescent="0.35"/>
    <row r="14" spans="1:9" x14ac:dyDescent="0.3">
      <c r="A14" s="646" t="s">
        <v>263</v>
      </c>
      <c r="B14" s="647" t="s">
        <v>264</v>
      </c>
      <c r="C14" s="647" t="s">
        <v>265</v>
      </c>
      <c r="D14" s="647" t="s">
        <v>471</v>
      </c>
      <c r="E14" s="647" t="s">
        <v>109</v>
      </c>
      <c r="F14" s="647" t="s">
        <v>266</v>
      </c>
      <c r="G14" s="648" t="s">
        <v>259</v>
      </c>
    </row>
    <row r="15" spans="1:9" ht="14.5" thickBot="1" x14ac:dyDescent="0.35">
      <c r="A15" s="649">
        <f>H18</f>
        <v>1.0416466085945586</v>
      </c>
      <c r="B15" s="650">
        <f>D24*1.5</f>
        <v>31.222803467430637</v>
      </c>
      <c r="C15" s="653">
        <f>H5</f>
        <v>22809.486601894347</v>
      </c>
      <c r="D15" s="650">
        <f>F8</f>
        <v>0</v>
      </c>
      <c r="E15" s="650">
        <f>185</f>
        <v>185</v>
      </c>
      <c r="F15" s="650">
        <f>350</f>
        <v>350</v>
      </c>
      <c r="G15" s="651">
        <f>(A15*B15)/((C15/E15)+(D15/F15))</f>
        <v>0.26378404141253486</v>
      </c>
    </row>
    <row r="16" spans="1:9" ht="14.5" thickBot="1" x14ac:dyDescent="0.35"/>
    <row r="17" spans="1:10" x14ac:dyDescent="0.3">
      <c r="A17" s="646" t="s">
        <v>267</v>
      </c>
      <c r="B17" s="647" t="s">
        <v>268</v>
      </c>
      <c r="C17" s="647" t="s">
        <v>269</v>
      </c>
      <c r="D17" s="647" t="s">
        <v>270</v>
      </c>
      <c r="E17" s="647" t="s">
        <v>271</v>
      </c>
      <c r="F17" s="647" t="s">
        <v>272</v>
      </c>
      <c r="G17" s="647"/>
      <c r="H17" s="648" t="s">
        <v>263</v>
      </c>
    </row>
    <row r="18" spans="1:10" ht="14.5" thickBot="1" x14ac:dyDescent="0.35">
      <c r="A18" s="649">
        <v>0.4</v>
      </c>
      <c r="B18" s="650">
        <f>D24</f>
        <v>20.815202311620425</v>
      </c>
      <c r="C18" s="650">
        <f>H21</f>
        <v>0.18754531348060041</v>
      </c>
      <c r="D18" s="650">
        <f>10.5*D1^0.7</f>
        <v>595.3800577905107</v>
      </c>
      <c r="E18" s="650">
        <f>0.8*D1</f>
        <v>256</v>
      </c>
      <c r="F18" s="650">
        <v>30</v>
      </c>
      <c r="G18" s="650">
        <f>(20971*A18*B18*(1-C18)*C18)/((D18+E18)*F18)</f>
        <v>1.0416466085945586</v>
      </c>
      <c r="H18" s="651">
        <f>IF(G18&lt;1,1,G18)</f>
        <v>1.0416466085945586</v>
      </c>
    </row>
    <row r="19" spans="1:10" ht="14.5" thickBot="1" x14ac:dyDescent="0.35"/>
    <row r="20" spans="1:10" x14ac:dyDescent="0.3">
      <c r="A20" s="646" t="s">
        <v>267</v>
      </c>
      <c r="B20" s="647" t="s">
        <v>156</v>
      </c>
      <c r="C20" s="647" t="s">
        <v>363</v>
      </c>
      <c r="D20" s="647" t="s">
        <v>471</v>
      </c>
      <c r="E20" s="647" t="s">
        <v>266</v>
      </c>
      <c r="F20" s="647" t="s">
        <v>268</v>
      </c>
      <c r="G20" s="647"/>
      <c r="H20" s="648" t="s">
        <v>269</v>
      </c>
    </row>
    <row r="21" spans="1:10" ht="14.5" thickBot="1" x14ac:dyDescent="0.35">
      <c r="A21" s="649">
        <v>0.4</v>
      </c>
      <c r="B21" s="655">
        <f>'L-03'!D30</f>
        <v>36.598065400265348</v>
      </c>
      <c r="C21" s="650">
        <f>D1</f>
        <v>320</v>
      </c>
      <c r="D21" s="650">
        <f>F8</f>
        <v>0</v>
      </c>
      <c r="E21" s="650">
        <f>350</f>
        <v>350</v>
      </c>
      <c r="F21" s="650">
        <f>D24</f>
        <v>20.815202311620425</v>
      </c>
      <c r="G21" s="650">
        <f>((A21*B21*C21)/3000+(D21/24/E21))/(A21*F21)</f>
        <v>0.18754531348060041</v>
      </c>
      <c r="H21" s="651">
        <f>IF(G21&lt;1,G21,0.99999)</f>
        <v>0.18754531348060041</v>
      </c>
    </row>
    <row r="22" spans="1:10" ht="14.5" thickBot="1" x14ac:dyDescent="0.35"/>
    <row r="23" spans="1:10" x14ac:dyDescent="0.3">
      <c r="A23" s="646" t="s">
        <v>273</v>
      </c>
      <c r="B23" s="647" t="s">
        <v>265</v>
      </c>
      <c r="C23" s="647" t="s">
        <v>471</v>
      </c>
      <c r="D23" s="647" t="s">
        <v>274</v>
      </c>
      <c r="E23" s="647" t="s">
        <v>267</v>
      </c>
      <c r="F23" s="647" t="s">
        <v>454</v>
      </c>
      <c r="G23" s="647" t="s">
        <v>275</v>
      </c>
      <c r="H23" s="647" t="s">
        <v>363</v>
      </c>
      <c r="I23" s="647"/>
      <c r="J23" s="648" t="s">
        <v>261</v>
      </c>
    </row>
    <row r="24" spans="1:10" ht="14.5" thickBot="1" x14ac:dyDescent="0.35">
      <c r="A24" s="649">
        <f>B5*D1</f>
        <v>20399.886601894344</v>
      </c>
      <c r="B24" s="653">
        <f>H5</f>
        <v>22809.486601894347</v>
      </c>
      <c r="C24" s="650">
        <f>F8</f>
        <v>0</v>
      </c>
      <c r="D24" s="650">
        <f>(0.42*D1^0.7)-3</f>
        <v>20.815202311620425</v>
      </c>
      <c r="E24" s="650">
        <v>0.4</v>
      </c>
      <c r="F24" s="650">
        <f>B21*0.001*D1</f>
        <v>11.71138092808491</v>
      </c>
      <c r="G24" s="650">
        <f>0.2*D1</f>
        <v>64</v>
      </c>
      <c r="H24" s="650">
        <f>D1</f>
        <v>320</v>
      </c>
      <c r="I24" s="650">
        <f>((D24*(1-E24)/F24)-(G24/H24))*(0.25*A24)/(B24+C24)</f>
        <v>0.19372032073184331</v>
      </c>
      <c r="J24" s="651">
        <f>IF(I24&lt;0,0,I24)</f>
        <v>0.19372032073184331</v>
      </c>
    </row>
    <row r="26" spans="1:10" ht="14.5" thickBot="1" x14ac:dyDescent="0.35">
      <c r="A26" t="s">
        <v>400</v>
      </c>
    </row>
    <row r="27" spans="1:10" x14ac:dyDescent="0.3">
      <c r="A27" s="646" t="s">
        <v>298</v>
      </c>
      <c r="B27" s="647" t="s">
        <v>299</v>
      </c>
      <c r="C27" s="647" t="s">
        <v>300</v>
      </c>
      <c r="D27" s="647" t="s">
        <v>301</v>
      </c>
      <c r="E27" s="647" t="s">
        <v>109</v>
      </c>
      <c r="F27" s="647" t="s">
        <v>363</v>
      </c>
      <c r="G27" s="648" t="s">
        <v>297</v>
      </c>
    </row>
    <row r="28" spans="1:10" ht="14.5" thickBot="1" x14ac:dyDescent="0.35">
      <c r="A28" s="649">
        <f>A15</f>
        <v>1.0416466085945586</v>
      </c>
      <c r="B28" s="650">
        <v>0.05</v>
      </c>
      <c r="C28" s="650">
        <v>10</v>
      </c>
      <c r="D28" s="650">
        <f>I31</f>
        <v>4.3608221275401062</v>
      </c>
      <c r="E28" s="650">
        <f>185</f>
        <v>185</v>
      </c>
      <c r="F28" s="650">
        <f>D1</f>
        <v>320</v>
      </c>
      <c r="G28" s="658">
        <f>(A28*B28+0.001*C28*D28)*E28/F28</f>
        <v>5.5321100204527698E-2</v>
      </c>
    </row>
    <row r="29" spans="1:10" ht="14.5" thickBot="1" x14ac:dyDescent="0.35"/>
    <row r="30" spans="1:10" x14ac:dyDescent="0.3">
      <c r="A30" s="646" t="s">
        <v>302</v>
      </c>
      <c r="B30" s="647" t="s">
        <v>265</v>
      </c>
      <c r="C30" s="647" t="s">
        <v>109</v>
      </c>
      <c r="D30" s="647" t="s">
        <v>471</v>
      </c>
      <c r="E30" s="647" t="s">
        <v>266</v>
      </c>
      <c r="F30" s="647" t="s">
        <v>298</v>
      </c>
      <c r="G30" s="647" t="s">
        <v>264</v>
      </c>
      <c r="H30" s="647"/>
      <c r="I30" s="648" t="s">
        <v>301</v>
      </c>
    </row>
    <row r="31" spans="1:10" ht="14.5" thickBot="1" x14ac:dyDescent="0.35">
      <c r="A31" s="649">
        <f>F21</f>
        <v>20.815202311620425</v>
      </c>
      <c r="B31" s="653">
        <f>H5</f>
        <v>22809.486601894347</v>
      </c>
      <c r="C31" s="650">
        <f>185</f>
        <v>185</v>
      </c>
      <c r="D31" s="650">
        <f>F8</f>
        <v>0</v>
      </c>
      <c r="E31" s="650">
        <f>350</f>
        <v>350</v>
      </c>
      <c r="F31" s="650">
        <f>A15</f>
        <v>1.0416466085945586</v>
      </c>
      <c r="G31" s="650">
        <f>B15</f>
        <v>31.222803467430637</v>
      </c>
      <c r="H31" s="650">
        <f>(1/A31)*(B31/C31+D31/E31-F31*G31)</f>
        <v>4.3608221275401062</v>
      </c>
      <c r="I31" s="651">
        <f>IF(H31&lt;0,0,H31)</f>
        <v>4.3608221275401062</v>
      </c>
    </row>
    <row r="33" spans="1:10" ht="14.5" thickBot="1" x14ac:dyDescent="0.35">
      <c r="A33" s="645" t="s">
        <v>284</v>
      </c>
    </row>
    <row r="34" spans="1:10" x14ac:dyDescent="0.3">
      <c r="A34" s="646" t="s">
        <v>259</v>
      </c>
      <c r="B34" s="647" t="s">
        <v>260</v>
      </c>
      <c r="C34" s="647" t="s">
        <v>261</v>
      </c>
      <c r="D34" s="647" t="s">
        <v>262</v>
      </c>
      <c r="E34" s="648" t="s">
        <v>316</v>
      </c>
    </row>
    <row r="35" spans="1:10" ht="14.5" thickBot="1" x14ac:dyDescent="0.35">
      <c r="A35" s="649">
        <f>G38</f>
        <v>0.45650856104554743</v>
      </c>
      <c r="B35" s="650">
        <f>0.9*D35</f>
        <v>0.72000000000000008</v>
      </c>
      <c r="C35" s="650">
        <f>J47</f>
        <v>0.1539806027417952</v>
      </c>
      <c r="D35" s="650">
        <v>0.8</v>
      </c>
      <c r="E35" s="658">
        <f>A35*(1/B35)+(1-A35+C35)*(1/D35)</f>
        <v>1.5058797202391254</v>
      </c>
    </row>
    <row r="36" spans="1:10" ht="14.5" thickBot="1" x14ac:dyDescent="0.35"/>
    <row r="37" spans="1:10" x14ac:dyDescent="0.3">
      <c r="A37" s="646" t="s">
        <v>263</v>
      </c>
      <c r="B37" s="647" t="s">
        <v>264</v>
      </c>
      <c r="C37" s="647" t="s">
        <v>265</v>
      </c>
      <c r="D37" s="647" t="s">
        <v>471</v>
      </c>
      <c r="E37" s="647" t="s">
        <v>109</v>
      </c>
      <c r="F37" s="647" t="s">
        <v>266</v>
      </c>
      <c r="G37" s="648" t="s">
        <v>259</v>
      </c>
    </row>
    <row r="38" spans="1:10" ht="14.5" thickBot="1" x14ac:dyDescent="0.35">
      <c r="A38" s="649">
        <f>H41</f>
        <v>3.004481695589035</v>
      </c>
      <c r="B38" s="650">
        <f>D47*0.9</f>
        <v>18.733682080458383</v>
      </c>
      <c r="C38" s="653">
        <f>H5</f>
        <v>22809.486601894347</v>
      </c>
      <c r="D38" s="650">
        <f>F8</f>
        <v>0</v>
      </c>
      <c r="E38" s="650">
        <f>185</f>
        <v>185</v>
      </c>
      <c r="F38" s="650">
        <f>350</f>
        <v>350</v>
      </c>
      <c r="G38" s="651">
        <f>(A38*B38)/((C38/E38)+(D38/F38))</f>
        <v>0.45650856104554743</v>
      </c>
    </row>
    <row r="39" spans="1:10" ht="14.5" thickBot="1" x14ac:dyDescent="0.35"/>
    <row r="40" spans="1:10" x14ac:dyDescent="0.3">
      <c r="A40" s="646" t="s">
        <v>267</v>
      </c>
      <c r="B40" s="647" t="s">
        <v>268</v>
      </c>
      <c r="C40" s="647" t="s">
        <v>269</v>
      </c>
      <c r="D40" s="647" t="s">
        <v>270</v>
      </c>
      <c r="E40" s="647" t="s">
        <v>271</v>
      </c>
      <c r="F40" s="647" t="s">
        <v>272</v>
      </c>
      <c r="G40" s="647"/>
      <c r="H40" s="648" t="s">
        <v>263</v>
      </c>
    </row>
    <row r="41" spans="1:10" ht="14.5" thickBot="1" x14ac:dyDescent="0.35">
      <c r="A41" s="649">
        <v>0.5</v>
      </c>
      <c r="B41" s="650">
        <f>D47*0.5</f>
        <v>10.407601155810212</v>
      </c>
      <c r="C41" s="650">
        <f>H44</f>
        <v>0.37509062696120077</v>
      </c>
      <c r="D41" s="650">
        <f>10.5*D1^0.7</f>
        <v>595.3800577905107</v>
      </c>
      <c r="E41" s="650">
        <f>0.8*D1</f>
        <v>256</v>
      </c>
      <c r="F41" s="650">
        <v>10</v>
      </c>
      <c r="G41" s="650">
        <f>(20971*A41*B41*(1-C41)*C41)/((D41+E41)*F41)</f>
        <v>3.004481695589035</v>
      </c>
      <c r="H41" s="651">
        <f>IF(G41&lt;1,1,G41)</f>
        <v>3.004481695589035</v>
      </c>
    </row>
    <row r="42" spans="1:10" ht="14.5" thickBot="1" x14ac:dyDescent="0.35"/>
    <row r="43" spans="1:10" x14ac:dyDescent="0.3">
      <c r="A43" s="646" t="s">
        <v>267</v>
      </c>
      <c r="B43" s="647" t="s">
        <v>156</v>
      </c>
      <c r="C43" s="647" t="s">
        <v>363</v>
      </c>
      <c r="D43" s="647" t="s">
        <v>471</v>
      </c>
      <c r="E43" s="647" t="s">
        <v>266</v>
      </c>
      <c r="F43" s="647" t="s">
        <v>268</v>
      </c>
      <c r="G43" s="647"/>
      <c r="H43" s="648" t="s">
        <v>269</v>
      </c>
    </row>
    <row r="44" spans="1:10" ht="14.5" thickBot="1" x14ac:dyDescent="0.35">
      <c r="A44" s="649">
        <v>0.5</v>
      </c>
      <c r="B44" s="650">
        <f>B21</f>
        <v>36.598065400265348</v>
      </c>
      <c r="C44" s="650">
        <f>D1</f>
        <v>320</v>
      </c>
      <c r="D44" s="650">
        <f>F8</f>
        <v>0</v>
      </c>
      <c r="E44" s="650">
        <f>350</f>
        <v>350</v>
      </c>
      <c r="F44" s="650">
        <f>D47*0.5</f>
        <v>10.407601155810212</v>
      </c>
      <c r="G44" s="650">
        <f>((A44*B44*C44)/3000+(D44/24/E44))/(A44*F44)</f>
        <v>0.37509062696120077</v>
      </c>
      <c r="H44" s="651">
        <f>IF(G44&lt;1,G44,0.99999)</f>
        <v>0.37509062696120077</v>
      </c>
    </row>
    <row r="45" spans="1:10" ht="14.5" thickBot="1" x14ac:dyDescent="0.35"/>
    <row r="46" spans="1:10" x14ac:dyDescent="0.3">
      <c r="A46" s="646" t="s">
        <v>273</v>
      </c>
      <c r="B46" s="647" t="s">
        <v>265</v>
      </c>
      <c r="C46" s="647" t="s">
        <v>471</v>
      </c>
      <c r="D46" s="647" t="s">
        <v>274</v>
      </c>
      <c r="E46" s="647" t="s">
        <v>267</v>
      </c>
      <c r="F46" s="647" t="s">
        <v>454</v>
      </c>
      <c r="G46" s="647" t="s">
        <v>275</v>
      </c>
      <c r="H46" s="647" t="s">
        <v>363</v>
      </c>
      <c r="I46" s="647"/>
      <c r="J46" s="648" t="s">
        <v>261</v>
      </c>
    </row>
    <row r="47" spans="1:10" ht="14.5" thickBot="1" x14ac:dyDescent="0.35">
      <c r="A47" s="649">
        <f>B5*D1</f>
        <v>20399.886601894344</v>
      </c>
      <c r="B47" s="653">
        <f>H5</f>
        <v>22809.486601894347</v>
      </c>
      <c r="C47" s="650">
        <f>F8</f>
        <v>0</v>
      </c>
      <c r="D47" s="650">
        <f>(0.42*D1^0.7)-3</f>
        <v>20.815202311620425</v>
      </c>
      <c r="E47" s="650">
        <v>0.5</v>
      </c>
      <c r="F47" s="650">
        <f>B44*0.001*D1</f>
        <v>11.71138092808491</v>
      </c>
      <c r="G47" s="650">
        <f>0.2*D1</f>
        <v>64</v>
      </c>
      <c r="H47" s="650">
        <f>D1</f>
        <v>320</v>
      </c>
      <c r="I47" s="650">
        <f>((D47*(1-E47)/F47)-(G47/H47))*(0.25*A47)/(B47+C47)</f>
        <v>0.1539806027417952</v>
      </c>
      <c r="J47" s="651">
        <f>IF(I47&lt;0,0,I47)</f>
        <v>0.1539806027417952</v>
      </c>
    </row>
    <row r="49" spans="1:9" ht="14.5" thickBot="1" x14ac:dyDescent="0.35">
      <c r="A49" t="s">
        <v>400</v>
      </c>
    </row>
    <row r="50" spans="1:9" x14ac:dyDescent="0.3">
      <c r="A50" s="646" t="s">
        <v>298</v>
      </c>
      <c r="B50" s="647" t="s">
        <v>299</v>
      </c>
      <c r="C50" s="647" t="s">
        <v>300</v>
      </c>
      <c r="D50" s="647" t="s">
        <v>301</v>
      </c>
      <c r="E50" s="647" t="s">
        <v>109</v>
      </c>
      <c r="F50" s="647" t="s">
        <v>363</v>
      </c>
      <c r="G50" s="648" t="s">
        <v>297</v>
      </c>
    </row>
    <row r="51" spans="1:9" ht="14.5" thickBot="1" x14ac:dyDescent="0.35">
      <c r="A51" s="649">
        <f>A38</f>
        <v>3.004481695589035</v>
      </c>
      <c r="B51" s="650">
        <f>0.02+0.02*D47</f>
        <v>0.43630404623240854</v>
      </c>
      <c r="C51" s="650">
        <f>10+10*D47</f>
        <v>218.15202311620425</v>
      </c>
      <c r="D51" s="650">
        <f>I54</f>
        <v>6.4385170288036262</v>
      </c>
      <c r="E51" s="650">
        <f>185</f>
        <v>185</v>
      </c>
      <c r="F51" s="650">
        <f>D1</f>
        <v>320</v>
      </c>
      <c r="G51" s="658">
        <f>(A51*B51+0.001*C51*D51)*E51/F51</f>
        <v>1.5698655053715442</v>
      </c>
    </row>
    <row r="52" spans="1:9" ht="14.5" thickBot="1" x14ac:dyDescent="0.35"/>
    <row r="53" spans="1:9" x14ac:dyDescent="0.3">
      <c r="A53" s="646" t="s">
        <v>302</v>
      </c>
      <c r="B53" s="647" t="s">
        <v>265</v>
      </c>
      <c r="C53" s="647" t="s">
        <v>109</v>
      </c>
      <c r="D53" s="647" t="s">
        <v>471</v>
      </c>
      <c r="E53" s="647" t="s">
        <v>266</v>
      </c>
      <c r="F53" s="647" t="s">
        <v>298</v>
      </c>
      <c r="G53" s="647" t="s">
        <v>264</v>
      </c>
      <c r="H53" s="647"/>
      <c r="I53" s="648" t="s">
        <v>301</v>
      </c>
    </row>
    <row r="54" spans="1:9" ht="14.5" thickBot="1" x14ac:dyDescent="0.35">
      <c r="A54" s="649">
        <f>F44</f>
        <v>10.407601155810212</v>
      </c>
      <c r="B54" s="653">
        <f>H5</f>
        <v>22809.486601894347</v>
      </c>
      <c r="C54" s="650">
        <f>185</f>
        <v>185</v>
      </c>
      <c r="D54" s="650">
        <f>F8</f>
        <v>0</v>
      </c>
      <c r="E54" s="650">
        <f>350</f>
        <v>350</v>
      </c>
      <c r="F54" s="650">
        <f>A38</f>
        <v>3.004481695589035</v>
      </c>
      <c r="G54" s="650">
        <f>B38</f>
        <v>18.733682080458383</v>
      </c>
      <c r="H54" s="650">
        <f>(1/A54)*(B54/C54+D54/E54-F54*G54)</f>
        <v>6.4385170288036262</v>
      </c>
      <c r="I54" s="651">
        <f>IF(H54&lt;0,0,H54)</f>
        <v>6.4385170288036262</v>
      </c>
    </row>
    <row r="56" spans="1:9" ht="14.5" thickBot="1" x14ac:dyDescent="0.35">
      <c r="A56" s="645" t="s">
        <v>285</v>
      </c>
    </row>
    <row r="57" spans="1:9" x14ac:dyDescent="0.3">
      <c r="A57" s="646" t="s">
        <v>259</v>
      </c>
      <c r="B57" s="647" t="s">
        <v>260</v>
      </c>
      <c r="C57" s="647" t="s">
        <v>261</v>
      </c>
      <c r="D57" s="647" t="s">
        <v>262</v>
      </c>
      <c r="E57" s="648" t="s">
        <v>316</v>
      </c>
    </row>
    <row r="58" spans="1:9" ht="14.5" thickBot="1" x14ac:dyDescent="0.35">
      <c r="A58" s="649">
        <f>G61</f>
        <v>0.91301712209109487</v>
      </c>
      <c r="B58" s="650">
        <f>0.9*D58</f>
        <v>0.72000000000000008</v>
      </c>
      <c r="C58" s="650">
        <f>J70</f>
        <v>0</v>
      </c>
      <c r="D58" s="650">
        <v>0.8</v>
      </c>
      <c r="E58" s="658">
        <f>A58*(1/B58)+(1-A58+C58)*(1/D58)</f>
        <v>1.3768079336237629</v>
      </c>
    </row>
    <row r="59" spans="1:9" ht="14.5" thickBot="1" x14ac:dyDescent="0.35"/>
    <row r="60" spans="1:9" x14ac:dyDescent="0.3">
      <c r="A60" s="646" t="s">
        <v>263</v>
      </c>
      <c r="B60" s="647" t="s">
        <v>264</v>
      </c>
      <c r="C60" s="647" t="s">
        <v>265</v>
      </c>
      <c r="D60" s="647" t="s">
        <v>471</v>
      </c>
      <c r="E60" s="647" t="s">
        <v>109</v>
      </c>
      <c r="F60" s="647" t="s">
        <v>266</v>
      </c>
      <c r="G60" s="648" t="s">
        <v>259</v>
      </c>
    </row>
    <row r="61" spans="1:9" ht="14.5" thickBot="1" x14ac:dyDescent="0.35">
      <c r="A61" s="649">
        <f>H64</f>
        <v>6.00896339117807</v>
      </c>
      <c r="B61" s="650">
        <f>D70*0.9</f>
        <v>18.733682080458383</v>
      </c>
      <c r="C61" s="653">
        <f>H5</f>
        <v>22809.486601894347</v>
      </c>
      <c r="D61" s="650">
        <f>F8</f>
        <v>0</v>
      </c>
      <c r="E61" s="650">
        <f>185</f>
        <v>185</v>
      </c>
      <c r="F61" s="650">
        <f>350</f>
        <v>350</v>
      </c>
      <c r="G61" s="651">
        <f>(A61*B61)/((C61/E61)+(D61/F61))</f>
        <v>0.91301712209109487</v>
      </c>
    </row>
    <row r="62" spans="1:9" ht="14.5" thickBot="1" x14ac:dyDescent="0.35"/>
    <row r="63" spans="1:9" x14ac:dyDescent="0.3">
      <c r="A63" s="646" t="s">
        <v>267</v>
      </c>
      <c r="B63" s="647" t="s">
        <v>268</v>
      </c>
      <c r="C63" s="647" t="s">
        <v>269</v>
      </c>
      <c r="D63" s="647" t="s">
        <v>270</v>
      </c>
      <c r="E63" s="647" t="s">
        <v>271</v>
      </c>
      <c r="F63" s="647" t="s">
        <v>272</v>
      </c>
      <c r="G63" s="647"/>
      <c r="H63" s="648" t="s">
        <v>263</v>
      </c>
    </row>
    <row r="64" spans="1:9" ht="14.5" thickBot="1" x14ac:dyDescent="0.35">
      <c r="A64" s="649">
        <v>1</v>
      </c>
      <c r="B64" s="650">
        <f>D70*0.5</f>
        <v>10.407601155810212</v>
      </c>
      <c r="C64" s="650">
        <f>H67</f>
        <v>0.37509062696120077</v>
      </c>
      <c r="D64" s="650">
        <f>10.5*D1^0.7</f>
        <v>595.3800577905107</v>
      </c>
      <c r="E64" s="650">
        <f>0.8*D1</f>
        <v>256</v>
      </c>
      <c r="F64" s="650">
        <v>10</v>
      </c>
      <c r="G64" s="650">
        <f>(20971*A64*B64*(1-C64)*C64)/((D64+E64)*F64)</f>
        <v>6.00896339117807</v>
      </c>
      <c r="H64" s="651">
        <f>IF(G64&lt;1,1,G64)</f>
        <v>6.00896339117807</v>
      </c>
    </row>
    <row r="65" spans="1:10" ht="14.5" thickBot="1" x14ac:dyDescent="0.35"/>
    <row r="66" spans="1:10" x14ac:dyDescent="0.3">
      <c r="A66" s="646" t="s">
        <v>267</v>
      </c>
      <c r="B66" s="647" t="s">
        <v>156</v>
      </c>
      <c r="C66" s="647" t="s">
        <v>363</v>
      </c>
      <c r="D66" s="647" t="s">
        <v>471</v>
      </c>
      <c r="E66" s="647" t="s">
        <v>266</v>
      </c>
      <c r="F66" s="647" t="s">
        <v>268</v>
      </c>
      <c r="G66" s="647"/>
      <c r="H66" s="648" t="s">
        <v>269</v>
      </c>
    </row>
    <row r="67" spans="1:10" ht="14.5" thickBot="1" x14ac:dyDescent="0.35">
      <c r="A67" s="649">
        <v>1</v>
      </c>
      <c r="B67" s="650">
        <f>B44</f>
        <v>36.598065400265348</v>
      </c>
      <c r="C67" s="650">
        <f>D1</f>
        <v>320</v>
      </c>
      <c r="D67" s="650">
        <f>F8</f>
        <v>0</v>
      </c>
      <c r="E67" s="650">
        <f>350</f>
        <v>350</v>
      </c>
      <c r="F67" s="650">
        <f>D70*0.5</f>
        <v>10.407601155810212</v>
      </c>
      <c r="G67" s="650">
        <f>((A67*B67*C67)/3000+(D67/24/E67))/(A67*F67)</f>
        <v>0.37509062696120077</v>
      </c>
      <c r="H67" s="651">
        <f>IF(G67&lt;1,G67,0.99999)</f>
        <v>0.37509062696120077</v>
      </c>
    </row>
    <row r="68" spans="1:10" ht="14.5" thickBot="1" x14ac:dyDescent="0.35"/>
    <row r="69" spans="1:10" x14ac:dyDescent="0.3">
      <c r="A69" s="646" t="s">
        <v>273</v>
      </c>
      <c r="B69" s="647" t="s">
        <v>265</v>
      </c>
      <c r="C69" s="647" t="s">
        <v>471</v>
      </c>
      <c r="D69" s="647" t="s">
        <v>274</v>
      </c>
      <c r="E69" s="647" t="s">
        <v>267</v>
      </c>
      <c r="F69" s="647" t="s">
        <v>454</v>
      </c>
      <c r="G69" s="647" t="s">
        <v>275</v>
      </c>
      <c r="H69" s="647" t="s">
        <v>363</v>
      </c>
      <c r="I69" s="647"/>
      <c r="J69" s="648" t="s">
        <v>261</v>
      </c>
    </row>
    <row r="70" spans="1:10" ht="14.5" thickBot="1" x14ac:dyDescent="0.35">
      <c r="A70" s="649">
        <f>B5*D1</f>
        <v>20399.886601894344</v>
      </c>
      <c r="B70" s="653">
        <f>H5</f>
        <v>22809.486601894347</v>
      </c>
      <c r="C70" s="650">
        <f>F8</f>
        <v>0</v>
      </c>
      <c r="D70" s="650">
        <f>(0.42*D1^0.7)-3</f>
        <v>20.815202311620425</v>
      </c>
      <c r="E70" s="650">
        <v>1</v>
      </c>
      <c r="F70" s="650">
        <f>B67*0.001*D1</f>
        <v>11.71138092808491</v>
      </c>
      <c r="G70" s="650">
        <f>0.2*D1</f>
        <v>64</v>
      </c>
      <c r="H70" s="650">
        <f>D1</f>
        <v>320</v>
      </c>
      <c r="I70" s="650">
        <f>((D70*(1-E70)/F70)-(G70/H70))*(0.25*A70)/(B70+C70)</f>
        <v>-4.4717987208445359E-2</v>
      </c>
      <c r="J70" s="651">
        <f>IF(I70&lt;0,0,I70)</f>
        <v>0</v>
      </c>
    </row>
    <row r="72" spans="1:10" ht="14.5" thickBot="1" x14ac:dyDescent="0.35">
      <c r="A72" t="s">
        <v>400</v>
      </c>
    </row>
    <row r="73" spans="1:10" x14ac:dyDescent="0.3">
      <c r="A73" s="646" t="s">
        <v>298</v>
      </c>
      <c r="B73" s="647" t="s">
        <v>299</v>
      </c>
      <c r="C73" s="647" t="s">
        <v>300</v>
      </c>
      <c r="D73" s="647" t="s">
        <v>301</v>
      </c>
      <c r="E73" s="647" t="s">
        <v>109</v>
      </c>
      <c r="F73" s="647" t="s">
        <v>363</v>
      </c>
      <c r="G73" s="648" t="s">
        <v>297</v>
      </c>
    </row>
    <row r="74" spans="1:10" ht="14.5" thickBot="1" x14ac:dyDescent="0.35">
      <c r="A74" s="649">
        <f>A61</f>
        <v>6.00896339117807</v>
      </c>
      <c r="B74" s="650">
        <f>0.02+0.02*D70</f>
        <v>0.43630404623240854</v>
      </c>
      <c r="C74" s="650">
        <f>10+10*D70</f>
        <v>218.15202311620425</v>
      </c>
      <c r="D74" s="650">
        <f>I77</f>
        <v>1.0304499767433626</v>
      </c>
      <c r="E74" s="650">
        <f>185</f>
        <v>185</v>
      </c>
      <c r="F74" s="650">
        <f>D1</f>
        <v>320</v>
      </c>
      <c r="G74" s="658">
        <f>(A74*B74+0.001*C74*D74)*E74/F74</f>
        <v>1.6456500339071973</v>
      </c>
    </row>
    <row r="75" spans="1:10" ht="14.5" thickBot="1" x14ac:dyDescent="0.35"/>
    <row r="76" spans="1:10" x14ac:dyDescent="0.3">
      <c r="A76" s="646" t="s">
        <v>302</v>
      </c>
      <c r="B76" s="647" t="s">
        <v>265</v>
      </c>
      <c r="C76" s="647" t="s">
        <v>109</v>
      </c>
      <c r="D76" s="647" t="s">
        <v>471</v>
      </c>
      <c r="E76" s="647" t="s">
        <v>266</v>
      </c>
      <c r="F76" s="647" t="s">
        <v>298</v>
      </c>
      <c r="G76" s="647" t="s">
        <v>264</v>
      </c>
      <c r="H76" s="647"/>
      <c r="I76" s="648" t="s">
        <v>301</v>
      </c>
    </row>
    <row r="77" spans="1:10" ht="14.5" thickBot="1" x14ac:dyDescent="0.35">
      <c r="A77" s="649">
        <f>F67</f>
        <v>10.407601155810212</v>
      </c>
      <c r="B77" s="653">
        <f>H5</f>
        <v>22809.486601894347</v>
      </c>
      <c r="C77" s="650">
        <f>185</f>
        <v>185</v>
      </c>
      <c r="D77" s="650">
        <f>F8</f>
        <v>0</v>
      </c>
      <c r="E77" s="650">
        <f>350</f>
        <v>350</v>
      </c>
      <c r="F77" s="650">
        <f>A61</f>
        <v>6.00896339117807</v>
      </c>
      <c r="G77" s="650">
        <f>B61</f>
        <v>18.733682080458383</v>
      </c>
      <c r="H77" s="650">
        <f>(1/A77)*(B77/C77+D77/E77-F77*G77)</f>
        <v>1.0304499767433626</v>
      </c>
      <c r="I77" s="651">
        <f>IF(H77&lt;0,0,H77)</f>
        <v>1.0304499767433626</v>
      </c>
    </row>
  </sheetData>
  <phoneticPr fontId="0" type="noConversion"/>
  <pageMargins left="0.78740157499999996" right="0.78740157499999996" top="0.984251969" bottom="0.984251969" header="0.4921259845" footer="0.4921259845"/>
  <pageSetup paperSize="9" orientation="portrait" horizontalDpi="300" verticalDpi="300" copies="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0"/>
  <dimension ref="A1:C13"/>
  <sheetViews>
    <sheetView showGridLines="0" workbookViewId="0"/>
  </sheetViews>
  <sheetFormatPr baseColWidth="10" defaultRowHeight="14" x14ac:dyDescent="0.3"/>
  <cols>
    <col min="1" max="1" width="17.58203125" customWidth="1"/>
  </cols>
  <sheetData>
    <row r="1" spans="1:3" ht="14.5" thickBot="1" x14ac:dyDescent="0.35">
      <c r="A1" s="1331" t="s">
        <v>805</v>
      </c>
      <c r="B1" s="1332"/>
    </row>
    <row r="2" spans="1:3" x14ac:dyDescent="0.3">
      <c r="A2" s="646" t="s">
        <v>793</v>
      </c>
      <c r="B2" s="648">
        <v>1.1000000000000001</v>
      </c>
      <c r="C2" s="1565"/>
    </row>
    <row r="3" spans="1:3" x14ac:dyDescent="0.3">
      <c r="A3" s="663" t="s">
        <v>794</v>
      </c>
      <c r="B3" s="664">
        <v>1.1000000000000001</v>
      </c>
      <c r="C3" s="1565"/>
    </row>
    <row r="4" spans="1:3" x14ac:dyDescent="0.3">
      <c r="A4" s="663" t="s">
        <v>795</v>
      </c>
      <c r="B4" s="664">
        <v>1.1000000000000001</v>
      </c>
      <c r="C4" s="1565"/>
    </row>
    <row r="5" spans="1:3" x14ac:dyDescent="0.3">
      <c r="A5" s="663" t="s">
        <v>796</v>
      </c>
      <c r="B5" s="664">
        <v>1.1000000000000001</v>
      </c>
      <c r="C5" s="1565"/>
    </row>
    <row r="6" spans="1:3" x14ac:dyDescent="0.3">
      <c r="A6" s="663" t="s">
        <v>797</v>
      </c>
      <c r="B6" s="664">
        <v>1.2</v>
      </c>
      <c r="C6" s="1565"/>
    </row>
    <row r="7" spans="1:3" x14ac:dyDescent="0.3">
      <c r="A7" s="663" t="s">
        <v>798</v>
      </c>
      <c r="B7" s="664">
        <v>0.7</v>
      </c>
      <c r="C7" s="1565"/>
    </row>
    <row r="8" spans="1:3" x14ac:dyDescent="0.3">
      <c r="A8" s="663" t="s">
        <v>799</v>
      </c>
      <c r="B8" s="1330">
        <v>0</v>
      </c>
    </row>
    <row r="9" spans="1:3" x14ac:dyDescent="0.3">
      <c r="A9" s="663" t="s">
        <v>800</v>
      </c>
      <c r="B9" s="664">
        <v>1.3</v>
      </c>
    </row>
    <row r="10" spans="1:3" x14ac:dyDescent="0.3">
      <c r="A10" s="663" t="s">
        <v>801</v>
      </c>
      <c r="B10" s="664">
        <v>0.1</v>
      </c>
    </row>
    <row r="11" spans="1:3" x14ac:dyDescent="0.3">
      <c r="A11" s="663" t="s">
        <v>1</v>
      </c>
      <c r="B11" s="1454">
        <f>'Anlage (04)'!E34</f>
        <v>0</v>
      </c>
      <c r="C11" s="1565"/>
    </row>
    <row r="12" spans="1:3" x14ac:dyDescent="0.3">
      <c r="A12" s="663" t="s">
        <v>225</v>
      </c>
      <c r="B12" s="664">
        <v>1.8</v>
      </c>
      <c r="C12" s="1565"/>
    </row>
    <row r="13" spans="1:3" ht="14.5" thickBot="1" x14ac:dyDescent="0.35">
      <c r="A13" s="649" t="s">
        <v>343</v>
      </c>
      <c r="B13" s="651">
        <v>0.2</v>
      </c>
      <c r="C13" s="1565"/>
    </row>
  </sheetData>
  <phoneticPr fontId="52"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7">
    <pageSetUpPr fitToPage="1"/>
  </sheetPr>
  <dimension ref="A1:L48"/>
  <sheetViews>
    <sheetView showGridLines="0" zoomScaleNormal="100" zoomScaleSheetLayoutView="100" workbookViewId="0">
      <selection activeCell="F13" sqref="F13"/>
    </sheetView>
  </sheetViews>
  <sheetFormatPr baseColWidth="10" defaultColWidth="0" defaultRowHeight="14" zeroHeight="1" x14ac:dyDescent="0.3"/>
  <cols>
    <col min="1" max="1" width="4" style="1392" customWidth="1"/>
    <col min="2" max="2" width="10.25" style="301" customWidth="1"/>
    <col min="3" max="4" width="11" style="301" customWidth="1"/>
    <col min="5" max="5" width="4.83203125" style="301" customWidth="1"/>
    <col min="6" max="6" width="32.75" style="301" customWidth="1"/>
    <col min="7" max="7" width="6.33203125" style="1394" customWidth="1"/>
    <col min="8" max="8" width="0.25" style="301" customWidth="1"/>
    <col min="9" max="9" width="6.58203125" style="301" hidden="1" customWidth="1"/>
    <col min="10" max="10" width="11" style="301" hidden="1" customWidth="1"/>
    <col min="11" max="11" width="5.08203125" style="301" hidden="1" customWidth="1"/>
    <col min="12" max="12" width="18.25" style="301" hidden="1" customWidth="1"/>
    <col min="13" max="16384" width="11" style="301" hidden="1"/>
  </cols>
  <sheetData>
    <row r="1" spans="1:10" s="1387" customFormat="1" ht="20.5" thickBot="1" x14ac:dyDescent="0.45">
      <c r="A1" s="1383" t="s">
        <v>74</v>
      </c>
      <c r="B1" s="1384"/>
      <c r="C1" s="1384"/>
      <c r="D1" s="1384"/>
      <c r="E1" s="1384"/>
      <c r="F1" s="1385">
        <f>F13</f>
        <v>0</v>
      </c>
      <c r="G1" s="1386" t="str">
        <f>"1/" &amp;Rechnungen!D647</f>
        <v>1/11</v>
      </c>
    </row>
    <row r="2" spans="1:10" s="1390" customFormat="1" ht="15.5" x14ac:dyDescent="0.35">
      <c r="A2" s="1388" t="s">
        <v>358</v>
      </c>
      <c r="B2" s="1389" t="s">
        <v>195</v>
      </c>
      <c r="C2" s="1267"/>
      <c r="G2" s="1391"/>
    </row>
    <row r="3" spans="1:10" x14ac:dyDescent="0.3">
      <c r="F3" s="1393"/>
      <c r="H3" s="1395"/>
      <c r="I3" s="1393"/>
    </row>
    <row r="4" spans="1:10" ht="15" customHeight="1" x14ac:dyDescent="0.35">
      <c r="B4" s="1595"/>
      <c r="C4" s="1594"/>
      <c r="D4" s="1594"/>
      <c r="E4" s="1594"/>
      <c r="F4" s="1594"/>
      <c r="H4" s="1395"/>
      <c r="I4" s="1393"/>
    </row>
    <row r="5" spans="1:10" ht="15" customHeight="1" x14ac:dyDescent="0.35">
      <c r="B5" s="1595"/>
      <c r="C5" s="1594"/>
      <c r="D5" s="1594"/>
      <c r="E5" s="1594"/>
      <c r="F5" s="1594"/>
      <c r="H5" s="1395"/>
      <c r="I5" s="1393"/>
    </row>
    <row r="6" spans="1:10" ht="15" customHeight="1" x14ac:dyDescent="0.35">
      <c r="B6" s="1595"/>
      <c r="C6" s="1594"/>
      <c r="D6" s="1594"/>
      <c r="E6" s="1594"/>
      <c r="F6" s="1594"/>
      <c r="H6" s="1395"/>
      <c r="I6" s="1393"/>
    </row>
    <row r="7" spans="1:10" ht="15" customHeight="1" x14ac:dyDescent="0.35">
      <c r="B7" s="1595"/>
      <c r="C7" s="1594"/>
      <c r="D7" s="1594"/>
      <c r="E7" s="1594"/>
      <c r="F7" s="1594"/>
      <c r="H7" s="1395"/>
      <c r="I7" s="1393"/>
    </row>
    <row r="8" spans="1:10" ht="15.5" x14ac:dyDescent="0.35">
      <c r="B8" s="1396"/>
      <c r="C8" s="1396"/>
      <c r="D8" s="1396"/>
      <c r="E8" s="1396"/>
      <c r="F8" s="1396"/>
      <c r="H8" s="1395"/>
      <c r="I8" s="1393"/>
    </row>
    <row r="9" spans="1:10" ht="15.5" x14ac:dyDescent="0.35">
      <c r="B9" s="1396"/>
      <c r="C9" s="1396"/>
      <c r="D9" s="1397"/>
      <c r="E9" s="1398" t="str">
        <f>LIZENZ!A2</f>
        <v>FREE (V7.3)</v>
      </c>
      <c r="F9" s="1396"/>
      <c r="H9" s="1395"/>
      <c r="I9" s="1393"/>
    </row>
    <row r="10" spans="1:10" x14ac:dyDescent="0.3">
      <c r="A10" s="1399"/>
      <c r="B10" s="1400"/>
      <c r="C10" s="1400"/>
      <c r="D10" s="1400"/>
      <c r="E10" s="1400"/>
      <c r="F10" s="1401"/>
      <c r="G10" s="1402"/>
      <c r="H10" s="1395"/>
      <c r="I10" s="1393"/>
    </row>
    <row r="11" spans="1:10" s="1403" customFormat="1" ht="15.5" x14ac:dyDescent="0.35">
      <c r="A11" s="1388" t="s">
        <v>174</v>
      </c>
      <c r="B11" s="1389" t="s">
        <v>787</v>
      </c>
      <c r="G11" s="1404"/>
    </row>
    <row r="12" spans="1:10" x14ac:dyDescent="0.3"/>
    <row r="13" spans="1:10" s="1408" customFormat="1" ht="15.5" x14ac:dyDescent="0.35">
      <c r="A13" s="1405"/>
      <c r="B13" s="1718"/>
      <c r="C13" s="1594"/>
      <c r="D13" s="1594"/>
      <c r="E13" s="1267"/>
      <c r="F13" s="1568"/>
      <c r="G13" s="1406"/>
      <c r="H13" s="1407"/>
      <c r="I13" s="1267"/>
      <c r="J13" s="1267"/>
    </row>
    <row r="14" spans="1:10" s="1408" customFormat="1" ht="23.25" customHeight="1" x14ac:dyDescent="0.35">
      <c r="A14" s="1405"/>
      <c r="D14" s="1409"/>
      <c r="E14" s="1410"/>
      <c r="F14" s="1410"/>
      <c r="G14" s="1411"/>
      <c r="H14" s="1410"/>
      <c r="I14" s="1396"/>
    </row>
    <row r="15" spans="1:10" s="1408" customFormat="1" ht="15.5" x14ac:dyDescent="0.35">
      <c r="A15" s="1405"/>
      <c r="B15" s="1592"/>
      <c r="C15" s="1593"/>
      <c r="D15" s="1593"/>
      <c r="E15" s="1593"/>
      <c r="F15" s="1593"/>
      <c r="G15" s="1411"/>
      <c r="H15" s="1412"/>
      <c r="I15" s="1412"/>
      <c r="J15" s="1412"/>
    </row>
    <row r="16" spans="1:10" s="1408" customFormat="1" ht="15.5" x14ac:dyDescent="0.35">
      <c r="A16" s="1405"/>
      <c r="B16" s="1592"/>
      <c r="C16" s="1593"/>
      <c r="D16" s="1593"/>
      <c r="E16" s="1593"/>
      <c r="F16" s="1593"/>
      <c r="G16" s="1411"/>
      <c r="H16" s="645"/>
      <c r="I16" s="645"/>
      <c r="J16" s="645"/>
    </row>
    <row r="17" spans="1:10" s="1408" customFormat="1" ht="15.5" x14ac:dyDescent="0.35">
      <c r="A17" s="1405"/>
      <c r="B17" s="1592"/>
      <c r="C17" s="1593"/>
      <c r="D17" s="1593"/>
      <c r="E17" s="1593"/>
      <c r="F17" s="1593"/>
      <c r="G17" s="1411"/>
      <c r="H17" s="645"/>
      <c r="I17" s="645"/>
      <c r="J17" s="645"/>
    </row>
    <row r="18" spans="1:10" s="1408" customFormat="1" ht="15.5" x14ac:dyDescent="0.35">
      <c r="A18" s="1405"/>
      <c r="B18" s="1592"/>
      <c r="C18" s="1593"/>
      <c r="D18" s="1593"/>
      <c r="E18" s="1593"/>
      <c r="F18" s="1593"/>
      <c r="G18" s="1413"/>
      <c r="H18" s="645"/>
      <c r="I18" s="645"/>
      <c r="J18" s="645"/>
    </row>
    <row r="19" spans="1:10" ht="22.5" customHeight="1" x14ac:dyDescent="0.3">
      <c r="F19" s="1393"/>
      <c r="H19" s="1395"/>
      <c r="I19" s="1393"/>
    </row>
    <row r="20" spans="1:10" s="1408" customFormat="1" ht="16.5" customHeight="1" x14ac:dyDescent="0.35">
      <c r="A20" s="1405"/>
      <c r="B20" s="1592"/>
      <c r="C20" s="1593"/>
      <c r="D20" s="1593"/>
      <c r="E20" s="1593"/>
      <c r="F20" s="1593"/>
      <c r="G20" s="1413"/>
      <c r="I20" s="1396"/>
    </row>
    <row r="21" spans="1:10" s="1408" customFormat="1" ht="16.5" customHeight="1" x14ac:dyDescent="0.35">
      <c r="A21" s="1405"/>
      <c r="B21" s="1592"/>
      <c r="C21" s="1593"/>
      <c r="D21" s="1593"/>
      <c r="E21" s="1593"/>
      <c r="F21" s="1593"/>
      <c r="G21" s="1394"/>
      <c r="H21" s="301"/>
      <c r="I21" s="301"/>
      <c r="J21" s="301"/>
    </row>
    <row r="22" spans="1:10" s="1408" customFormat="1" ht="16.5" customHeight="1" x14ac:dyDescent="0.35">
      <c r="A22" s="1405"/>
      <c r="B22" s="1592"/>
      <c r="C22" s="1593"/>
      <c r="D22" s="1593"/>
      <c r="E22" s="1593"/>
      <c r="F22" s="1593"/>
      <c r="G22" s="1394"/>
      <c r="H22" s="301"/>
      <c r="I22" s="301"/>
      <c r="J22" s="301"/>
    </row>
    <row r="23" spans="1:10" s="1408" customFormat="1" ht="16.5" customHeight="1" x14ac:dyDescent="0.35">
      <c r="A23" s="1405"/>
      <c r="B23" s="1592"/>
      <c r="C23" s="1593"/>
      <c r="D23" s="1593"/>
      <c r="E23" s="1593"/>
      <c r="F23" s="1593"/>
      <c r="G23" s="1394"/>
      <c r="H23" s="301"/>
      <c r="I23" s="301"/>
      <c r="J23" s="301"/>
    </row>
    <row r="24" spans="1:10" s="1408" customFormat="1" ht="16.5" customHeight="1" x14ac:dyDescent="0.35">
      <c r="A24" s="1405"/>
      <c r="B24" s="1592"/>
      <c r="C24" s="1593"/>
      <c r="D24" s="1593"/>
      <c r="E24" s="1593"/>
      <c r="F24" s="1593"/>
      <c r="G24" s="1394"/>
      <c r="H24" s="301"/>
      <c r="I24" s="301"/>
      <c r="J24" s="301"/>
    </row>
    <row r="25" spans="1:10" s="1408" customFormat="1" ht="22.5" customHeight="1" x14ac:dyDescent="0.35">
      <c r="A25" s="1405"/>
      <c r="D25" s="1409"/>
      <c r="E25" s="1409"/>
      <c r="F25" s="1409"/>
      <c r="G25" s="1406"/>
      <c r="H25" s="1409"/>
    </row>
    <row r="26" spans="1:10" s="1408" customFormat="1" ht="16.5" customHeight="1" x14ac:dyDescent="0.35">
      <c r="A26" s="1405"/>
      <c r="B26" s="1592"/>
      <c r="C26" s="1593"/>
      <c r="D26" s="1593"/>
      <c r="E26" s="1593"/>
      <c r="F26" s="1593"/>
      <c r="G26" s="1413"/>
      <c r="I26" s="1396"/>
    </row>
    <row r="27" spans="1:10" s="1408" customFormat="1" ht="16.5" customHeight="1" x14ac:dyDescent="0.35">
      <c r="A27" s="1405"/>
      <c r="B27" s="1592"/>
      <c r="C27" s="1593"/>
      <c r="D27" s="1593"/>
      <c r="E27" s="1593"/>
      <c r="F27" s="1593"/>
      <c r="G27" s="1394"/>
      <c r="H27" s="301"/>
      <c r="I27" s="301"/>
      <c r="J27" s="301"/>
    </row>
    <row r="28" spans="1:10" s="1408" customFormat="1" ht="16.5" customHeight="1" x14ac:dyDescent="0.35">
      <c r="A28" s="1405"/>
      <c r="B28" s="1592"/>
      <c r="C28" s="1593"/>
      <c r="D28" s="1593"/>
      <c r="E28" s="1593"/>
      <c r="F28" s="1593"/>
      <c r="G28" s="1394"/>
      <c r="H28" s="301"/>
      <c r="I28" s="301"/>
      <c r="J28" s="301"/>
    </row>
    <row r="29" spans="1:10" s="1408" customFormat="1" ht="16.5" customHeight="1" x14ac:dyDescent="0.35">
      <c r="A29" s="1405"/>
      <c r="B29" s="1592"/>
      <c r="C29" s="1593"/>
      <c r="D29" s="1593"/>
      <c r="E29" s="1593"/>
      <c r="F29" s="1593"/>
      <c r="G29" s="1394"/>
      <c r="H29" s="301"/>
      <c r="I29" s="301"/>
      <c r="J29" s="301"/>
    </row>
    <row r="30" spans="1:10" s="1408" customFormat="1" ht="16.5" customHeight="1" x14ac:dyDescent="0.35">
      <c r="A30" s="1414"/>
      <c r="B30" s="1415"/>
      <c r="C30" s="1415"/>
      <c r="D30" s="1416"/>
      <c r="E30" s="1416"/>
      <c r="F30" s="1416"/>
      <c r="G30" s="1417"/>
      <c r="H30" s="1409"/>
    </row>
    <row r="31" spans="1:10" s="1403" customFormat="1" ht="15.5" x14ac:dyDescent="0.35">
      <c r="A31" s="1388" t="s">
        <v>177</v>
      </c>
      <c r="B31" s="1389" t="s">
        <v>625</v>
      </c>
      <c r="G31" s="1404"/>
    </row>
    <row r="32" spans="1:10" s="1408" customFormat="1" ht="15.5" x14ac:dyDescent="0.35">
      <c r="A32" s="1405"/>
      <c r="D32" s="1418"/>
      <c r="E32" s="1419"/>
      <c r="F32" s="1419"/>
      <c r="G32" s="1420"/>
      <c r="H32" s="1419"/>
      <c r="I32" s="1396"/>
    </row>
    <row r="33" spans="1:10" s="1408" customFormat="1" ht="15.5" x14ac:dyDescent="0.35">
      <c r="A33" s="1405"/>
      <c r="B33" s="1596"/>
      <c r="C33" s="1594"/>
      <c r="D33" s="1594"/>
      <c r="E33" s="1267"/>
      <c r="F33" s="1233"/>
      <c r="G33" s="1413"/>
    </row>
    <row r="34" spans="1:10" s="1408" customFormat="1" ht="21.75" customHeight="1" x14ac:dyDescent="0.35">
      <c r="A34" s="1405"/>
      <c r="G34" s="1413"/>
    </row>
    <row r="35" spans="1:10" s="1408" customFormat="1" ht="15" customHeight="1" x14ac:dyDescent="0.35">
      <c r="A35" s="1405"/>
      <c r="B35" s="1592"/>
      <c r="C35" s="1593"/>
      <c r="D35" s="1593"/>
      <c r="E35" s="1593"/>
      <c r="F35" s="1593"/>
      <c r="G35" s="1413"/>
      <c r="I35" s="1396"/>
    </row>
    <row r="36" spans="1:10" ht="15" customHeight="1" x14ac:dyDescent="0.3">
      <c r="B36" s="1592"/>
      <c r="C36" s="1593"/>
      <c r="D36" s="1593"/>
      <c r="E36" s="1593"/>
      <c r="F36" s="1593"/>
      <c r="H36" s="1395"/>
      <c r="I36" s="1393"/>
    </row>
    <row r="37" spans="1:10" ht="15" customHeight="1" x14ac:dyDescent="0.3">
      <c r="B37" s="1592"/>
      <c r="C37" s="1593"/>
      <c r="D37" s="1593"/>
      <c r="E37" s="1593"/>
      <c r="F37" s="1593"/>
      <c r="H37" s="1395"/>
      <c r="I37" s="1393"/>
    </row>
    <row r="38" spans="1:10" ht="15" customHeight="1" x14ac:dyDescent="0.3">
      <c r="B38" s="1592"/>
      <c r="C38" s="1593"/>
      <c r="D38" s="1593"/>
      <c r="E38" s="1593"/>
      <c r="F38" s="1593"/>
      <c r="H38" s="1395"/>
      <c r="I38" s="1393"/>
    </row>
    <row r="39" spans="1:10" ht="15" customHeight="1" x14ac:dyDescent="0.3">
      <c r="B39" s="1592"/>
      <c r="C39" s="1593"/>
      <c r="D39" s="1593"/>
      <c r="E39" s="1593"/>
      <c r="F39" s="1593"/>
      <c r="H39" s="1395"/>
      <c r="I39" s="1393"/>
    </row>
    <row r="40" spans="1:10" ht="15" customHeight="1" x14ac:dyDescent="0.3">
      <c r="B40" s="1592"/>
      <c r="C40" s="1593"/>
      <c r="D40" s="1593"/>
      <c r="E40" s="1593"/>
      <c r="F40" s="1593"/>
      <c r="H40" s="1395"/>
      <c r="I40" s="1393"/>
    </row>
    <row r="41" spans="1:10" ht="15" customHeight="1" x14ac:dyDescent="0.3">
      <c r="B41" s="1592"/>
      <c r="C41" s="1593"/>
      <c r="D41" s="1593"/>
      <c r="E41" s="1593"/>
      <c r="F41" s="1593"/>
      <c r="H41" s="1395"/>
      <c r="I41" s="1393"/>
    </row>
    <row r="42" spans="1:10" ht="15" customHeight="1" x14ac:dyDescent="0.3">
      <c r="B42" s="1592"/>
      <c r="C42" s="1593"/>
      <c r="D42" s="1593"/>
      <c r="E42" s="1593"/>
      <c r="F42" s="1593"/>
      <c r="H42" s="1395"/>
      <c r="I42" s="1393"/>
    </row>
    <row r="43" spans="1:10" ht="15" customHeight="1" x14ac:dyDescent="0.3">
      <c r="B43" s="1592"/>
      <c r="C43" s="1593"/>
      <c r="D43" s="1593"/>
      <c r="E43" s="1593"/>
      <c r="F43" s="1593"/>
      <c r="H43" s="1395"/>
      <c r="I43" s="1393"/>
    </row>
    <row r="44" spans="1:10" ht="15" customHeight="1" x14ac:dyDescent="0.3">
      <c r="B44" s="1592"/>
      <c r="C44" s="1593"/>
      <c r="D44" s="1593"/>
      <c r="E44" s="1593"/>
      <c r="F44" s="1593"/>
      <c r="H44" s="1395"/>
      <c r="I44" s="1393"/>
    </row>
    <row r="45" spans="1:10" ht="15" customHeight="1" x14ac:dyDescent="0.3">
      <c r="B45" s="1592"/>
      <c r="C45" s="1593"/>
      <c r="D45" s="1593"/>
      <c r="E45" s="1593"/>
      <c r="F45" s="1593"/>
      <c r="H45" s="1395"/>
      <c r="I45" s="1393"/>
    </row>
    <row r="46" spans="1:10" ht="15" customHeight="1" thickBot="1" x14ac:dyDescent="0.35">
      <c r="H46" s="1395"/>
      <c r="I46" s="1393"/>
    </row>
    <row r="47" spans="1:10" s="1408" customFormat="1" ht="15" customHeight="1" thickBot="1" x14ac:dyDescent="0.4">
      <c r="A47" s="1421" t="s">
        <v>1408</v>
      </c>
      <c r="B47" s="1422"/>
      <c r="C47" s="1422"/>
      <c r="D47" s="1422"/>
      <c r="E47" s="1422"/>
      <c r="F47" s="1422"/>
      <c r="G47" s="1423"/>
      <c r="H47" s="301"/>
      <c r="I47" s="301"/>
      <c r="J47" s="301"/>
    </row>
    <row r="48" spans="1:10" ht="2.25" customHeight="1" x14ac:dyDescent="0.3">
      <c r="A48" s="301"/>
      <c r="G48" s="301"/>
    </row>
  </sheetData>
  <sheetProtection algorithmName="SHA-512" hashValue="+SdYK34b8dAR/k5W8HcJVk9hySCDhx6273mqA8LVWehYrdrQ0K2C2XdQctoNlmw3eGa1oAiVZbquvi14faYWGQ==" saltValue="f2yfANh2PxzyNd+u4NrjtQ==" spinCount="100000" sheet="1" objects="1" scenarios="1"/>
  <customSheetViews>
    <customSheetView guid="{586D4F31-1FA3-11D6-B431-009027A4C716}" scale="106" showGridLines="0" showRuler="0">
      <pageMargins left="0.78740157499999996" right="0.78740157499999996" top="0.984251969" bottom="0.984251969" header="0.4921259845" footer="0.4921259845"/>
      <pageSetup paperSize="9" scale="97" orientation="portrait" horizontalDpi="300" verticalDpi="300" r:id="rId1"/>
      <headerFooter alignWithMargins="0"/>
    </customSheetView>
  </customSheetViews>
  <mergeCells count="30">
    <mergeCell ref="B44:F44"/>
    <mergeCell ref="B45:F45"/>
    <mergeCell ref="B40:F40"/>
    <mergeCell ref="B41:F41"/>
    <mergeCell ref="B42:F42"/>
    <mergeCell ref="B43:F43"/>
    <mergeCell ref="B24:F24"/>
    <mergeCell ref="B26:F26"/>
    <mergeCell ref="B39:F39"/>
    <mergeCell ref="B27:F27"/>
    <mergeCell ref="B28:F28"/>
    <mergeCell ref="B29:F29"/>
    <mergeCell ref="B35:F35"/>
    <mergeCell ref="B33:D33"/>
    <mergeCell ref="B36:F36"/>
    <mergeCell ref="B37:F37"/>
    <mergeCell ref="B38:F38"/>
    <mergeCell ref="B4:F4"/>
    <mergeCell ref="B5:F5"/>
    <mergeCell ref="B6:F6"/>
    <mergeCell ref="B7:F7"/>
    <mergeCell ref="B22:F22"/>
    <mergeCell ref="B23:F23"/>
    <mergeCell ref="B21:F21"/>
    <mergeCell ref="B20:F20"/>
    <mergeCell ref="B13:D13"/>
    <mergeCell ref="B15:F15"/>
    <mergeCell ref="B17:F17"/>
    <mergeCell ref="B18:F18"/>
    <mergeCell ref="B16:F16"/>
  </mergeCells>
  <phoneticPr fontId="0" type="noConversion"/>
  <pageMargins left="0.78740157480314965" right="0.78740157480314965" top="0.98425196850393704" bottom="0.98425196850393704" header="0.51181102362204722" footer="0.51181102362204722"/>
  <pageSetup paperSize="9" scale="95"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5299" r:id="rId5" name="Group Box 3">
              <controlPr defaultSize="0" autoFill="0" autoPict="0">
                <anchor moveWithCells="1">
                  <from>
                    <xdr:col>0</xdr:col>
                    <xdr:colOff>247650</xdr:colOff>
                    <xdr:row>11</xdr:row>
                    <xdr:rowOff>114300</xdr:rowOff>
                  </from>
                  <to>
                    <xdr:col>4</xdr:col>
                    <xdr:colOff>50800</xdr:colOff>
                    <xdr:row>13</xdr:row>
                    <xdr:rowOff>50800</xdr:rowOff>
                  </to>
                </anchor>
              </controlPr>
            </control>
          </mc:Choice>
        </mc:AlternateContent>
        <mc:AlternateContent xmlns:mc="http://schemas.openxmlformats.org/markup-compatibility/2006">
          <mc:Choice Requires="x14">
            <control shapeId="55300" r:id="rId6" name="Group Box 4">
              <controlPr defaultSize="0" autoFill="0" autoPict="0">
                <anchor moveWithCells="1">
                  <from>
                    <xdr:col>0</xdr:col>
                    <xdr:colOff>247650</xdr:colOff>
                    <xdr:row>31</xdr:row>
                    <xdr:rowOff>114300</xdr:rowOff>
                  </from>
                  <to>
                    <xdr:col>4</xdr:col>
                    <xdr:colOff>57150</xdr:colOff>
                    <xdr:row>33</xdr:row>
                    <xdr:rowOff>69850</xdr:rowOff>
                  </to>
                </anchor>
              </controlPr>
            </control>
          </mc:Choice>
        </mc:AlternateContent>
        <mc:AlternateContent xmlns:mc="http://schemas.openxmlformats.org/markup-compatibility/2006">
          <mc:Choice Requires="x14">
            <control shapeId="55301" r:id="rId7" name="Group Box 5">
              <controlPr defaultSize="0" autoFill="0" autoPict="0">
                <anchor moveWithCells="1">
                  <from>
                    <xdr:col>4</xdr:col>
                    <xdr:colOff>317500</xdr:colOff>
                    <xdr:row>31</xdr:row>
                    <xdr:rowOff>107950</xdr:rowOff>
                  </from>
                  <to>
                    <xdr:col>6</xdr:col>
                    <xdr:colOff>95250</xdr:colOff>
                    <xdr:row>33</xdr:row>
                    <xdr:rowOff>57150</xdr:rowOff>
                  </to>
                </anchor>
              </controlPr>
            </control>
          </mc:Choice>
        </mc:AlternateContent>
        <mc:AlternateContent xmlns:mc="http://schemas.openxmlformats.org/markup-compatibility/2006">
          <mc:Choice Requires="x14">
            <control shapeId="55328" r:id="rId8" name="Group Box 32">
              <controlPr defaultSize="0" autoFill="0" autoPict="0">
                <anchor moveWithCells="1">
                  <from>
                    <xdr:col>0</xdr:col>
                    <xdr:colOff>241300</xdr:colOff>
                    <xdr:row>13</xdr:row>
                    <xdr:rowOff>228600</xdr:rowOff>
                  </from>
                  <to>
                    <xdr:col>6</xdr:col>
                    <xdr:colOff>107950</xdr:colOff>
                    <xdr:row>18</xdr:row>
                    <xdr:rowOff>69850</xdr:rowOff>
                  </to>
                </anchor>
              </controlPr>
            </control>
          </mc:Choice>
        </mc:AlternateContent>
        <mc:AlternateContent xmlns:mc="http://schemas.openxmlformats.org/markup-compatibility/2006">
          <mc:Choice Requires="x14">
            <control shapeId="55329" r:id="rId9" name="Group Box 33">
              <controlPr defaultSize="0" autoFill="0" autoPict="0">
                <anchor moveWithCells="1">
                  <from>
                    <xdr:col>0</xdr:col>
                    <xdr:colOff>228600</xdr:colOff>
                    <xdr:row>18</xdr:row>
                    <xdr:rowOff>228600</xdr:rowOff>
                  </from>
                  <to>
                    <xdr:col>6</xdr:col>
                    <xdr:colOff>107950</xdr:colOff>
                    <xdr:row>24</xdr:row>
                    <xdr:rowOff>50800</xdr:rowOff>
                  </to>
                </anchor>
              </controlPr>
            </control>
          </mc:Choice>
        </mc:AlternateContent>
        <mc:AlternateContent xmlns:mc="http://schemas.openxmlformats.org/markup-compatibility/2006">
          <mc:Choice Requires="x14">
            <control shapeId="55330" r:id="rId10" name="Group Box 34">
              <controlPr defaultSize="0" autoFill="0" autoPict="0">
                <anchor moveWithCells="1">
                  <from>
                    <xdr:col>0</xdr:col>
                    <xdr:colOff>241300</xdr:colOff>
                    <xdr:row>2</xdr:row>
                    <xdr:rowOff>107950</xdr:rowOff>
                  </from>
                  <to>
                    <xdr:col>6</xdr:col>
                    <xdr:colOff>88900</xdr:colOff>
                    <xdr:row>9</xdr:row>
                    <xdr:rowOff>50800</xdr:rowOff>
                  </to>
                </anchor>
              </controlPr>
            </control>
          </mc:Choice>
        </mc:AlternateContent>
        <mc:AlternateContent xmlns:mc="http://schemas.openxmlformats.org/markup-compatibility/2006">
          <mc:Choice Requires="x14">
            <control shapeId="55331" r:id="rId11" name="Group Box 35">
              <controlPr defaultSize="0" autoFill="0" autoPict="0">
                <anchor moveWithCells="1">
                  <from>
                    <xdr:col>0</xdr:col>
                    <xdr:colOff>241300</xdr:colOff>
                    <xdr:row>33</xdr:row>
                    <xdr:rowOff>209550</xdr:rowOff>
                  </from>
                  <to>
                    <xdr:col>6</xdr:col>
                    <xdr:colOff>95250</xdr:colOff>
                    <xdr:row>45</xdr:row>
                    <xdr:rowOff>57150</xdr:rowOff>
                  </to>
                </anchor>
              </controlPr>
            </control>
          </mc:Choice>
        </mc:AlternateContent>
        <mc:AlternateContent xmlns:mc="http://schemas.openxmlformats.org/markup-compatibility/2006">
          <mc:Choice Requires="x14">
            <control shapeId="55333" r:id="rId12" name="Group Box 37">
              <controlPr defaultSize="0" autoFill="0" autoPict="0">
                <anchor moveWithCells="1">
                  <from>
                    <xdr:col>4</xdr:col>
                    <xdr:colOff>285750</xdr:colOff>
                    <xdr:row>11</xdr:row>
                    <xdr:rowOff>114300</xdr:rowOff>
                  </from>
                  <to>
                    <xdr:col>6</xdr:col>
                    <xdr:colOff>107950</xdr:colOff>
                    <xdr:row>13</xdr:row>
                    <xdr:rowOff>50800</xdr:rowOff>
                  </to>
                </anchor>
              </controlPr>
            </control>
          </mc:Choice>
        </mc:AlternateContent>
        <mc:AlternateContent xmlns:mc="http://schemas.openxmlformats.org/markup-compatibility/2006">
          <mc:Choice Requires="x14">
            <control shapeId="55336" r:id="rId13" name="Group Box 40">
              <controlPr defaultSize="0" autoFill="0" autoPict="0">
                <anchor moveWithCells="1">
                  <from>
                    <xdr:col>0</xdr:col>
                    <xdr:colOff>241300</xdr:colOff>
                    <xdr:row>24</xdr:row>
                    <xdr:rowOff>222250</xdr:rowOff>
                  </from>
                  <to>
                    <xdr:col>6</xdr:col>
                    <xdr:colOff>107950</xdr:colOff>
                    <xdr:row>29</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8"/>
  <dimension ref="A1:V146"/>
  <sheetViews>
    <sheetView showGridLines="0" zoomScale="85" zoomScaleNormal="85" zoomScaleSheetLayoutView="100" workbookViewId="0">
      <pane ySplit="4" topLeftCell="A5" activePane="bottomLeft" state="frozen"/>
      <selection activeCell="A3" sqref="A3"/>
      <selection pane="bottomLeft"/>
    </sheetView>
  </sheetViews>
  <sheetFormatPr baseColWidth="10" defaultColWidth="0" defaultRowHeight="12.5" zeroHeight="1" x14ac:dyDescent="0.25"/>
  <cols>
    <col min="1" max="5" width="5.58203125" style="1239" customWidth="1"/>
    <col min="6" max="6" width="6.83203125" style="1239" customWidth="1"/>
    <col min="7" max="7" width="8.08203125" style="1239" customWidth="1"/>
    <col min="8" max="8" width="4.5" style="1239" customWidth="1"/>
    <col min="9" max="9" width="4.75" style="1239" customWidth="1"/>
    <col min="10" max="10" width="5.58203125" style="1239" customWidth="1"/>
    <col min="11" max="11" width="9" style="1239" customWidth="1"/>
    <col min="12" max="12" width="8" style="1239" customWidth="1"/>
    <col min="13" max="13" width="8.33203125" style="1239" customWidth="1"/>
    <col min="14" max="14" width="6.83203125" style="1239" customWidth="1"/>
    <col min="15" max="16" width="5.5" style="1239" customWidth="1"/>
    <col min="17" max="19" width="5.75" style="1239" customWidth="1"/>
    <col min="20" max="20" width="7.08203125" style="1463" customWidth="1"/>
    <col min="21" max="22" width="5.58203125" style="1463" customWidth="1"/>
    <col min="23" max="23" width="5.58203125" style="1239" hidden="1" customWidth="1"/>
    <col min="24" max="16384" width="5.58203125" style="1239" hidden="1"/>
  </cols>
  <sheetData>
    <row r="1" spans="1:22" s="530" customFormat="1" ht="12" customHeight="1" x14ac:dyDescent="0.3">
      <c r="B1" s="1562" t="s">
        <v>705</v>
      </c>
      <c r="C1" s="1562" t="s">
        <v>1402</v>
      </c>
      <c r="D1" s="1561"/>
      <c r="E1" s="1561"/>
      <c r="F1" s="1561"/>
      <c r="T1" s="1460"/>
      <c r="U1" s="1460"/>
      <c r="V1" s="1460"/>
    </row>
    <row r="2" spans="1:22" s="530" customFormat="1" ht="12" customHeight="1" x14ac:dyDescent="0.35">
      <c r="A2" s="511" t="s">
        <v>1400</v>
      </c>
      <c r="B2" s="1563">
        <f>Rechnungen!E686</f>
        <v>129.08454392699383</v>
      </c>
      <c r="C2" s="1563">
        <f>Rechnungen!E687</f>
        <v>57.178390352179747</v>
      </c>
      <c r="D2" s="510" t="s">
        <v>365</v>
      </c>
      <c r="E2" s="510"/>
      <c r="F2" s="510"/>
      <c r="H2" s="1630" t="str">
        <f>IF('Übersicht (11)'!H3&lt;&gt;"","Der Heizwärmebedarf ist zu groß!","")</f>
        <v/>
      </c>
      <c r="I2" s="1630"/>
      <c r="J2" s="1630"/>
      <c r="K2" s="1630"/>
      <c r="L2" s="1630"/>
      <c r="M2" s="1630"/>
      <c r="N2" s="1630"/>
      <c r="O2" s="1630"/>
      <c r="P2" s="1630"/>
      <c r="Q2" s="1630"/>
      <c r="R2" s="1630"/>
      <c r="S2" s="1630"/>
      <c r="T2" s="1460"/>
      <c r="U2" s="1460"/>
      <c r="V2" s="1460"/>
    </row>
    <row r="3" spans="1:22" s="530" customFormat="1" ht="12" customHeight="1" x14ac:dyDescent="0.35">
      <c r="A3" s="511" t="s">
        <v>1401</v>
      </c>
      <c r="B3" s="1564">
        <f>Rechnungen!E689</f>
        <v>0.25</v>
      </c>
      <c r="C3" s="1564">
        <f>Rechnungen!E690</f>
        <v>0.33</v>
      </c>
      <c r="D3" s="510" t="s">
        <v>179</v>
      </c>
      <c r="E3" s="510"/>
      <c r="F3" s="510"/>
      <c r="H3" s="1630" t="str">
        <f>IF(OR(ISERROR(B2)=TRUE,B2="- - -"),"Bitte Eingaben prüfen! Alle Menüs korrekt ausgefüllt?","")</f>
        <v/>
      </c>
      <c r="I3" s="1630"/>
      <c r="J3" s="1630"/>
      <c r="K3" s="1630"/>
      <c r="L3" s="1630"/>
      <c r="M3" s="1630"/>
      <c r="N3" s="1630"/>
      <c r="O3" s="1630"/>
      <c r="P3" s="1630"/>
      <c r="Q3" s="1630"/>
      <c r="R3" s="1630"/>
      <c r="S3" s="1630"/>
      <c r="T3" s="1460"/>
      <c r="U3" s="1460"/>
      <c r="V3" s="1460"/>
    </row>
    <row r="4" spans="1:22" s="530" customFormat="1" ht="7.5" customHeight="1" thickBot="1" x14ac:dyDescent="0.35">
      <c r="B4" s="1467"/>
      <c r="D4" s="1466"/>
      <c r="E4" s="1466"/>
      <c r="F4" s="1466"/>
      <c r="T4" s="1460"/>
      <c r="U4" s="1460"/>
      <c r="V4" s="1460"/>
    </row>
    <row r="5" spans="1:22" s="299" customFormat="1" ht="23.5" thickBot="1" x14ac:dyDescent="0.55000000000000004">
      <c r="A5" s="1282" t="s">
        <v>28</v>
      </c>
      <c r="B5" s="484"/>
      <c r="C5" s="298"/>
      <c r="D5" s="484"/>
      <c r="E5" s="298"/>
      <c r="F5" s="484"/>
      <c r="G5" s="512"/>
      <c r="H5" s="513"/>
      <c r="I5" s="513"/>
      <c r="J5" s="513"/>
      <c r="K5" s="513"/>
      <c r="L5" s="513"/>
      <c r="M5" s="513"/>
      <c r="N5" s="513"/>
      <c r="O5" s="513"/>
      <c r="P5" s="1284">
        <f>'Allgemeines (01)'!F1</f>
        <v>0</v>
      </c>
      <c r="Q5" s="1284"/>
      <c r="R5" s="1284"/>
      <c r="S5" s="1283" t="str">
        <f>"2/" &amp;Rechnungen!D647</f>
        <v>2/11</v>
      </c>
      <c r="T5" s="1461"/>
      <c r="U5" s="1461"/>
      <c r="V5" s="1461"/>
    </row>
    <row r="6" spans="1:22" s="1237" customFormat="1" ht="15.5" x14ac:dyDescent="0.35">
      <c r="A6" s="804" t="s">
        <v>58</v>
      </c>
      <c r="B6" s="805" t="s">
        <v>898</v>
      </c>
      <c r="C6" s="1235"/>
      <c r="D6" s="1235"/>
      <c r="E6" s="1235"/>
      <c r="F6" s="1235"/>
      <c r="G6" s="1235"/>
      <c r="H6" s="1235"/>
      <c r="I6" s="1235"/>
      <c r="J6" s="1235"/>
      <c r="K6" s="1235"/>
      <c r="L6" s="1235"/>
      <c r="M6" s="1235"/>
      <c r="N6" s="1235"/>
      <c r="O6" s="1235"/>
      <c r="P6" s="1235"/>
      <c r="Q6" s="1235"/>
      <c r="R6" s="1235"/>
      <c r="S6" s="1236"/>
      <c r="T6" s="1462"/>
      <c r="U6" s="1462"/>
      <c r="V6" s="1462"/>
    </row>
    <row r="7" spans="1:22" x14ac:dyDescent="0.25">
      <c r="A7" s="1238"/>
      <c r="S7" s="1240"/>
    </row>
    <row r="8" spans="1:22" ht="15.5" x14ac:dyDescent="0.4">
      <c r="A8" s="1238"/>
      <c r="B8" s="803" t="s">
        <v>902</v>
      </c>
      <c r="G8" s="1249">
        <v>1000</v>
      </c>
      <c r="H8" s="1239" t="s">
        <v>67</v>
      </c>
      <c r="J8" s="803" t="s">
        <v>903</v>
      </c>
      <c r="M8" s="1250">
        <f>IF(OR(G8=0,G9=0),"",Rechnungen!D14)</f>
        <v>320</v>
      </c>
      <c r="N8" s="1239" t="s">
        <v>357</v>
      </c>
      <c r="O8" s="1242" t="str">
        <f>IF(OR(G9&gt;3,G9&lt;2.5),"[ (1/hG - 0,04 m-1) * Ve]","[0,32 m-1 * Ve]")</f>
        <v>[0,32 m-1 * Ve]</v>
      </c>
      <c r="S8" s="1240"/>
    </row>
    <row r="9" spans="1:22" ht="15.5" x14ac:dyDescent="0.4">
      <c r="A9" s="1238"/>
      <c r="B9" s="803" t="s">
        <v>904</v>
      </c>
      <c r="G9" s="1234">
        <v>3</v>
      </c>
      <c r="J9" s="803" t="s">
        <v>1308</v>
      </c>
      <c r="M9" s="1251">
        <v>2</v>
      </c>
      <c r="O9" s="1242" t="s">
        <v>1390</v>
      </c>
      <c r="S9" s="1240"/>
    </row>
    <row r="10" spans="1:22" ht="13" thickBot="1" x14ac:dyDescent="0.3">
      <c r="A10" s="1289">
        <v>0</v>
      </c>
      <c r="S10" s="1240"/>
    </row>
    <row r="11" spans="1:22" hidden="1" x14ac:dyDescent="0.25">
      <c r="A11" s="1289"/>
      <c r="S11" s="1240"/>
    </row>
    <row r="12" spans="1:22" hidden="1" x14ac:dyDescent="0.25">
      <c r="A12" s="1289"/>
      <c r="S12" s="1240"/>
    </row>
    <row r="13" spans="1:22" hidden="1" x14ac:dyDescent="0.25">
      <c r="A13" s="1289"/>
      <c r="S13" s="1240"/>
    </row>
    <row r="14" spans="1:22" ht="13" hidden="1" thickBot="1" x14ac:dyDescent="0.3">
      <c r="A14" s="1289"/>
      <c r="S14" s="1240"/>
    </row>
    <row r="15" spans="1:22" s="299" customFormat="1" ht="23.5" thickBot="1" x14ac:dyDescent="0.55000000000000004">
      <c r="A15" s="1282" t="s">
        <v>14</v>
      </c>
      <c r="B15" s="484"/>
      <c r="C15" s="298"/>
      <c r="D15" s="484"/>
      <c r="E15" s="298"/>
      <c r="F15" s="484"/>
      <c r="G15" s="512"/>
      <c r="H15" s="513"/>
      <c r="I15" s="513"/>
      <c r="J15" s="513"/>
      <c r="K15" s="513"/>
      <c r="L15" s="513"/>
      <c r="M15" s="513"/>
      <c r="N15" s="513"/>
      <c r="O15" s="513"/>
      <c r="P15" s="514"/>
      <c r="Q15" s="514"/>
      <c r="R15" s="514"/>
      <c r="S15" s="515"/>
      <c r="T15" s="1461"/>
      <c r="U15" s="1461"/>
      <c r="V15" s="1461"/>
    </row>
    <row r="16" spans="1:22" s="1237" customFormat="1" ht="17.5" x14ac:dyDescent="0.35">
      <c r="A16" s="804" t="s">
        <v>175</v>
      </c>
      <c r="B16" s="805" t="s">
        <v>1374</v>
      </c>
      <c r="C16" s="1235"/>
      <c r="D16" s="1235"/>
      <c r="E16" s="1235"/>
      <c r="F16" s="1235"/>
      <c r="G16" s="1235"/>
      <c r="H16" s="1235"/>
      <c r="I16" s="1235"/>
      <c r="J16" s="1235"/>
      <c r="K16" s="1235"/>
      <c r="L16" s="1235"/>
      <c r="M16" s="1235"/>
      <c r="N16" s="1235"/>
      <c r="O16" s="1235"/>
      <c r="P16" s="1235"/>
      <c r="Q16" s="1235"/>
      <c r="R16" s="1235"/>
      <c r="S16" s="1236"/>
      <c r="T16" s="1462"/>
      <c r="U16" s="1462"/>
      <c r="V16" s="1462"/>
    </row>
    <row r="17" spans="1:22" ht="7.5" customHeight="1" x14ac:dyDescent="0.25">
      <c r="A17" s="1238"/>
      <c r="S17" s="1240"/>
    </row>
    <row r="18" spans="1:22" s="1237" customFormat="1" ht="12.75" customHeight="1" x14ac:dyDescent="0.35">
      <c r="A18" s="1307" t="b">
        <v>0</v>
      </c>
      <c r="B18" s="1239"/>
      <c r="C18" s="1631" t="s">
        <v>1376</v>
      </c>
      <c r="D18" s="1632"/>
      <c r="E18" s="1632"/>
      <c r="F18" s="1632"/>
      <c r="G18" s="1632"/>
      <c r="H18" s="1632"/>
      <c r="I18" s="1633"/>
      <c r="J18" s="1632"/>
      <c r="K18" s="1632"/>
      <c r="L18" s="1632"/>
      <c r="M18" s="1632"/>
      <c r="N18" s="1632"/>
      <c r="O18" s="1632"/>
      <c r="P18" s="1632"/>
      <c r="Q18" s="1617"/>
      <c r="R18" s="1617"/>
      <c r="S18" s="1259"/>
      <c r="T18" s="1462"/>
      <c r="U18" s="1462"/>
      <c r="V18" s="1462"/>
    </row>
    <row r="19" spans="1:22" s="1237" customFormat="1" ht="12.75" customHeight="1" x14ac:dyDescent="0.35">
      <c r="A19" s="1307"/>
      <c r="B19" s="1239"/>
      <c r="C19" s="1631"/>
      <c r="D19" s="1632"/>
      <c r="E19" s="1632"/>
      <c r="F19" s="1632"/>
      <c r="G19" s="1632"/>
      <c r="H19" s="1632"/>
      <c r="I19" s="1632"/>
      <c r="J19" s="1632"/>
      <c r="K19" s="1632"/>
      <c r="L19" s="1632"/>
      <c r="M19" s="1632"/>
      <c r="N19" s="1632"/>
      <c r="O19" s="1632"/>
      <c r="P19" s="1632"/>
      <c r="Q19" s="1617"/>
      <c r="R19" s="1617"/>
      <c r="S19" s="1259"/>
      <c r="T19" s="1462"/>
      <c r="U19" s="1462"/>
      <c r="V19" s="1462"/>
    </row>
    <row r="20" spans="1:22" s="1237" customFormat="1" ht="12.75" customHeight="1" x14ac:dyDescent="0.35">
      <c r="A20" s="1306"/>
      <c r="B20" s="1239"/>
      <c r="C20" s="1632"/>
      <c r="D20" s="1632"/>
      <c r="E20" s="1632"/>
      <c r="F20" s="1632"/>
      <c r="G20" s="1632"/>
      <c r="H20" s="1632"/>
      <c r="I20" s="1632"/>
      <c r="J20" s="1632"/>
      <c r="K20" s="1632"/>
      <c r="L20" s="1632"/>
      <c r="M20" s="1632"/>
      <c r="N20" s="1632"/>
      <c r="O20" s="1632"/>
      <c r="P20" s="1632"/>
      <c r="Q20" s="1617"/>
      <c r="R20" s="1617"/>
      <c r="S20" s="1259"/>
      <c r="T20" s="1462"/>
      <c r="U20" s="1462"/>
      <c r="V20" s="1462"/>
    </row>
    <row r="21" spans="1:22" ht="12.75" customHeight="1" x14ac:dyDescent="0.25">
      <c r="A21" s="1238"/>
      <c r="S21" s="1240"/>
    </row>
    <row r="22" spans="1:22" x14ac:dyDescent="0.25">
      <c r="A22" s="1289" t="b">
        <v>0</v>
      </c>
      <c r="B22" s="1248"/>
      <c r="C22" s="1623" t="s">
        <v>1377</v>
      </c>
      <c r="D22" s="1624"/>
      <c r="E22" s="1624"/>
      <c r="F22" s="1624"/>
      <c r="G22" s="1624"/>
      <c r="H22" s="1624"/>
      <c r="I22" s="1625"/>
      <c r="J22" s="1624"/>
      <c r="K22" s="1624"/>
      <c r="L22" s="1624"/>
      <c r="M22" s="1624"/>
      <c r="N22" s="1624"/>
      <c r="O22" s="1624"/>
      <c r="P22" s="1624"/>
      <c r="Q22" s="1311"/>
      <c r="R22" s="1311"/>
      <c r="S22" s="1240"/>
    </row>
    <row r="23" spans="1:22" x14ac:dyDescent="0.25">
      <c r="A23" s="1295">
        <f>IF(A22=TRUE,0,1)</f>
        <v>1</v>
      </c>
      <c r="B23" s="1248"/>
      <c r="C23" s="1624"/>
      <c r="D23" s="1624"/>
      <c r="E23" s="1624"/>
      <c r="F23" s="1624"/>
      <c r="G23" s="1624"/>
      <c r="H23" s="1624"/>
      <c r="I23" s="1624"/>
      <c r="J23" s="1624"/>
      <c r="K23" s="1624"/>
      <c r="L23" s="1624"/>
      <c r="M23" s="1624"/>
      <c r="N23" s="1624"/>
      <c r="O23" s="1624"/>
      <c r="P23" s="1624"/>
      <c r="Q23" s="1311"/>
      <c r="R23" s="1311"/>
      <c r="S23" s="1240"/>
    </row>
    <row r="24" spans="1:22" x14ac:dyDescent="0.25">
      <c r="A24" s="1238"/>
      <c r="S24" s="1240"/>
    </row>
    <row r="25" spans="1:22" ht="15.5" x14ac:dyDescent="0.4">
      <c r="A25" s="1238"/>
      <c r="B25" s="803" t="s">
        <v>905</v>
      </c>
      <c r="K25" s="1239" t="s">
        <v>900</v>
      </c>
      <c r="O25" s="1628"/>
      <c r="P25" s="1629"/>
      <c r="Q25" s="1239" t="s">
        <v>365</v>
      </c>
      <c r="S25" s="1240"/>
    </row>
    <row r="26" spans="1:22" ht="14" x14ac:dyDescent="0.3">
      <c r="A26" s="1238"/>
      <c r="K26" s="1239" t="s">
        <v>901</v>
      </c>
      <c r="O26" s="1628"/>
      <c r="P26" s="1629"/>
      <c r="Q26" s="1239" t="s">
        <v>365</v>
      </c>
      <c r="S26" s="1240"/>
    </row>
    <row r="27" spans="1:22" x14ac:dyDescent="0.25">
      <c r="A27" s="1238"/>
      <c r="S27" s="1240"/>
    </row>
    <row r="28" spans="1:22" ht="14" x14ac:dyDescent="0.3">
      <c r="A28" s="1238"/>
      <c r="B28" s="1614" t="s">
        <v>906</v>
      </c>
      <c r="C28" s="1614"/>
      <c r="D28" s="1614"/>
      <c r="E28" s="1614"/>
      <c r="F28" s="1614"/>
      <c r="G28" s="1614"/>
      <c r="H28" s="1614"/>
      <c r="I28" s="1617"/>
      <c r="J28" s="1617"/>
      <c r="K28" s="1239" t="s">
        <v>900</v>
      </c>
      <c r="O28" s="1597"/>
      <c r="P28" s="1598"/>
      <c r="Q28" s="1239" t="s">
        <v>179</v>
      </c>
      <c r="S28" s="1240"/>
    </row>
    <row r="29" spans="1:22" ht="14" x14ac:dyDescent="0.3">
      <c r="A29" s="1238"/>
      <c r="B29" s="1614"/>
      <c r="C29" s="1614"/>
      <c r="D29" s="1614"/>
      <c r="E29" s="1614"/>
      <c r="F29" s="1614"/>
      <c r="G29" s="1614"/>
      <c r="H29" s="1614"/>
      <c r="I29" s="1617"/>
      <c r="J29" s="1617"/>
      <c r="K29" s="1239" t="s">
        <v>901</v>
      </c>
      <c r="O29" s="1597"/>
      <c r="P29" s="1598"/>
      <c r="Q29" s="1239" t="s">
        <v>179</v>
      </c>
      <c r="S29" s="1240"/>
    </row>
    <row r="30" spans="1:22" ht="13" thickBot="1" x14ac:dyDescent="0.3">
      <c r="A30" s="1243"/>
      <c r="B30" s="1244"/>
      <c r="C30" s="1244"/>
      <c r="D30" s="1244"/>
      <c r="E30" s="1244"/>
      <c r="F30" s="1244"/>
      <c r="G30" s="1244"/>
      <c r="H30" s="1244"/>
      <c r="I30" s="1244"/>
      <c r="J30" s="1244"/>
      <c r="K30" s="1244"/>
      <c r="L30" s="1244"/>
      <c r="M30" s="1244"/>
      <c r="N30" s="1244"/>
      <c r="O30" s="1244"/>
      <c r="P30" s="1244"/>
      <c r="Q30" s="1244"/>
      <c r="R30" s="1244"/>
      <c r="S30" s="1245"/>
    </row>
    <row r="31" spans="1:22" s="299" customFormat="1" ht="23.5" thickBot="1" x14ac:dyDescent="0.55000000000000004">
      <c r="A31" s="1282" t="s">
        <v>1375</v>
      </c>
      <c r="B31" s="484"/>
      <c r="C31" s="298"/>
      <c r="D31" s="484"/>
      <c r="E31" s="298"/>
      <c r="F31" s="484"/>
      <c r="G31" s="512"/>
      <c r="H31" s="513"/>
      <c r="I31" s="513"/>
      <c r="J31" s="513"/>
      <c r="K31" s="513"/>
      <c r="L31" s="513"/>
      <c r="M31" s="513"/>
      <c r="N31" s="513"/>
      <c r="O31" s="513"/>
      <c r="P31" s="514"/>
      <c r="Q31" s="514"/>
      <c r="R31" s="514"/>
      <c r="S31" s="515"/>
      <c r="T31" s="1461"/>
      <c r="U31" s="1461"/>
      <c r="V31" s="1461"/>
    </row>
    <row r="32" spans="1:22" s="1237" customFormat="1" ht="15.5" x14ac:dyDescent="0.35">
      <c r="A32" s="804" t="s">
        <v>909</v>
      </c>
      <c r="B32" s="805" t="s">
        <v>924</v>
      </c>
      <c r="C32" s="1235"/>
      <c r="D32" s="1235"/>
      <c r="E32" s="1235"/>
      <c r="F32" s="1235"/>
      <c r="G32" s="1609" t="s">
        <v>24</v>
      </c>
      <c r="H32" s="1235"/>
      <c r="I32" s="1235"/>
      <c r="J32" s="1235"/>
      <c r="K32" s="1235"/>
      <c r="L32" s="1235"/>
      <c r="M32" s="1235"/>
      <c r="N32" s="1235"/>
      <c r="O32" s="1609" t="s">
        <v>1244</v>
      </c>
      <c r="P32" s="1609" t="s">
        <v>1245</v>
      </c>
      <c r="Q32" s="1609" t="s">
        <v>25</v>
      </c>
      <c r="R32" s="1235"/>
      <c r="S32" s="1236"/>
      <c r="T32" s="1462"/>
      <c r="U32" s="1462"/>
      <c r="V32" s="1462"/>
    </row>
    <row r="33" spans="1:19" ht="6.75" customHeight="1" x14ac:dyDescent="0.25">
      <c r="A33" s="1238"/>
      <c r="G33" s="1638"/>
      <c r="O33" s="1610"/>
      <c r="P33" s="1610"/>
      <c r="Q33" s="1610"/>
      <c r="S33" s="1240"/>
    </row>
    <row r="34" spans="1:19" ht="12.75" customHeight="1" x14ac:dyDescent="0.25">
      <c r="A34" s="1238"/>
      <c r="B34" s="1255" t="s">
        <v>907</v>
      </c>
      <c r="C34" s="1255" t="s">
        <v>885</v>
      </c>
      <c r="F34" s="1256" t="s">
        <v>886</v>
      </c>
      <c r="G34" s="1638"/>
      <c r="I34" s="1255" t="s">
        <v>908</v>
      </c>
      <c r="O34" s="1610"/>
      <c r="P34" s="1610"/>
      <c r="Q34" s="1610"/>
      <c r="R34" s="1256" t="s">
        <v>922</v>
      </c>
      <c r="S34" s="1240"/>
    </row>
    <row r="35" spans="1:19" ht="15.5" x14ac:dyDescent="0.4">
      <c r="A35" s="1238"/>
      <c r="F35" s="1254" t="s">
        <v>544</v>
      </c>
      <c r="G35" s="1254" t="s">
        <v>656</v>
      </c>
      <c r="O35" s="1254" t="s">
        <v>1242</v>
      </c>
      <c r="P35" s="1254" t="s">
        <v>723</v>
      </c>
      <c r="Q35" s="1254" t="s">
        <v>23</v>
      </c>
      <c r="R35" s="1254" t="s">
        <v>22</v>
      </c>
      <c r="S35" s="1240"/>
    </row>
    <row r="36" spans="1:19" x14ac:dyDescent="0.25">
      <c r="A36" s="1238"/>
      <c r="F36" s="1254" t="s">
        <v>357</v>
      </c>
      <c r="G36" s="1254" t="s">
        <v>179</v>
      </c>
      <c r="O36" s="1254" t="s">
        <v>357</v>
      </c>
      <c r="P36" s="1254" t="s">
        <v>899</v>
      </c>
      <c r="R36" s="1254" t="s">
        <v>71</v>
      </c>
      <c r="S36" s="1448" t="s">
        <v>37</v>
      </c>
    </row>
    <row r="37" spans="1:19" ht="18" customHeight="1" x14ac:dyDescent="0.25">
      <c r="A37" s="1238">
        <v>1</v>
      </c>
      <c r="B37" s="1257" t="s">
        <v>1240</v>
      </c>
      <c r="C37" s="1622" t="s">
        <v>1418</v>
      </c>
      <c r="D37" s="1622"/>
      <c r="E37" s="1622"/>
      <c r="F37" s="1249">
        <v>1000</v>
      </c>
      <c r="G37" s="1569">
        <v>0.2</v>
      </c>
      <c r="H37" s="1290">
        <v>2</v>
      </c>
      <c r="N37" s="1322">
        <f>IF(Rechnungen!E112=1,0,1)</f>
        <v>1</v>
      </c>
      <c r="O37" s="1446"/>
      <c r="P37" s="1446"/>
      <c r="Q37" s="1250">
        <f>IF(AND(B37="",C37=""),"",Rechnungen!N112)</f>
        <v>1</v>
      </c>
      <c r="R37" s="1241">
        <f>IF(AND(B37="",C37=""),"",Rechnungen!V112)</f>
        <v>200</v>
      </c>
      <c r="S37" s="1449">
        <f t="shared" ref="S37:S66" si="0">IF(R37&lt;&gt;"",1,0)</f>
        <v>1</v>
      </c>
    </row>
    <row r="38" spans="1:19" ht="18" customHeight="1" x14ac:dyDescent="0.25">
      <c r="A38" s="1238">
        <v>2</v>
      </c>
      <c r="B38" s="1257"/>
      <c r="C38" s="1622"/>
      <c r="D38" s="1622"/>
      <c r="E38" s="1622"/>
      <c r="F38" s="1249"/>
      <c r="G38" s="1569"/>
      <c r="H38" s="1290">
        <v>1</v>
      </c>
      <c r="N38" s="1322">
        <f>IF(Rechnungen!E113=1,0,1)</f>
        <v>1</v>
      </c>
      <c r="O38" s="1446"/>
      <c r="P38" s="1446"/>
      <c r="Q38" s="1250" t="str">
        <f>IF(AND(B38="",C38=""),"",Rechnungen!N113)</f>
        <v/>
      </c>
      <c r="R38" s="1241" t="str">
        <f>IF(AND(B38="",C38=""),"",Rechnungen!V113)</f>
        <v/>
      </c>
      <c r="S38" s="1270">
        <f t="shared" si="0"/>
        <v>0</v>
      </c>
    </row>
    <row r="39" spans="1:19" ht="18" customHeight="1" x14ac:dyDescent="0.25">
      <c r="A39" s="1238">
        <v>3</v>
      </c>
      <c r="B39" s="1257"/>
      <c r="C39" s="1622"/>
      <c r="D39" s="1622"/>
      <c r="E39" s="1622"/>
      <c r="F39" s="1249"/>
      <c r="G39" s="1569"/>
      <c r="H39" s="1290">
        <v>1</v>
      </c>
      <c r="N39" s="1322">
        <f>IF(Rechnungen!E114=1,0,1)</f>
        <v>1</v>
      </c>
      <c r="O39" s="1446"/>
      <c r="P39" s="1446"/>
      <c r="Q39" s="1250" t="str">
        <f>IF(AND(B39="",C39=""),"",Rechnungen!N114)</f>
        <v/>
      </c>
      <c r="R39" s="1241" t="str">
        <f>IF(AND(B39="",C39=""),"",Rechnungen!V114)</f>
        <v/>
      </c>
      <c r="S39" s="1270">
        <f t="shared" si="0"/>
        <v>0</v>
      </c>
    </row>
    <row r="40" spans="1:19" ht="18" customHeight="1" x14ac:dyDescent="0.25">
      <c r="A40" s="1238">
        <v>4</v>
      </c>
      <c r="B40" s="1257"/>
      <c r="C40" s="1619"/>
      <c r="D40" s="1620"/>
      <c r="E40" s="1621"/>
      <c r="F40" s="1249"/>
      <c r="G40" s="1569"/>
      <c r="H40" s="1290">
        <v>1</v>
      </c>
      <c r="N40" s="1322">
        <f>IF(Rechnungen!E115=1,0,1)</f>
        <v>1</v>
      </c>
      <c r="O40" s="1446"/>
      <c r="P40" s="1446"/>
      <c r="Q40" s="1250" t="str">
        <f>IF(AND(B40="",C40=""),"",Rechnungen!N115)</f>
        <v/>
      </c>
      <c r="R40" s="1241" t="str">
        <f>IF(AND(B40="",C40=""),"",Rechnungen!V115)</f>
        <v/>
      </c>
      <c r="S40" s="1270">
        <f t="shared" si="0"/>
        <v>0</v>
      </c>
    </row>
    <row r="41" spans="1:19" ht="18" customHeight="1" x14ac:dyDescent="0.25">
      <c r="A41" s="1238">
        <v>5</v>
      </c>
      <c r="B41" s="1257"/>
      <c r="C41" s="1619"/>
      <c r="D41" s="1620"/>
      <c r="E41" s="1621"/>
      <c r="F41" s="1249"/>
      <c r="G41" s="1569"/>
      <c r="H41" s="1290">
        <v>1</v>
      </c>
      <c r="N41" s="1322">
        <f>IF(Rechnungen!E116=1,0,1)</f>
        <v>1</v>
      </c>
      <c r="O41" s="1446"/>
      <c r="P41" s="1446"/>
      <c r="Q41" s="1250" t="str">
        <f>IF(AND(B41="",C41=""),"",Rechnungen!N116)</f>
        <v/>
      </c>
      <c r="R41" s="1241" t="str">
        <f>IF(AND(B41="",C41=""),"",Rechnungen!V116)</f>
        <v/>
      </c>
      <c r="S41" s="1270">
        <f t="shared" si="0"/>
        <v>0</v>
      </c>
    </row>
    <row r="42" spans="1:19" ht="18" customHeight="1" x14ac:dyDescent="0.25">
      <c r="A42" s="1238">
        <v>6</v>
      </c>
      <c r="B42" s="1257"/>
      <c r="C42" s="1619"/>
      <c r="D42" s="1620"/>
      <c r="E42" s="1621"/>
      <c r="F42" s="1249"/>
      <c r="G42" s="1569"/>
      <c r="H42" s="1290">
        <v>1</v>
      </c>
      <c r="N42" s="1322">
        <f>IF(Rechnungen!E117=1,0,1)</f>
        <v>1</v>
      </c>
      <c r="O42" s="1446"/>
      <c r="P42" s="1446"/>
      <c r="Q42" s="1250" t="str">
        <f>IF(AND(B42="",C42=""),"",Rechnungen!N117)</f>
        <v/>
      </c>
      <c r="R42" s="1241" t="str">
        <f>IF(AND(B42="",C42=""),"",Rechnungen!V117)</f>
        <v/>
      </c>
      <c r="S42" s="1270">
        <f t="shared" si="0"/>
        <v>0</v>
      </c>
    </row>
    <row r="43" spans="1:19" ht="18" customHeight="1" x14ac:dyDescent="0.25">
      <c r="A43" s="1238">
        <v>7</v>
      </c>
      <c r="B43" s="1257"/>
      <c r="C43" s="1619"/>
      <c r="D43" s="1620"/>
      <c r="E43" s="1621"/>
      <c r="F43" s="1249"/>
      <c r="G43" s="1569"/>
      <c r="H43" s="1290">
        <v>1</v>
      </c>
      <c r="N43" s="1322">
        <f>IF(Rechnungen!E118=1,0,1)</f>
        <v>1</v>
      </c>
      <c r="O43" s="1446"/>
      <c r="P43" s="1446"/>
      <c r="Q43" s="1250" t="str">
        <f>IF(AND(B43="",C43=""),"",Rechnungen!N118)</f>
        <v/>
      </c>
      <c r="R43" s="1241" t="str">
        <f>IF(AND(B43="",C43=""),"",Rechnungen!V118)</f>
        <v/>
      </c>
      <c r="S43" s="1270">
        <f t="shared" si="0"/>
        <v>0</v>
      </c>
    </row>
    <row r="44" spans="1:19" ht="18" customHeight="1" x14ac:dyDescent="0.25">
      <c r="A44" s="1238">
        <v>8</v>
      </c>
      <c r="B44" s="1257"/>
      <c r="C44" s="1619"/>
      <c r="D44" s="1620"/>
      <c r="E44" s="1621"/>
      <c r="F44" s="1249"/>
      <c r="G44" s="1569"/>
      <c r="H44" s="1290">
        <v>1</v>
      </c>
      <c r="N44" s="1322">
        <f>IF(Rechnungen!E119=1,0,1)</f>
        <v>1</v>
      </c>
      <c r="O44" s="1446"/>
      <c r="P44" s="1446"/>
      <c r="Q44" s="1250" t="str">
        <f>IF(AND(B44="",C44=""),"",Rechnungen!N119)</f>
        <v/>
      </c>
      <c r="R44" s="1241" t="str">
        <f>IF(AND(B44="",C44=""),"",Rechnungen!V119)</f>
        <v/>
      </c>
      <c r="S44" s="1270">
        <f t="shared" si="0"/>
        <v>0</v>
      </c>
    </row>
    <row r="45" spans="1:19" ht="18" customHeight="1" x14ac:dyDescent="0.25">
      <c r="A45" s="1238">
        <v>9</v>
      </c>
      <c r="B45" s="1257"/>
      <c r="C45" s="1619"/>
      <c r="D45" s="1620"/>
      <c r="E45" s="1621"/>
      <c r="F45" s="1249"/>
      <c r="G45" s="1569"/>
      <c r="H45" s="1290">
        <v>1</v>
      </c>
      <c r="N45" s="1322">
        <f>IF(Rechnungen!E120=1,0,1)</f>
        <v>1</v>
      </c>
      <c r="O45" s="1446"/>
      <c r="P45" s="1446"/>
      <c r="Q45" s="1250" t="str">
        <f>IF(AND(B45="",C45=""),"",Rechnungen!N120)</f>
        <v/>
      </c>
      <c r="R45" s="1241" t="str">
        <f>IF(AND(B45="",C45=""),"",Rechnungen!V120)</f>
        <v/>
      </c>
      <c r="S45" s="1270">
        <f t="shared" si="0"/>
        <v>0</v>
      </c>
    </row>
    <row r="46" spans="1:19" ht="18" customHeight="1" x14ac:dyDescent="0.25">
      <c r="A46" s="1238">
        <v>10</v>
      </c>
      <c r="B46" s="1257"/>
      <c r="C46" s="1622"/>
      <c r="D46" s="1622"/>
      <c r="E46" s="1622"/>
      <c r="F46" s="1249"/>
      <c r="G46" s="1569"/>
      <c r="H46" s="1290">
        <v>1</v>
      </c>
      <c r="N46" s="1322">
        <f>IF(Rechnungen!E121=1,0,1)</f>
        <v>1</v>
      </c>
      <c r="O46" s="1446"/>
      <c r="P46" s="1446"/>
      <c r="Q46" s="1250" t="str">
        <f>IF(AND(B46="",C46=""),"",Rechnungen!N121)</f>
        <v/>
      </c>
      <c r="R46" s="1241" t="str">
        <f>IF(AND(B46="",C46=""),"",Rechnungen!V121)</f>
        <v/>
      </c>
      <c r="S46" s="1270">
        <f t="shared" si="0"/>
        <v>0</v>
      </c>
    </row>
    <row r="47" spans="1:19" ht="18" customHeight="1" x14ac:dyDescent="0.25">
      <c r="A47" s="1238">
        <v>11</v>
      </c>
      <c r="B47" s="1257"/>
      <c r="C47" s="1622"/>
      <c r="D47" s="1622"/>
      <c r="E47" s="1622"/>
      <c r="F47" s="1249"/>
      <c r="G47" s="1569"/>
      <c r="H47" s="1290">
        <v>1</v>
      </c>
      <c r="N47" s="1322">
        <f>IF(Rechnungen!E122=1,0,1)</f>
        <v>1</v>
      </c>
      <c r="O47" s="1446"/>
      <c r="P47" s="1446"/>
      <c r="Q47" s="1250" t="str">
        <f>IF(AND(B47="",C47=""),"",Rechnungen!N122)</f>
        <v/>
      </c>
      <c r="R47" s="1241" t="str">
        <f>IF(AND(B47="",C47=""),"",Rechnungen!V122)</f>
        <v/>
      </c>
      <c r="S47" s="1270">
        <f t="shared" si="0"/>
        <v>0</v>
      </c>
    </row>
    <row r="48" spans="1:19" ht="18" customHeight="1" x14ac:dyDescent="0.25">
      <c r="A48" s="1238">
        <v>12</v>
      </c>
      <c r="B48" s="1257"/>
      <c r="C48" s="1622"/>
      <c r="D48" s="1622"/>
      <c r="E48" s="1622"/>
      <c r="F48" s="1249"/>
      <c r="G48" s="1569"/>
      <c r="H48" s="1290">
        <v>1</v>
      </c>
      <c r="N48" s="1322">
        <f>IF(Rechnungen!E123=1,0,1)</f>
        <v>1</v>
      </c>
      <c r="O48" s="1446"/>
      <c r="P48" s="1446"/>
      <c r="Q48" s="1250" t="str">
        <f>IF(AND(B48="",C48=""),"",Rechnungen!N123)</f>
        <v/>
      </c>
      <c r="R48" s="1241" t="str">
        <f>IF(AND(B48="",C48=""),"",Rechnungen!V123)</f>
        <v/>
      </c>
      <c r="S48" s="1270">
        <f t="shared" si="0"/>
        <v>0</v>
      </c>
    </row>
    <row r="49" spans="1:19" ht="18" customHeight="1" x14ac:dyDescent="0.25">
      <c r="A49" s="1238">
        <v>13</v>
      </c>
      <c r="B49" s="1257"/>
      <c r="C49" s="1622"/>
      <c r="D49" s="1622"/>
      <c r="E49" s="1622"/>
      <c r="F49" s="1249"/>
      <c r="G49" s="1569"/>
      <c r="H49" s="1290">
        <v>1</v>
      </c>
      <c r="N49" s="1322">
        <f>IF(Rechnungen!E124=1,0,1)</f>
        <v>1</v>
      </c>
      <c r="O49" s="1446"/>
      <c r="P49" s="1446"/>
      <c r="Q49" s="1250" t="str">
        <f>IF(AND(B49="",C49=""),"",Rechnungen!N124)</f>
        <v/>
      </c>
      <c r="R49" s="1241" t="str">
        <f>IF(AND(B49="",C49=""),"",Rechnungen!V124)</f>
        <v/>
      </c>
      <c r="S49" s="1270">
        <f t="shared" si="0"/>
        <v>0</v>
      </c>
    </row>
    <row r="50" spans="1:19" ht="18" customHeight="1" x14ac:dyDescent="0.25">
      <c r="A50" s="1238">
        <v>14</v>
      </c>
      <c r="B50" s="1257"/>
      <c r="C50" s="1622"/>
      <c r="D50" s="1622"/>
      <c r="E50" s="1622"/>
      <c r="F50" s="1249"/>
      <c r="G50" s="1569"/>
      <c r="H50" s="1290">
        <v>1</v>
      </c>
      <c r="N50" s="1322">
        <f>IF(Rechnungen!E125=1,0,1)</f>
        <v>1</v>
      </c>
      <c r="O50" s="1446"/>
      <c r="P50" s="1446"/>
      <c r="Q50" s="1250" t="str">
        <f>IF(AND(B50="",C50=""),"",Rechnungen!N125)</f>
        <v/>
      </c>
      <c r="R50" s="1241" t="str">
        <f>IF(AND(B50="",C50=""),"",Rechnungen!V125)</f>
        <v/>
      </c>
      <c r="S50" s="1270">
        <f t="shared" si="0"/>
        <v>0</v>
      </c>
    </row>
    <row r="51" spans="1:19" ht="18" customHeight="1" x14ac:dyDescent="0.25">
      <c r="A51" s="1238">
        <v>15</v>
      </c>
      <c r="B51" s="1257"/>
      <c r="C51" s="1622"/>
      <c r="D51" s="1622"/>
      <c r="E51" s="1622"/>
      <c r="F51" s="1249"/>
      <c r="G51" s="1569"/>
      <c r="H51" s="1290">
        <v>1</v>
      </c>
      <c r="N51" s="1322">
        <f>IF(Rechnungen!E126=1,0,1)</f>
        <v>1</v>
      </c>
      <c r="O51" s="1446"/>
      <c r="P51" s="1446"/>
      <c r="Q51" s="1250" t="str">
        <f>IF(AND(B51="",C51=""),"",Rechnungen!N126)</f>
        <v/>
      </c>
      <c r="R51" s="1241" t="str">
        <f>IF(AND(B51="",C51=""),"",Rechnungen!V126)</f>
        <v/>
      </c>
      <c r="S51" s="1270">
        <f t="shared" si="0"/>
        <v>0</v>
      </c>
    </row>
    <row r="52" spans="1:19" ht="18" customHeight="1" x14ac:dyDescent="0.25">
      <c r="A52" s="1238">
        <v>16</v>
      </c>
      <c r="B52" s="1257"/>
      <c r="C52" s="1622"/>
      <c r="D52" s="1622"/>
      <c r="E52" s="1622"/>
      <c r="F52" s="1249"/>
      <c r="G52" s="1569"/>
      <c r="H52" s="1290">
        <v>1</v>
      </c>
      <c r="N52" s="1322">
        <f>IF(Rechnungen!E127=1,0,1)</f>
        <v>1</v>
      </c>
      <c r="O52" s="1446"/>
      <c r="P52" s="1446"/>
      <c r="Q52" s="1250" t="str">
        <f>IF(AND(B52="",C52=""),"",Rechnungen!N127)</f>
        <v/>
      </c>
      <c r="R52" s="1241" t="str">
        <f>IF(AND(B52="",C52=""),"",Rechnungen!V127)</f>
        <v/>
      </c>
      <c r="S52" s="1270">
        <f t="shared" si="0"/>
        <v>0</v>
      </c>
    </row>
    <row r="53" spans="1:19" ht="18" customHeight="1" x14ac:dyDescent="0.25">
      <c r="A53" s="1238">
        <v>17</v>
      </c>
      <c r="B53" s="1257"/>
      <c r="C53" s="1622"/>
      <c r="D53" s="1622"/>
      <c r="E53" s="1622"/>
      <c r="F53" s="1249"/>
      <c r="G53" s="1569"/>
      <c r="H53" s="1290">
        <v>1</v>
      </c>
      <c r="N53" s="1322">
        <f>IF(Rechnungen!E128=1,0,1)</f>
        <v>1</v>
      </c>
      <c r="O53" s="1446"/>
      <c r="P53" s="1446"/>
      <c r="Q53" s="1250" t="str">
        <f>IF(AND(B53="",C53=""),"",Rechnungen!N128)</f>
        <v/>
      </c>
      <c r="R53" s="1241" t="str">
        <f>IF(AND(B53="",C53=""),"",Rechnungen!V128)</f>
        <v/>
      </c>
      <c r="S53" s="1270">
        <f t="shared" si="0"/>
        <v>0</v>
      </c>
    </row>
    <row r="54" spans="1:19" ht="18" customHeight="1" x14ac:dyDescent="0.25">
      <c r="A54" s="1238">
        <v>18</v>
      </c>
      <c r="B54" s="1257"/>
      <c r="C54" s="1619"/>
      <c r="D54" s="1620"/>
      <c r="E54" s="1621"/>
      <c r="F54" s="1249"/>
      <c r="G54" s="1249"/>
      <c r="H54" s="1290">
        <v>1</v>
      </c>
      <c r="N54" s="1322">
        <f>IF(Rechnungen!E129=1,0,1)</f>
        <v>1</v>
      </c>
      <c r="O54" s="1446"/>
      <c r="P54" s="1446"/>
      <c r="Q54" s="1250" t="str">
        <f>IF(AND(B54="",C54=""),"",Rechnungen!N129)</f>
        <v/>
      </c>
      <c r="R54" s="1241" t="str">
        <f>IF(AND(B54="",C54=""),"",Rechnungen!V129)</f>
        <v/>
      </c>
      <c r="S54" s="1270">
        <f t="shared" si="0"/>
        <v>0</v>
      </c>
    </row>
    <row r="55" spans="1:19" ht="18" customHeight="1" x14ac:dyDescent="0.25">
      <c r="A55" s="1238">
        <v>19</v>
      </c>
      <c r="B55" s="1257"/>
      <c r="C55" s="1619"/>
      <c r="D55" s="1620"/>
      <c r="E55" s="1621"/>
      <c r="F55" s="1249"/>
      <c r="G55" s="1249"/>
      <c r="H55" s="1290">
        <v>1</v>
      </c>
      <c r="N55" s="1322">
        <f>IF(Rechnungen!E130=1,0,1)</f>
        <v>1</v>
      </c>
      <c r="O55" s="1446"/>
      <c r="P55" s="1446"/>
      <c r="Q55" s="1250" t="str">
        <f>IF(AND(B55="",C55=""),"",Rechnungen!N130)</f>
        <v/>
      </c>
      <c r="R55" s="1241" t="str">
        <f>IF(AND(B55="",C55=""),"",Rechnungen!V130)</f>
        <v/>
      </c>
      <c r="S55" s="1270">
        <f t="shared" si="0"/>
        <v>0</v>
      </c>
    </row>
    <row r="56" spans="1:19" ht="18" customHeight="1" x14ac:dyDescent="0.25">
      <c r="A56" s="1238">
        <v>20</v>
      </c>
      <c r="B56" s="1257"/>
      <c r="C56" s="1619"/>
      <c r="D56" s="1620"/>
      <c r="E56" s="1621"/>
      <c r="F56" s="1249"/>
      <c r="G56" s="1249"/>
      <c r="H56" s="1290">
        <v>1</v>
      </c>
      <c r="N56" s="1322">
        <f>IF(Rechnungen!E131=1,0,1)</f>
        <v>1</v>
      </c>
      <c r="O56" s="1446"/>
      <c r="P56" s="1446"/>
      <c r="Q56" s="1250" t="str">
        <f>IF(AND(B56="",C56=""),"",Rechnungen!N131)</f>
        <v/>
      </c>
      <c r="R56" s="1241" t="str">
        <f>IF(AND(B56="",C56=""),"",Rechnungen!V131)</f>
        <v/>
      </c>
      <c r="S56" s="1270">
        <f t="shared" si="0"/>
        <v>0</v>
      </c>
    </row>
    <row r="57" spans="1:19" ht="18" customHeight="1" x14ac:dyDescent="0.25">
      <c r="A57" s="1238">
        <v>21</v>
      </c>
      <c r="B57" s="1257"/>
      <c r="C57" s="1619"/>
      <c r="D57" s="1620"/>
      <c r="E57" s="1621"/>
      <c r="F57" s="1249"/>
      <c r="G57" s="1249"/>
      <c r="H57" s="1290">
        <v>1</v>
      </c>
      <c r="N57" s="1322">
        <f>IF(Rechnungen!E132=1,0,1)</f>
        <v>1</v>
      </c>
      <c r="O57" s="1446"/>
      <c r="P57" s="1446"/>
      <c r="Q57" s="1250" t="str">
        <f>IF(AND(B57="",C57=""),"",Rechnungen!N132)</f>
        <v/>
      </c>
      <c r="R57" s="1241" t="str">
        <f>IF(AND(B57="",C57=""),"",Rechnungen!V132)</f>
        <v/>
      </c>
      <c r="S57" s="1270">
        <f t="shared" si="0"/>
        <v>0</v>
      </c>
    </row>
    <row r="58" spans="1:19" ht="18" customHeight="1" x14ac:dyDescent="0.25">
      <c r="A58" s="1238">
        <v>22</v>
      </c>
      <c r="B58" s="1257"/>
      <c r="C58" s="1619"/>
      <c r="D58" s="1620"/>
      <c r="E58" s="1621"/>
      <c r="F58" s="1249"/>
      <c r="G58" s="1249"/>
      <c r="H58" s="1290">
        <v>1</v>
      </c>
      <c r="N58" s="1322">
        <f>IF(Rechnungen!E133=1,0,1)</f>
        <v>1</v>
      </c>
      <c r="O58" s="1446"/>
      <c r="P58" s="1446"/>
      <c r="Q58" s="1250" t="str">
        <f>IF(AND(B58="",C58=""),"",Rechnungen!N133)</f>
        <v/>
      </c>
      <c r="R58" s="1241" t="str">
        <f>IF(AND(B58="",C58=""),"",Rechnungen!V133)</f>
        <v/>
      </c>
      <c r="S58" s="1270">
        <f t="shared" si="0"/>
        <v>0</v>
      </c>
    </row>
    <row r="59" spans="1:19" ht="18" customHeight="1" x14ac:dyDescent="0.25">
      <c r="A59" s="1238">
        <v>23</v>
      </c>
      <c r="B59" s="1257"/>
      <c r="C59" s="1619"/>
      <c r="D59" s="1620"/>
      <c r="E59" s="1621"/>
      <c r="F59" s="1249"/>
      <c r="G59" s="1249"/>
      <c r="H59" s="1290">
        <v>1</v>
      </c>
      <c r="N59" s="1322">
        <f>IF(Rechnungen!E134=1,0,1)</f>
        <v>1</v>
      </c>
      <c r="O59" s="1446"/>
      <c r="P59" s="1446"/>
      <c r="Q59" s="1250" t="str">
        <f>IF(AND(B59="",C59=""),"",Rechnungen!N134)</f>
        <v/>
      </c>
      <c r="R59" s="1241" t="str">
        <f>IF(AND(B59="",C59=""),"",Rechnungen!V134)</f>
        <v/>
      </c>
      <c r="S59" s="1270">
        <f t="shared" si="0"/>
        <v>0</v>
      </c>
    </row>
    <row r="60" spans="1:19" ht="18" customHeight="1" x14ac:dyDescent="0.25">
      <c r="A60" s="1238">
        <v>24</v>
      </c>
      <c r="B60" s="1257"/>
      <c r="C60" s="1619"/>
      <c r="D60" s="1620"/>
      <c r="E60" s="1621"/>
      <c r="F60" s="1249"/>
      <c r="G60" s="1249"/>
      <c r="H60" s="1290">
        <v>1</v>
      </c>
      <c r="N60" s="1322">
        <f>IF(Rechnungen!E135=1,0,1)</f>
        <v>1</v>
      </c>
      <c r="O60" s="1446"/>
      <c r="P60" s="1446"/>
      <c r="Q60" s="1250" t="str">
        <f>IF(AND(B60="",C60=""),"",Rechnungen!N135)</f>
        <v/>
      </c>
      <c r="R60" s="1241" t="str">
        <f>IF(AND(B60="",C60=""),"",Rechnungen!V135)</f>
        <v/>
      </c>
      <c r="S60" s="1270">
        <f t="shared" si="0"/>
        <v>0</v>
      </c>
    </row>
    <row r="61" spans="1:19" ht="18" customHeight="1" x14ac:dyDescent="0.25">
      <c r="A61" s="1238">
        <v>25</v>
      </c>
      <c r="B61" s="1257"/>
      <c r="C61" s="1619"/>
      <c r="D61" s="1620"/>
      <c r="E61" s="1621"/>
      <c r="F61" s="1249"/>
      <c r="G61" s="1249"/>
      <c r="H61" s="1290">
        <v>1</v>
      </c>
      <c r="N61" s="1322">
        <f>IF(Rechnungen!E136=1,0,1)</f>
        <v>1</v>
      </c>
      <c r="O61" s="1446"/>
      <c r="P61" s="1446"/>
      <c r="Q61" s="1250" t="str">
        <f>IF(AND(B61="",C61=""),"",Rechnungen!N136)</f>
        <v/>
      </c>
      <c r="R61" s="1241" t="str">
        <f>IF(AND(B61="",C61=""),"",Rechnungen!V136)</f>
        <v/>
      </c>
      <c r="S61" s="1270">
        <f t="shared" si="0"/>
        <v>0</v>
      </c>
    </row>
    <row r="62" spans="1:19" ht="18" customHeight="1" x14ac:dyDescent="0.25">
      <c r="A62" s="1238">
        <v>26</v>
      </c>
      <c r="B62" s="1257"/>
      <c r="C62" s="1619"/>
      <c r="D62" s="1620"/>
      <c r="E62" s="1621"/>
      <c r="F62" s="1249"/>
      <c r="G62" s="1249"/>
      <c r="H62" s="1290">
        <v>1</v>
      </c>
      <c r="N62" s="1322">
        <f>IF(Rechnungen!E137=1,0,1)</f>
        <v>1</v>
      </c>
      <c r="O62" s="1446"/>
      <c r="P62" s="1446"/>
      <c r="Q62" s="1250" t="str">
        <f>IF(AND(B62="",C62=""),"",Rechnungen!N137)</f>
        <v/>
      </c>
      <c r="R62" s="1241" t="str">
        <f>IF(AND(B62="",C62=""),"",Rechnungen!V137)</f>
        <v/>
      </c>
      <c r="S62" s="1270">
        <f t="shared" si="0"/>
        <v>0</v>
      </c>
    </row>
    <row r="63" spans="1:19" ht="18" customHeight="1" x14ac:dyDescent="0.25">
      <c r="A63" s="1238">
        <v>27</v>
      </c>
      <c r="B63" s="1257"/>
      <c r="C63" s="1619"/>
      <c r="D63" s="1620"/>
      <c r="E63" s="1621"/>
      <c r="F63" s="1249"/>
      <c r="G63" s="1249"/>
      <c r="H63" s="1290">
        <v>1</v>
      </c>
      <c r="N63" s="1322">
        <f>IF(Rechnungen!E138=1,0,1)</f>
        <v>1</v>
      </c>
      <c r="O63" s="1446"/>
      <c r="P63" s="1446"/>
      <c r="Q63" s="1250" t="str">
        <f>IF(AND(B63="",C63=""),"",Rechnungen!N138)</f>
        <v/>
      </c>
      <c r="R63" s="1241" t="str">
        <f>IF(AND(B63="",C63=""),"",Rechnungen!V138)</f>
        <v/>
      </c>
      <c r="S63" s="1270">
        <f t="shared" si="0"/>
        <v>0</v>
      </c>
    </row>
    <row r="64" spans="1:19" ht="18" customHeight="1" x14ac:dyDescent="0.25">
      <c r="A64" s="1238">
        <v>28</v>
      </c>
      <c r="B64" s="1257"/>
      <c r="C64" s="1619"/>
      <c r="D64" s="1620"/>
      <c r="E64" s="1621"/>
      <c r="F64" s="1249"/>
      <c r="G64" s="1249"/>
      <c r="H64" s="1290">
        <v>1</v>
      </c>
      <c r="N64" s="1322">
        <f>IF(Rechnungen!E139=1,0,1)</f>
        <v>1</v>
      </c>
      <c r="O64" s="1446"/>
      <c r="P64" s="1446"/>
      <c r="Q64" s="1250" t="str">
        <f>IF(AND(B64="",C64=""),"",Rechnungen!N139)</f>
        <v/>
      </c>
      <c r="R64" s="1241" t="str">
        <f>IF(AND(B64="",C64=""),"",Rechnungen!V139)</f>
        <v/>
      </c>
      <c r="S64" s="1270">
        <f t="shared" si="0"/>
        <v>0</v>
      </c>
    </row>
    <row r="65" spans="1:22" ht="18" customHeight="1" x14ac:dyDescent="0.25">
      <c r="A65" s="1238">
        <v>29</v>
      </c>
      <c r="B65" s="1257"/>
      <c r="C65" s="1619"/>
      <c r="D65" s="1620"/>
      <c r="E65" s="1621"/>
      <c r="F65" s="1249"/>
      <c r="G65" s="1249"/>
      <c r="H65" s="1290">
        <v>1</v>
      </c>
      <c r="N65" s="1322">
        <f>IF(Rechnungen!E140=1,0,1)</f>
        <v>1</v>
      </c>
      <c r="O65" s="1446"/>
      <c r="P65" s="1446"/>
      <c r="Q65" s="1250" t="str">
        <f>IF(AND(B65="",C65=""),"",Rechnungen!N140)</f>
        <v/>
      </c>
      <c r="R65" s="1241" t="str">
        <f>IF(AND(B65="",C65=""),"",Rechnungen!V140)</f>
        <v/>
      </c>
      <c r="S65" s="1270">
        <f t="shared" si="0"/>
        <v>0</v>
      </c>
    </row>
    <row r="66" spans="1:22" ht="18" customHeight="1" x14ac:dyDescent="0.25">
      <c r="A66" s="1238">
        <v>30</v>
      </c>
      <c r="B66" s="1257"/>
      <c r="C66" s="1619"/>
      <c r="D66" s="1620"/>
      <c r="E66" s="1621"/>
      <c r="F66" s="1249"/>
      <c r="G66" s="1249"/>
      <c r="H66" s="1290">
        <v>1</v>
      </c>
      <c r="N66" s="1322">
        <f>IF(Rechnungen!E141=1,0,1)</f>
        <v>1</v>
      </c>
      <c r="O66" s="1446"/>
      <c r="P66" s="1446"/>
      <c r="Q66" s="1250" t="str">
        <f>IF(AND(B66="",C66=""),"",Rechnungen!N141)</f>
        <v/>
      </c>
      <c r="R66" s="1241" t="str">
        <f>IF(AND(B66="",C66=""),"",Rechnungen!V141)</f>
        <v/>
      </c>
      <c r="S66" s="1270">
        <f t="shared" si="0"/>
        <v>0</v>
      </c>
    </row>
    <row r="67" spans="1:22" ht="6.75" customHeight="1" x14ac:dyDescent="0.25">
      <c r="A67" s="1238"/>
      <c r="S67" s="1240"/>
    </row>
    <row r="68" spans="1:22" ht="15" customHeight="1" x14ac:dyDescent="0.25">
      <c r="A68" s="1238"/>
      <c r="E68" s="1253" t="s">
        <v>20</v>
      </c>
      <c r="F68" s="1250">
        <f>Rechnungen!C142</f>
        <v>1000</v>
      </c>
      <c r="G68" s="1239" t="s">
        <v>357</v>
      </c>
      <c r="Q68" s="1253" t="s">
        <v>21</v>
      </c>
      <c r="R68" s="1241">
        <f>Rechnungen!V142</f>
        <v>200</v>
      </c>
      <c r="S68" s="1240" t="s">
        <v>71</v>
      </c>
    </row>
    <row r="69" spans="1:22" ht="7.5" customHeight="1" x14ac:dyDescent="0.25">
      <c r="A69" s="1238"/>
      <c r="S69" s="1240"/>
    </row>
    <row r="70" spans="1:22" ht="12.75" customHeight="1" x14ac:dyDescent="0.25">
      <c r="A70" s="1238"/>
      <c r="B70" s="1626" t="s">
        <v>934</v>
      </c>
      <c r="C70" s="1626"/>
      <c r="E70" s="1254">
        <f>Rechnungen!B49</f>
        <v>0.05</v>
      </c>
      <c r="F70" s="1239" t="s">
        <v>179</v>
      </c>
      <c r="G70" s="1614" t="s">
        <v>1384</v>
      </c>
      <c r="H70" s="1617"/>
      <c r="I70" s="1617"/>
      <c r="J70" s="1617"/>
      <c r="K70" s="1617"/>
      <c r="S70" s="1240"/>
    </row>
    <row r="71" spans="1:22" ht="12.75" customHeight="1" x14ac:dyDescent="0.25">
      <c r="A71" s="1238"/>
      <c r="B71" s="1626"/>
      <c r="C71" s="1626"/>
      <c r="E71" s="1258">
        <f>Rechnungen!B50</f>
        <v>0.03</v>
      </c>
      <c r="F71" s="1239" t="s">
        <v>179</v>
      </c>
      <c r="G71" s="1617"/>
      <c r="H71" s="1617"/>
      <c r="I71" s="1617"/>
      <c r="J71" s="1617"/>
      <c r="K71" s="1617"/>
      <c r="S71" s="1240"/>
    </row>
    <row r="72" spans="1:22" ht="12.75" customHeight="1" x14ac:dyDescent="0.25">
      <c r="A72" s="1238"/>
      <c r="B72" s="1626"/>
      <c r="C72" s="1626"/>
      <c r="G72" s="1617"/>
      <c r="H72" s="1617"/>
      <c r="I72" s="1617"/>
      <c r="J72" s="1617"/>
      <c r="K72" s="1617"/>
      <c r="S72" s="1240"/>
    </row>
    <row r="73" spans="1:22" ht="12.75" customHeight="1" x14ac:dyDescent="0.4">
      <c r="A73" s="1238"/>
      <c r="B73" s="1626"/>
      <c r="C73" s="1626"/>
      <c r="E73" s="1258">
        <f>Rechnungen!B51</f>
        <v>0.1</v>
      </c>
      <c r="F73" s="1239" t="s">
        <v>179</v>
      </c>
      <c r="G73" s="1614"/>
      <c r="H73" s="1627"/>
      <c r="I73" s="1627"/>
      <c r="J73" s="1627"/>
      <c r="K73" s="1627"/>
      <c r="L73" s="1254" t="s">
        <v>26</v>
      </c>
      <c r="N73" s="1254" t="s">
        <v>544</v>
      </c>
      <c r="S73" s="1240"/>
    </row>
    <row r="74" spans="1:22" x14ac:dyDescent="0.25">
      <c r="A74" s="1238"/>
      <c r="B74" s="1626"/>
      <c r="C74" s="1626"/>
      <c r="G74" s="1627"/>
      <c r="H74" s="1627"/>
      <c r="I74" s="1627"/>
      <c r="J74" s="1627"/>
      <c r="K74" s="1627"/>
      <c r="L74" s="1250">
        <f>Rechnungen!B53</f>
        <v>0.05</v>
      </c>
      <c r="M74" s="1239" t="s">
        <v>932</v>
      </c>
      <c r="N74" s="1250">
        <f>Rechnungen!C142</f>
        <v>1000</v>
      </c>
      <c r="O74" s="1239" t="s">
        <v>933</v>
      </c>
      <c r="R74" s="1250">
        <f>Rechnungen!D53</f>
        <v>50</v>
      </c>
      <c r="S74" s="1240" t="s">
        <v>71</v>
      </c>
    </row>
    <row r="75" spans="1:22" x14ac:dyDescent="0.25">
      <c r="A75" s="1238"/>
      <c r="E75" s="1234"/>
      <c r="F75" s="1239" t="s">
        <v>179</v>
      </c>
      <c r="G75" s="1615" t="s">
        <v>1227</v>
      </c>
      <c r="H75" s="1616"/>
      <c r="I75" s="1616"/>
      <c r="J75" s="1616"/>
      <c r="K75" s="1616"/>
      <c r="S75" s="1240"/>
    </row>
    <row r="76" spans="1:22" ht="15.5" x14ac:dyDescent="0.4">
      <c r="A76" s="1238"/>
      <c r="B76" s="1290">
        <v>1</v>
      </c>
      <c r="G76" s="1616"/>
      <c r="H76" s="1616"/>
      <c r="I76" s="1616"/>
      <c r="J76" s="1616"/>
      <c r="K76" s="1616"/>
      <c r="P76" s="1253" t="s">
        <v>27</v>
      </c>
      <c r="Q76" s="1607">
        <f>Rechnungen!V142+Rechnungen!D53</f>
        <v>250</v>
      </c>
      <c r="R76" s="1608"/>
      <c r="S76" s="1240" t="s">
        <v>71</v>
      </c>
    </row>
    <row r="77" spans="1:22" ht="7.5" customHeight="1" thickBot="1" x14ac:dyDescent="0.3">
      <c r="A77" s="1243"/>
      <c r="B77" s="1244"/>
      <c r="C77" s="1244"/>
      <c r="D77" s="1244"/>
      <c r="E77" s="1244"/>
      <c r="F77" s="1244"/>
      <c r="G77" s="1244"/>
      <c r="H77" s="1244"/>
      <c r="I77" s="1244"/>
      <c r="J77" s="1244"/>
      <c r="K77" s="1244"/>
      <c r="L77" s="1244"/>
      <c r="M77" s="1244"/>
      <c r="N77" s="1244"/>
      <c r="O77" s="1244"/>
      <c r="P77" s="1244"/>
      <c r="Q77" s="1244"/>
      <c r="R77" s="1244"/>
      <c r="S77" s="1245"/>
    </row>
    <row r="78" spans="1:22" s="312" customFormat="1" ht="16" thickBot="1" x14ac:dyDescent="0.4">
      <c r="A78" s="519" t="str">
        <f>A146</f>
        <v>Primärenergieaufwand für Wohngebäude; Programm erstellt von K. Jagnow, 2001-2023</v>
      </c>
      <c r="B78" s="481"/>
      <c r="C78" s="481"/>
      <c r="D78" s="481"/>
      <c r="E78" s="481"/>
      <c r="F78" s="481"/>
      <c r="G78" s="481"/>
      <c r="H78" s="481"/>
      <c r="I78" s="481"/>
      <c r="J78" s="481"/>
      <c r="K78" s="481"/>
      <c r="L78" s="481"/>
      <c r="M78" s="481"/>
      <c r="N78" s="481"/>
      <c r="O78" s="481"/>
      <c r="P78" s="481"/>
      <c r="Q78" s="481"/>
      <c r="R78" s="481"/>
      <c r="S78" s="482"/>
      <c r="T78" s="1464"/>
      <c r="U78" s="1464"/>
      <c r="V78" s="1464"/>
    </row>
    <row r="79" spans="1:22" s="299" customFormat="1" ht="23.5" thickBot="1" x14ac:dyDescent="0.55000000000000004">
      <c r="A79" s="1282" t="s">
        <v>28</v>
      </c>
      <c r="B79" s="484"/>
      <c r="C79" s="298"/>
      <c r="D79" s="484"/>
      <c r="E79" s="298"/>
      <c r="F79" s="484"/>
      <c r="G79" s="512"/>
      <c r="H79" s="513"/>
      <c r="I79" s="513"/>
      <c r="J79" s="513"/>
      <c r="K79" s="513"/>
      <c r="L79" s="513"/>
      <c r="M79" s="513"/>
      <c r="N79" s="513"/>
      <c r="O79" s="513"/>
      <c r="P79" s="1284"/>
      <c r="Q79" s="1284">
        <f>P5</f>
        <v>0</v>
      </c>
      <c r="R79" s="1284"/>
      <c r="S79" s="1283" t="str">
        <f>"3/" &amp;Rechnungen!D647</f>
        <v>3/11</v>
      </c>
      <c r="T79" s="1461"/>
      <c r="U79" s="1461"/>
      <c r="V79" s="1461"/>
    </row>
    <row r="80" spans="1:22" s="1237" customFormat="1" ht="15.5" x14ac:dyDescent="0.35">
      <c r="A80" s="804" t="s">
        <v>923</v>
      </c>
      <c r="B80" s="805" t="s">
        <v>1005</v>
      </c>
      <c r="C80" s="1235"/>
      <c r="D80" s="1235"/>
      <c r="E80" s="1235"/>
      <c r="F80" s="1235"/>
      <c r="G80" s="1235"/>
      <c r="H80" s="1235"/>
      <c r="I80" s="1235"/>
      <c r="J80" s="1235"/>
      <c r="K80" s="1235"/>
      <c r="L80" s="1235"/>
      <c r="M80" s="1235"/>
      <c r="N80" s="1235"/>
      <c r="O80" s="1235"/>
      <c r="P80" s="1235"/>
      <c r="Q80" s="1235"/>
      <c r="R80" s="1235"/>
      <c r="S80" s="1236"/>
      <c r="T80" s="1462"/>
      <c r="U80" s="1462"/>
      <c r="V80" s="1462"/>
    </row>
    <row r="81" spans="1:22" x14ac:dyDescent="0.25">
      <c r="A81" s="1238"/>
      <c r="B81" s="1239" t="s">
        <v>17</v>
      </c>
      <c r="S81" s="1240"/>
    </row>
    <row r="82" spans="1:22" x14ac:dyDescent="0.25">
      <c r="A82" s="1238"/>
      <c r="L82" s="1637" t="str">
        <f>IF(M9&lt;=3,"[(0,76 * Ve) bis zu 3 Vollgeschossen]","[(0,8 * Ve)]")</f>
        <v>[(0,76 * Ve) bis zu 3 Vollgeschossen]</v>
      </c>
      <c r="M82" s="1617"/>
      <c r="S82" s="1240"/>
    </row>
    <row r="83" spans="1:22" x14ac:dyDescent="0.25">
      <c r="A83" s="1291">
        <v>1</v>
      </c>
      <c r="D83" s="1239" t="s">
        <v>1027</v>
      </c>
      <c r="I83" s="1634">
        <f>Rechnungen!D62</f>
        <v>760</v>
      </c>
      <c r="J83" s="1635"/>
      <c r="K83" s="1239" t="s">
        <v>67</v>
      </c>
      <c r="L83" s="1617"/>
      <c r="M83" s="1617"/>
      <c r="S83" s="1240"/>
    </row>
    <row r="84" spans="1:22" ht="6.75" customHeight="1" x14ac:dyDescent="0.25">
      <c r="A84" s="1238"/>
      <c r="S84" s="1240"/>
    </row>
    <row r="85" spans="1:22" x14ac:dyDescent="0.25">
      <c r="A85" s="1238"/>
      <c r="D85" s="1239" t="s">
        <v>1028</v>
      </c>
      <c r="I85" s="1628"/>
      <c r="J85" s="1636"/>
      <c r="K85" s="1239" t="s">
        <v>357</v>
      </c>
      <c r="S85" s="1240"/>
    </row>
    <row r="86" spans="1:22" ht="14" x14ac:dyDescent="0.3">
      <c r="A86" s="1238"/>
      <c r="P86" s="1253" t="s">
        <v>16</v>
      </c>
      <c r="Q86" s="1607">
        <f>Rechnungen!D64</f>
        <v>760</v>
      </c>
      <c r="R86" s="1608"/>
      <c r="S86" s="1240" t="s">
        <v>67</v>
      </c>
    </row>
    <row r="87" spans="1:22" x14ac:dyDescent="0.25">
      <c r="A87" s="1238"/>
      <c r="S87" s="1240"/>
    </row>
    <row r="88" spans="1:22" x14ac:dyDescent="0.25">
      <c r="A88" s="1238"/>
      <c r="B88" s="1239" t="s">
        <v>1011</v>
      </c>
      <c r="S88" s="1240"/>
    </row>
    <row r="89" spans="1:22" ht="15.5" x14ac:dyDescent="0.4">
      <c r="A89" s="1238"/>
      <c r="K89" s="1239" t="s">
        <v>1012</v>
      </c>
      <c r="L89" s="1239" t="s">
        <v>1013</v>
      </c>
      <c r="O89" s="1239" t="s">
        <v>18</v>
      </c>
      <c r="Q89" s="1313">
        <f>Rechnungen!D247</f>
        <v>15</v>
      </c>
      <c r="R89" s="1240" t="s">
        <v>1008</v>
      </c>
      <c r="S89" s="1240"/>
    </row>
    <row r="90" spans="1:22" ht="15.5" x14ac:dyDescent="0.4">
      <c r="A90" s="1291">
        <v>1</v>
      </c>
      <c r="D90" s="1614" t="s">
        <v>1006</v>
      </c>
      <c r="E90" s="1614"/>
      <c r="F90" s="1614"/>
      <c r="G90" s="1614"/>
      <c r="H90" s="1614"/>
      <c r="I90" s="1614"/>
      <c r="J90" s="1614"/>
      <c r="K90" s="1254">
        <v>15</v>
      </c>
      <c r="L90" s="1254">
        <v>12</v>
      </c>
      <c r="M90" s="1239" t="s">
        <v>1008</v>
      </c>
      <c r="O90" s="1239" t="s">
        <v>19</v>
      </c>
      <c r="Q90" s="1313">
        <f>Rechnungen!E247</f>
        <v>12</v>
      </c>
      <c r="R90" s="1240" t="s">
        <v>1008</v>
      </c>
      <c r="S90" s="1240"/>
    </row>
    <row r="91" spans="1:22" x14ac:dyDescent="0.25">
      <c r="A91" s="1238"/>
      <c r="D91" s="1614"/>
      <c r="E91" s="1614"/>
      <c r="F91" s="1614"/>
      <c r="G91" s="1614"/>
      <c r="H91" s="1614"/>
      <c r="I91" s="1614"/>
      <c r="J91" s="1614"/>
      <c r="S91" s="1240"/>
    </row>
    <row r="92" spans="1:22" ht="12.75" customHeight="1" x14ac:dyDescent="0.25">
      <c r="A92" s="1238"/>
      <c r="D92" s="1614" t="s">
        <v>1007</v>
      </c>
      <c r="E92" s="1614"/>
      <c r="F92" s="1614"/>
      <c r="G92" s="1614"/>
      <c r="H92" s="1614"/>
      <c r="I92" s="1614"/>
      <c r="J92" s="1614"/>
      <c r="K92" s="1254">
        <v>50</v>
      </c>
      <c r="L92" s="1254">
        <v>18</v>
      </c>
      <c r="M92" s="1239" t="s">
        <v>1008</v>
      </c>
      <c r="S92" s="1240"/>
    </row>
    <row r="93" spans="1:22" x14ac:dyDescent="0.25">
      <c r="A93" s="1238"/>
      <c r="D93" s="1614"/>
      <c r="E93" s="1614"/>
      <c r="F93" s="1614"/>
      <c r="G93" s="1614"/>
      <c r="H93" s="1614"/>
      <c r="I93" s="1614"/>
      <c r="J93" s="1614"/>
      <c r="O93" s="1239" t="s">
        <v>1181</v>
      </c>
      <c r="S93" s="1240"/>
    </row>
    <row r="94" spans="1:22" ht="14" x14ac:dyDescent="0.3">
      <c r="A94" s="1238"/>
      <c r="D94" s="1614" t="s">
        <v>1010</v>
      </c>
      <c r="E94" s="1614"/>
      <c r="F94" s="1614"/>
      <c r="G94" s="1614"/>
      <c r="H94" s="1614"/>
      <c r="I94" s="1614"/>
      <c r="J94" s="1614"/>
      <c r="K94" s="1234"/>
      <c r="L94" s="1234"/>
      <c r="M94" s="1239" t="s">
        <v>1008</v>
      </c>
      <c r="P94" s="1254" t="s">
        <v>15</v>
      </c>
      <c r="Q94" s="1607">
        <f>IF(OR(Q89=0,Q90=0),"",Rechnungen!H244)</f>
        <v>38.253595838008771</v>
      </c>
      <c r="R94" s="1608"/>
      <c r="S94" s="1240" t="s">
        <v>1023</v>
      </c>
    </row>
    <row r="95" spans="1:22" ht="13" thickBot="1" x14ac:dyDescent="0.3">
      <c r="A95" s="1238"/>
      <c r="S95" s="1240"/>
    </row>
    <row r="96" spans="1:22" s="1237" customFormat="1" ht="15.5" x14ac:dyDescent="0.35">
      <c r="A96" s="804" t="s">
        <v>925</v>
      </c>
      <c r="B96" s="805" t="s">
        <v>519</v>
      </c>
      <c r="C96" s="1235"/>
      <c r="D96" s="1235"/>
      <c r="E96" s="1235"/>
      <c r="F96" s="1235"/>
      <c r="G96" s="1235"/>
      <c r="H96" s="1235"/>
      <c r="I96" s="1235"/>
      <c r="J96" s="1235"/>
      <c r="K96" s="1235"/>
      <c r="L96" s="1235"/>
      <c r="M96" s="1235"/>
      <c r="N96" s="1235"/>
      <c r="O96" s="1235"/>
      <c r="P96" s="1235"/>
      <c r="Q96" s="1235"/>
      <c r="R96" s="1235"/>
      <c r="S96" s="1236"/>
      <c r="T96" s="1462"/>
      <c r="U96" s="1462"/>
      <c r="V96" s="1462"/>
    </row>
    <row r="97" spans="1:22" x14ac:dyDescent="0.25">
      <c r="A97" s="1238"/>
      <c r="S97" s="1240"/>
    </row>
    <row r="98" spans="1:22" ht="16" x14ac:dyDescent="0.4">
      <c r="A98" s="1291">
        <v>3</v>
      </c>
      <c r="B98" s="1614" t="s">
        <v>1403</v>
      </c>
      <c r="C98" s="1617"/>
      <c r="E98" s="1239" t="s">
        <v>1235</v>
      </c>
      <c r="L98" s="1253"/>
      <c r="Q98" s="1253" t="s">
        <v>1233</v>
      </c>
      <c r="R98" s="1265">
        <f>Rechnungen!E60</f>
        <v>0.4</v>
      </c>
      <c r="S98" s="1240" t="s">
        <v>29</v>
      </c>
    </row>
    <row r="99" spans="1:22" ht="14.25" customHeight="1" x14ac:dyDescent="0.4">
      <c r="A99" s="1238"/>
      <c r="B99" s="1617"/>
      <c r="C99" s="1617"/>
      <c r="E99" s="1239" t="s">
        <v>1236</v>
      </c>
      <c r="K99"/>
      <c r="Q99" s="1253" t="s">
        <v>1234</v>
      </c>
      <c r="R99" s="1310">
        <f>Rechnungen!D60</f>
        <v>0.15</v>
      </c>
      <c r="S99" s="1240" t="s">
        <v>29</v>
      </c>
    </row>
    <row r="100" spans="1:22" ht="14" x14ac:dyDescent="0.3">
      <c r="A100" s="1238"/>
      <c r="B100" s="1617"/>
      <c r="C100" s="1617"/>
      <c r="E100" s="1239" t="s">
        <v>1231</v>
      </c>
      <c r="K100"/>
      <c r="S100" s="1240"/>
    </row>
    <row r="101" spans="1:22" ht="15" x14ac:dyDescent="0.3">
      <c r="A101" s="1238"/>
      <c r="B101" s="1617"/>
      <c r="C101" s="1617"/>
      <c r="P101" s="1253" t="s">
        <v>30</v>
      </c>
      <c r="Q101" s="1607">
        <f>Rechnungen!B60</f>
        <v>0.55000000000000004</v>
      </c>
      <c r="R101" s="1608"/>
      <c r="S101" s="1240" t="s">
        <v>29</v>
      </c>
    </row>
    <row r="102" spans="1:22" ht="12" customHeight="1" x14ac:dyDescent="0.25">
      <c r="A102" s="1238"/>
      <c r="E102" s="1239" t="s">
        <v>1232</v>
      </c>
      <c r="S102" s="1240"/>
    </row>
    <row r="103" spans="1:22" ht="17.25" customHeight="1" x14ac:dyDescent="0.25">
      <c r="A103" s="1238"/>
      <c r="F103" s="1254" t="s">
        <v>542</v>
      </c>
      <c r="I103" s="1254" t="s">
        <v>579</v>
      </c>
      <c r="K103" s="1256" t="s">
        <v>939</v>
      </c>
      <c r="S103" s="1240"/>
    </row>
    <row r="104" spans="1:22" ht="15.5" x14ac:dyDescent="0.4">
      <c r="A104" s="1238"/>
      <c r="F104" s="1252">
        <f>Rechnungen!D64</f>
        <v>760</v>
      </c>
      <c r="G104" s="1239" t="s">
        <v>935</v>
      </c>
      <c r="I104" s="1252">
        <f>Rechnungen!B60</f>
        <v>0.55000000000000004</v>
      </c>
      <c r="J104" s="1239" t="s">
        <v>936</v>
      </c>
      <c r="K104" s="1254">
        <v>0.34</v>
      </c>
      <c r="L104" s="1239" t="s">
        <v>937</v>
      </c>
      <c r="P104" s="1253" t="s">
        <v>31</v>
      </c>
      <c r="Q104" s="1607">
        <f>Rechnungen!E107</f>
        <v>142.12000000000003</v>
      </c>
      <c r="R104" s="1608"/>
      <c r="S104" s="1240" t="s">
        <v>71</v>
      </c>
    </row>
    <row r="105" spans="1:22" ht="13" thickBot="1" x14ac:dyDescent="0.3">
      <c r="A105" s="1243"/>
      <c r="B105" s="1244"/>
      <c r="C105" s="1244"/>
      <c r="D105" s="1244"/>
      <c r="E105" s="1244"/>
      <c r="F105" s="1244"/>
      <c r="G105" s="1244"/>
      <c r="H105" s="1244"/>
      <c r="I105" s="1244"/>
      <c r="J105" s="1244"/>
      <c r="K105" s="1244"/>
      <c r="L105" s="1244"/>
      <c r="M105" s="1244"/>
      <c r="N105" s="1244"/>
      <c r="O105" s="1260"/>
      <c r="P105" s="1260"/>
      <c r="Q105" s="1260"/>
      <c r="R105" s="1260"/>
      <c r="S105" s="1245"/>
    </row>
    <row r="106" spans="1:22" ht="15.5" x14ac:dyDescent="0.35">
      <c r="A106" s="804" t="s">
        <v>928</v>
      </c>
      <c r="B106" s="805" t="s">
        <v>929</v>
      </c>
      <c r="C106" s="1235"/>
      <c r="D106" s="1235"/>
      <c r="E106" s="1235"/>
      <c r="F106" s="1235"/>
      <c r="G106" s="1235"/>
      <c r="H106" s="1235"/>
      <c r="I106" s="1235"/>
      <c r="J106" s="1308" t="s">
        <v>38</v>
      </c>
      <c r="K106" s="1246"/>
      <c r="L106" s="1246"/>
      <c r="M106" s="1246"/>
      <c r="N106" s="1309" t="s">
        <v>1188</v>
      </c>
      <c r="O106" s="1271"/>
      <c r="P106" s="1271"/>
      <c r="Q106" s="1271"/>
      <c r="R106" s="1271"/>
      <c r="S106" s="1247"/>
    </row>
    <row r="107" spans="1:22" s="1237" customFormat="1" ht="15.5" x14ac:dyDescent="0.35">
      <c r="A107" s="1238"/>
      <c r="B107" s="1239"/>
      <c r="C107" s="1239"/>
      <c r="D107" s="1239"/>
      <c r="E107" s="1239"/>
      <c r="F107" s="1239"/>
      <c r="G107" s="1239"/>
      <c r="H107" s="1239"/>
      <c r="I107" s="1239"/>
      <c r="J107" s="1308" t="s">
        <v>1189</v>
      </c>
      <c r="N107" s="1610" t="s">
        <v>32</v>
      </c>
      <c r="O107" s="1610" t="s">
        <v>1243</v>
      </c>
      <c r="P107" s="1610" t="s">
        <v>1228</v>
      </c>
      <c r="Q107" s="1312"/>
      <c r="R107" s="1312"/>
      <c r="S107" s="1259"/>
      <c r="T107" s="1462"/>
      <c r="U107" s="1462"/>
      <c r="V107" s="1462"/>
    </row>
    <row r="108" spans="1:22" ht="11.25" customHeight="1" x14ac:dyDescent="0.25">
      <c r="A108" s="1238"/>
      <c r="J108" s="1618" t="s">
        <v>4</v>
      </c>
      <c r="K108" s="1618"/>
      <c r="L108" s="1618"/>
      <c r="N108" s="1610"/>
      <c r="O108" s="1610"/>
      <c r="P108" s="1610"/>
      <c r="Q108" s="1312"/>
      <c r="R108" s="1312"/>
      <c r="S108" s="1240"/>
    </row>
    <row r="109" spans="1:22" ht="23.25" customHeight="1" x14ac:dyDescent="0.25">
      <c r="A109" s="1238"/>
      <c r="G109" s="1239" t="s">
        <v>927</v>
      </c>
      <c r="J109" s="1618"/>
      <c r="K109" s="1618"/>
      <c r="L109" s="1618"/>
      <c r="N109" s="1610"/>
      <c r="O109" s="1610"/>
      <c r="P109" s="1610"/>
      <c r="Q109" s="1312"/>
      <c r="R109" s="1312"/>
      <c r="S109" s="1240"/>
    </row>
    <row r="110" spans="1:22" ht="15.5" x14ac:dyDescent="0.4">
      <c r="A110" s="1238"/>
      <c r="J110" s="1267" t="s">
        <v>986</v>
      </c>
      <c r="K110" s="1268" t="s">
        <v>35</v>
      </c>
      <c r="L110" s="1268" t="s">
        <v>36</v>
      </c>
      <c r="N110" s="1254" t="s">
        <v>984</v>
      </c>
      <c r="O110" s="1254" t="s">
        <v>34</v>
      </c>
      <c r="P110" s="1254" t="s">
        <v>33</v>
      </c>
      <c r="Q110" s="1254"/>
      <c r="R110" s="1254"/>
      <c r="S110" s="1240"/>
    </row>
    <row r="111" spans="1:22" ht="16.5" customHeight="1" x14ac:dyDescent="0.25">
      <c r="A111" s="1238">
        <v>1</v>
      </c>
      <c r="B111" s="1261" t="str">
        <f>IF(R37&lt;&gt;"",IF(Rechnungen!Q112=1,B37,""),"")</f>
        <v>AW</v>
      </c>
      <c r="C111" s="1611" t="str">
        <f>IF(R37&lt;&gt;"",IF(Rechnungen!Q112=1,C37,""),"")</f>
        <v>Wand</v>
      </c>
      <c r="D111" s="1612"/>
      <c r="E111" s="1612"/>
      <c r="F111" s="1613"/>
      <c r="G111" s="1290">
        <v>6</v>
      </c>
      <c r="J111" s="1234"/>
      <c r="K111" s="1250">
        <f>Rechnungen!C187</f>
        <v>8</v>
      </c>
      <c r="L111" s="1250">
        <f>Rechnungen!D187</f>
        <v>20</v>
      </c>
      <c r="M111" s="1269">
        <f>Rechnungen!O112*S37</f>
        <v>1</v>
      </c>
      <c r="N111" s="1266"/>
      <c r="O111" s="1262">
        <v>0.9</v>
      </c>
      <c r="P111" s="1262">
        <v>0.7</v>
      </c>
      <c r="Q111" s="1254"/>
      <c r="R111" s="1254"/>
      <c r="S111" s="1270">
        <f>Rechnungen!P112*S37</f>
        <v>0</v>
      </c>
    </row>
    <row r="112" spans="1:22" ht="16.5" customHeight="1" x14ac:dyDescent="0.25">
      <c r="A112" s="1238">
        <v>2</v>
      </c>
      <c r="B112" s="1261" t="str">
        <f>IF(R38&lt;&gt;"",IF(Rechnungen!Q113=1,B38,""),"")</f>
        <v/>
      </c>
      <c r="C112" s="1611" t="str">
        <f>IF(R38&lt;&gt;"",IF(Rechnungen!Q113=1,C38,""),"")</f>
        <v/>
      </c>
      <c r="D112" s="1612"/>
      <c r="E112" s="1612"/>
      <c r="F112" s="1613"/>
      <c r="G112" s="1290">
        <v>6</v>
      </c>
      <c r="J112" s="1234"/>
      <c r="K112" s="1250">
        <f>Rechnungen!C188</f>
        <v>0</v>
      </c>
      <c r="L112" s="1250">
        <f>Rechnungen!D188</f>
        <v>0</v>
      </c>
      <c r="M112" s="1269">
        <f>Rechnungen!O113*S38</f>
        <v>0</v>
      </c>
      <c r="N112" s="1266"/>
      <c r="O112" s="1262">
        <v>0.9</v>
      </c>
      <c r="P112" s="1262">
        <v>0.7</v>
      </c>
      <c r="Q112" s="1254"/>
      <c r="R112" s="1254"/>
      <c r="S112" s="1270">
        <f>Rechnungen!P113*S38</f>
        <v>0</v>
      </c>
    </row>
    <row r="113" spans="1:19" ht="16.5" customHeight="1" x14ac:dyDescent="0.25">
      <c r="A113" s="1238">
        <v>3</v>
      </c>
      <c r="B113" s="1261" t="str">
        <f>IF(R39&lt;&gt;"",IF(Rechnungen!Q114=1,B39,""),"")</f>
        <v/>
      </c>
      <c r="C113" s="1611" t="str">
        <f>IF(R39&lt;&gt;"",IF(Rechnungen!Q114=1,C39,""),"")</f>
        <v/>
      </c>
      <c r="D113" s="1612"/>
      <c r="E113" s="1612"/>
      <c r="F113" s="1613"/>
      <c r="G113" s="1290">
        <v>18</v>
      </c>
      <c r="J113" s="1234"/>
      <c r="K113" s="1250">
        <f>Rechnungen!C189</f>
        <v>0</v>
      </c>
      <c r="L113" s="1250">
        <f>Rechnungen!D189</f>
        <v>0</v>
      </c>
      <c r="M113" s="1269">
        <f>Rechnungen!O114*S39</f>
        <v>0</v>
      </c>
      <c r="N113" s="1266"/>
      <c r="O113" s="1262">
        <v>0.9</v>
      </c>
      <c r="P113" s="1262">
        <v>0.7</v>
      </c>
      <c r="Q113" s="1254"/>
      <c r="R113" s="1254"/>
      <c r="S113" s="1270">
        <f>Rechnungen!P114*S39</f>
        <v>0</v>
      </c>
    </row>
    <row r="114" spans="1:19" ht="16.5" customHeight="1" x14ac:dyDescent="0.25">
      <c r="A114" s="1238">
        <v>4</v>
      </c>
      <c r="B114" s="1261" t="str">
        <f>IF(R40&lt;&gt;"",IF(Rechnungen!Q115=1,B40,""),"")</f>
        <v/>
      </c>
      <c r="C114" s="1611" t="str">
        <f>IF(R40&lt;&gt;"",IF(Rechnungen!Q115=1,C40,""),"")</f>
        <v/>
      </c>
      <c r="D114" s="1612"/>
      <c r="E114" s="1612"/>
      <c r="F114" s="1613"/>
      <c r="G114" s="1290">
        <v>18</v>
      </c>
      <c r="J114" s="1234"/>
      <c r="K114" s="1250">
        <f>Rechnungen!C190</f>
        <v>0</v>
      </c>
      <c r="L114" s="1250">
        <f>Rechnungen!D190</f>
        <v>0</v>
      </c>
      <c r="M114" s="1269">
        <f>Rechnungen!O115*S40</f>
        <v>0</v>
      </c>
      <c r="N114" s="1266"/>
      <c r="O114" s="1262">
        <v>0.9</v>
      </c>
      <c r="P114" s="1262">
        <v>0.7</v>
      </c>
      <c r="Q114" s="1254"/>
      <c r="R114" s="1254"/>
      <c r="S114" s="1270">
        <f>Rechnungen!P115*S40</f>
        <v>0</v>
      </c>
    </row>
    <row r="115" spans="1:19" ht="16.5" customHeight="1" x14ac:dyDescent="0.25">
      <c r="A115" s="1238">
        <v>5</v>
      </c>
      <c r="B115" s="1261" t="str">
        <f>IF(R41&lt;&gt;"",IF(Rechnungen!Q116=1,B41,""),"")</f>
        <v/>
      </c>
      <c r="C115" s="1611" t="str">
        <f>IF(R41&lt;&gt;"",IF(Rechnungen!Q116=1,C41,""),"")</f>
        <v/>
      </c>
      <c r="D115" s="1612"/>
      <c r="E115" s="1612"/>
      <c r="F115" s="1613"/>
      <c r="G115" s="1290">
        <v>22</v>
      </c>
      <c r="J115" s="1234"/>
      <c r="K115" s="1250">
        <f>Rechnungen!C191</f>
        <v>0</v>
      </c>
      <c r="L115" s="1250">
        <f>Rechnungen!D191</f>
        <v>0</v>
      </c>
      <c r="M115" s="1269">
        <f>Rechnungen!O116*S41</f>
        <v>0</v>
      </c>
      <c r="N115" s="1266"/>
      <c r="O115" s="1262">
        <v>0.9</v>
      </c>
      <c r="P115" s="1262">
        <v>0.7</v>
      </c>
      <c r="Q115" s="1254"/>
      <c r="R115" s="1254"/>
      <c r="S115" s="1270">
        <f>Rechnungen!P116*S41</f>
        <v>0</v>
      </c>
    </row>
    <row r="116" spans="1:19" ht="16.5" customHeight="1" x14ac:dyDescent="0.25">
      <c r="A116" s="1238">
        <v>6</v>
      </c>
      <c r="B116" s="1261" t="str">
        <f>IF(R42&lt;&gt;"",IF(Rechnungen!Q117=1,B42,""),"")</f>
        <v/>
      </c>
      <c r="C116" s="1611" t="str">
        <f>IF(R42&lt;&gt;"",IF(Rechnungen!Q117=1,C42,""),"")</f>
        <v/>
      </c>
      <c r="D116" s="1612"/>
      <c r="E116" s="1612"/>
      <c r="F116" s="1613"/>
      <c r="G116" s="1290">
        <v>22</v>
      </c>
      <c r="J116" s="1234"/>
      <c r="K116" s="1250">
        <f>Rechnungen!C192</f>
        <v>0</v>
      </c>
      <c r="L116" s="1250">
        <f>Rechnungen!D192</f>
        <v>0</v>
      </c>
      <c r="M116" s="1269">
        <f>Rechnungen!O117*S42</f>
        <v>0</v>
      </c>
      <c r="N116" s="1266"/>
      <c r="O116" s="1262">
        <v>0.9</v>
      </c>
      <c r="P116" s="1262">
        <v>0.7</v>
      </c>
      <c r="Q116" s="1254"/>
      <c r="R116" s="1254"/>
      <c r="S116" s="1270">
        <f>Rechnungen!P117*S42</f>
        <v>0</v>
      </c>
    </row>
    <row r="117" spans="1:19" ht="16.5" customHeight="1" x14ac:dyDescent="0.25">
      <c r="A117" s="1238">
        <v>7</v>
      </c>
      <c r="B117" s="1261" t="str">
        <f>IF(R43&lt;&gt;"",IF(Rechnungen!Q118=1,B43,""),"")</f>
        <v/>
      </c>
      <c r="C117" s="1611" t="str">
        <f>IF(R43&lt;&gt;"",IF(Rechnungen!Q118=1,C43,""),"")</f>
        <v/>
      </c>
      <c r="D117" s="1612"/>
      <c r="E117" s="1612"/>
      <c r="F117" s="1613"/>
      <c r="G117" s="1290">
        <v>34</v>
      </c>
      <c r="J117" s="1234"/>
      <c r="K117" s="1250">
        <f>Rechnungen!C193</f>
        <v>0</v>
      </c>
      <c r="L117" s="1250">
        <f>Rechnungen!D193</f>
        <v>0</v>
      </c>
      <c r="M117" s="1269">
        <f>Rechnungen!O118*S43</f>
        <v>0</v>
      </c>
      <c r="N117" s="1266"/>
      <c r="O117" s="1262">
        <v>0.9</v>
      </c>
      <c r="P117" s="1262">
        <v>0.7</v>
      </c>
      <c r="Q117" s="1254"/>
      <c r="R117" s="1254"/>
      <c r="S117" s="1270">
        <f>Rechnungen!P118*S43</f>
        <v>0</v>
      </c>
    </row>
    <row r="118" spans="1:19" ht="16.5" customHeight="1" x14ac:dyDescent="0.25">
      <c r="A118" s="1238">
        <v>8</v>
      </c>
      <c r="B118" s="1261" t="str">
        <f>IF(R44&lt;&gt;"",IF(Rechnungen!Q119=1,B44,""),"")</f>
        <v/>
      </c>
      <c r="C118" s="1611" t="str">
        <f>IF(R44&lt;&gt;"",IF(Rechnungen!Q119=1,C44,""),"")</f>
        <v/>
      </c>
      <c r="D118" s="1612"/>
      <c r="E118" s="1612"/>
      <c r="F118" s="1613"/>
      <c r="G118" s="1290">
        <v>34</v>
      </c>
      <c r="J118" s="1234"/>
      <c r="K118" s="1250">
        <f>Rechnungen!C194</f>
        <v>0</v>
      </c>
      <c r="L118" s="1250">
        <f>Rechnungen!D194</f>
        <v>0</v>
      </c>
      <c r="M118" s="1269">
        <f>Rechnungen!O119*S44</f>
        <v>0</v>
      </c>
      <c r="N118" s="1266"/>
      <c r="O118" s="1262">
        <v>0.9</v>
      </c>
      <c r="P118" s="1262">
        <v>0.7</v>
      </c>
      <c r="Q118" s="1254"/>
      <c r="R118" s="1254"/>
      <c r="S118" s="1270">
        <f>Rechnungen!P119*S44</f>
        <v>0</v>
      </c>
    </row>
    <row r="119" spans="1:19" ht="16.5" customHeight="1" x14ac:dyDescent="0.25">
      <c r="A119" s="1238">
        <v>9</v>
      </c>
      <c r="B119" s="1261" t="str">
        <f>IF(R45&lt;&gt;"",IF(Rechnungen!Q120=1,B45,""),"")</f>
        <v/>
      </c>
      <c r="C119" s="1611" t="str">
        <f>IF(R45&lt;&gt;"",IF(Rechnungen!Q120=1,C45,""),"")</f>
        <v/>
      </c>
      <c r="D119" s="1612"/>
      <c r="E119" s="1612"/>
      <c r="F119" s="1613"/>
      <c r="G119" s="1290">
        <v>34</v>
      </c>
      <c r="J119" s="1234"/>
      <c r="K119" s="1250">
        <f>Rechnungen!C195</f>
        <v>0</v>
      </c>
      <c r="L119" s="1250">
        <f>Rechnungen!D195</f>
        <v>0</v>
      </c>
      <c r="M119" s="1269">
        <f>Rechnungen!O120*S45</f>
        <v>0</v>
      </c>
      <c r="N119" s="1266"/>
      <c r="O119" s="1262">
        <v>0.9</v>
      </c>
      <c r="P119" s="1262">
        <v>0.7</v>
      </c>
      <c r="Q119" s="1254"/>
      <c r="R119" s="1254"/>
      <c r="S119" s="1270">
        <f>Rechnungen!P120*S45</f>
        <v>0</v>
      </c>
    </row>
    <row r="120" spans="1:19" ht="16.5" customHeight="1" x14ac:dyDescent="0.25">
      <c r="A120" s="1238">
        <v>10</v>
      </c>
      <c r="B120" s="1261" t="str">
        <f>IF(R46&lt;&gt;"",IF(Rechnungen!Q121=1,B46,""),"")</f>
        <v/>
      </c>
      <c r="C120" s="1611" t="str">
        <f>IF(R46&lt;&gt;"",IF(Rechnungen!Q121=1,C46,""),"")</f>
        <v/>
      </c>
      <c r="D120" s="1612"/>
      <c r="E120" s="1612"/>
      <c r="F120" s="1613"/>
      <c r="G120" s="1290">
        <v>3</v>
      </c>
      <c r="J120" s="1234"/>
      <c r="K120" s="1250">
        <f>Rechnungen!C196</f>
        <v>0</v>
      </c>
      <c r="L120" s="1250">
        <f>Rechnungen!D196</f>
        <v>0</v>
      </c>
      <c r="M120" s="1269">
        <f>Rechnungen!O121*S46</f>
        <v>0</v>
      </c>
      <c r="N120" s="1266"/>
      <c r="O120" s="1262">
        <v>0.9</v>
      </c>
      <c r="P120" s="1262">
        <v>0.7</v>
      </c>
      <c r="Q120" s="1254"/>
      <c r="R120" s="1254"/>
      <c r="S120" s="1270">
        <f>Rechnungen!P121*S46</f>
        <v>0</v>
      </c>
    </row>
    <row r="121" spans="1:19" ht="16.5" customHeight="1" x14ac:dyDescent="0.25">
      <c r="A121" s="1238">
        <v>11</v>
      </c>
      <c r="B121" s="1261" t="str">
        <f>IF(R47&lt;&gt;"",IF(Rechnungen!Q122=1,B47,""),"")</f>
        <v/>
      </c>
      <c r="C121" s="1611" t="str">
        <f>IF(R47&lt;&gt;"",IF(Rechnungen!Q122=1,C47,""),"")</f>
        <v/>
      </c>
      <c r="D121" s="1612"/>
      <c r="E121" s="1612"/>
      <c r="F121" s="1613"/>
      <c r="G121" s="1290">
        <v>3</v>
      </c>
      <c r="J121" s="1234"/>
      <c r="K121" s="1250">
        <f>Rechnungen!C197</f>
        <v>0</v>
      </c>
      <c r="L121" s="1250">
        <f>Rechnungen!D197</f>
        <v>0</v>
      </c>
      <c r="M121" s="1269">
        <f>Rechnungen!O122*S47</f>
        <v>0</v>
      </c>
      <c r="N121" s="1266"/>
      <c r="O121" s="1262">
        <v>0.9</v>
      </c>
      <c r="P121" s="1262">
        <v>0.7</v>
      </c>
      <c r="Q121" s="1254"/>
      <c r="R121" s="1254"/>
      <c r="S121" s="1270">
        <f>Rechnungen!P122*S47</f>
        <v>0</v>
      </c>
    </row>
    <row r="122" spans="1:19" ht="16.5" customHeight="1" x14ac:dyDescent="0.25">
      <c r="A122" s="1238">
        <v>12</v>
      </c>
      <c r="B122" s="1261" t="str">
        <f>IF(R48&lt;&gt;"",IF(Rechnungen!Q123=1,B48,""),"")</f>
        <v/>
      </c>
      <c r="C122" s="1611" t="str">
        <f>IF(R48&lt;&gt;"",IF(Rechnungen!Q123=1,C48,""),"")</f>
        <v/>
      </c>
      <c r="D122" s="1612"/>
      <c r="E122" s="1612"/>
      <c r="F122" s="1613"/>
      <c r="G122" s="1290">
        <v>31</v>
      </c>
      <c r="J122" s="1234"/>
      <c r="K122" s="1250">
        <f>Rechnungen!C198</f>
        <v>0</v>
      </c>
      <c r="L122" s="1250">
        <f>Rechnungen!D198</f>
        <v>0</v>
      </c>
      <c r="M122" s="1269">
        <f>Rechnungen!O123*S48</f>
        <v>0</v>
      </c>
      <c r="N122" s="1266"/>
      <c r="O122" s="1262">
        <v>0.9</v>
      </c>
      <c r="P122" s="1262">
        <v>0.7</v>
      </c>
      <c r="Q122" s="1254"/>
      <c r="R122" s="1254"/>
      <c r="S122" s="1270">
        <f>Rechnungen!P123*S48</f>
        <v>0</v>
      </c>
    </row>
    <row r="123" spans="1:19" ht="16.5" customHeight="1" x14ac:dyDescent="0.25">
      <c r="A123" s="1238">
        <v>13</v>
      </c>
      <c r="B123" s="1261" t="str">
        <f>IF(R49&lt;&gt;"",IF(Rechnungen!Q124=1,B49,""),"")</f>
        <v/>
      </c>
      <c r="C123" s="1611" t="str">
        <f>IF(R49&lt;&gt;"",IF(Rechnungen!Q124=1,C49,""),"")</f>
        <v/>
      </c>
      <c r="D123" s="1612"/>
      <c r="E123" s="1612"/>
      <c r="F123" s="1613"/>
      <c r="G123" s="1290">
        <v>31</v>
      </c>
      <c r="J123" s="1234"/>
      <c r="K123" s="1250">
        <f>Rechnungen!C199</f>
        <v>0</v>
      </c>
      <c r="L123" s="1250">
        <f>Rechnungen!D199</f>
        <v>0</v>
      </c>
      <c r="M123" s="1269">
        <f>Rechnungen!O124*S49</f>
        <v>0</v>
      </c>
      <c r="N123" s="1266"/>
      <c r="O123" s="1262">
        <v>0.9</v>
      </c>
      <c r="P123" s="1262">
        <v>0.7</v>
      </c>
      <c r="Q123" s="1254"/>
      <c r="R123" s="1254"/>
      <c r="S123" s="1270">
        <f>Rechnungen!P124*S49</f>
        <v>0</v>
      </c>
    </row>
    <row r="124" spans="1:19" ht="16.5" customHeight="1" x14ac:dyDescent="0.25">
      <c r="A124" s="1238">
        <v>14</v>
      </c>
      <c r="B124" s="1261" t="str">
        <f>IF(R50&lt;&gt;"",IF(Rechnungen!Q125=1,B50,""),"")</f>
        <v/>
      </c>
      <c r="C124" s="1611" t="str">
        <f>IF(R50&lt;&gt;"",IF(Rechnungen!Q125=1,C50,""),"")</f>
        <v/>
      </c>
      <c r="D124" s="1612"/>
      <c r="E124" s="1612"/>
      <c r="F124" s="1613"/>
      <c r="G124" s="1290">
        <v>1</v>
      </c>
      <c r="J124" s="1234"/>
      <c r="K124" s="1250">
        <f>Rechnungen!C200</f>
        <v>0</v>
      </c>
      <c r="L124" s="1250">
        <f>Rechnungen!D200</f>
        <v>0</v>
      </c>
      <c r="M124" s="1269">
        <f>Rechnungen!O125*S50</f>
        <v>0</v>
      </c>
      <c r="N124" s="1266"/>
      <c r="O124" s="1262">
        <v>0.9</v>
      </c>
      <c r="P124" s="1262">
        <v>0.7</v>
      </c>
      <c r="Q124" s="1254"/>
      <c r="R124" s="1254"/>
      <c r="S124" s="1270">
        <f>Rechnungen!P125*S50</f>
        <v>0</v>
      </c>
    </row>
    <row r="125" spans="1:19" ht="16.5" customHeight="1" x14ac:dyDescent="0.25">
      <c r="A125" s="1238">
        <v>15</v>
      </c>
      <c r="B125" s="1261" t="str">
        <f>IF(R51&lt;&gt;"",IF(Rechnungen!Q126=1,B51,""),"")</f>
        <v/>
      </c>
      <c r="C125" s="1611" t="str">
        <f>IF(R51&lt;&gt;"",IF(Rechnungen!Q126=1,C51,""),"")</f>
        <v/>
      </c>
      <c r="D125" s="1612"/>
      <c r="E125" s="1612"/>
      <c r="F125" s="1613"/>
      <c r="G125" s="1290">
        <v>1</v>
      </c>
      <c r="J125" s="1234"/>
      <c r="K125" s="1250">
        <f>Rechnungen!C201</f>
        <v>0</v>
      </c>
      <c r="L125" s="1250">
        <f>Rechnungen!D201</f>
        <v>0</v>
      </c>
      <c r="M125" s="1269">
        <f>Rechnungen!O126*S51</f>
        <v>0</v>
      </c>
      <c r="N125" s="1266"/>
      <c r="O125" s="1262">
        <v>0.9</v>
      </c>
      <c r="P125" s="1262">
        <v>0.7</v>
      </c>
      <c r="Q125" s="1254"/>
      <c r="R125" s="1254"/>
      <c r="S125" s="1270">
        <f>Rechnungen!P126*S51</f>
        <v>0</v>
      </c>
    </row>
    <row r="126" spans="1:19" ht="16.5" customHeight="1" x14ac:dyDescent="0.25">
      <c r="A126" s="1238">
        <v>16</v>
      </c>
      <c r="B126" s="1261" t="str">
        <f>IF(R52&lt;&gt;"",IF(Rechnungen!Q127=1,B52,""),"")</f>
        <v/>
      </c>
      <c r="C126" s="1611" t="str">
        <f>IF(R52&lt;&gt;"",IF(Rechnungen!Q127=1,C52,""),"")</f>
        <v/>
      </c>
      <c r="D126" s="1612"/>
      <c r="E126" s="1612"/>
      <c r="F126" s="1613"/>
      <c r="G126" s="1290">
        <v>1</v>
      </c>
      <c r="J126" s="1234"/>
      <c r="K126" s="1250">
        <f>Rechnungen!C202</f>
        <v>0</v>
      </c>
      <c r="L126" s="1250">
        <f>Rechnungen!D202</f>
        <v>0</v>
      </c>
      <c r="M126" s="1269">
        <f>Rechnungen!O127*S52</f>
        <v>0</v>
      </c>
      <c r="N126" s="1266"/>
      <c r="O126" s="1262">
        <v>0.9</v>
      </c>
      <c r="P126" s="1262">
        <v>0.7</v>
      </c>
      <c r="Q126" s="1254"/>
      <c r="R126" s="1254"/>
      <c r="S126" s="1270">
        <f>Rechnungen!P127*S52</f>
        <v>0</v>
      </c>
    </row>
    <row r="127" spans="1:19" ht="16.5" customHeight="1" x14ac:dyDescent="0.25">
      <c r="A127" s="1238">
        <v>17</v>
      </c>
      <c r="B127" s="1261" t="str">
        <f>IF(R53&lt;&gt;"",IF(Rechnungen!Q128=1,B53,""),"")</f>
        <v/>
      </c>
      <c r="C127" s="1611" t="str">
        <f>IF(R53&lt;&gt;"",IF(Rechnungen!Q128=1,C53,""),"")</f>
        <v/>
      </c>
      <c r="D127" s="1612"/>
      <c r="E127" s="1612"/>
      <c r="F127" s="1613"/>
      <c r="G127" s="1290">
        <v>1</v>
      </c>
      <c r="J127" s="1234"/>
      <c r="K127" s="1250">
        <f>Rechnungen!C203</f>
        <v>0</v>
      </c>
      <c r="L127" s="1250">
        <f>Rechnungen!D203</f>
        <v>0</v>
      </c>
      <c r="M127" s="1269">
        <f>Rechnungen!O128*S53</f>
        <v>0</v>
      </c>
      <c r="N127" s="1266"/>
      <c r="O127" s="1262">
        <v>0.9</v>
      </c>
      <c r="P127" s="1262">
        <v>0.7</v>
      </c>
      <c r="Q127" s="1254"/>
      <c r="R127" s="1254"/>
      <c r="S127" s="1270">
        <f>Rechnungen!P128*S53</f>
        <v>0</v>
      </c>
    </row>
    <row r="128" spans="1:19" ht="16.5" customHeight="1" x14ac:dyDescent="0.25">
      <c r="A128" s="1238">
        <v>18</v>
      </c>
      <c r="B128" s="1261" t="str">
        <f>IF(R54&lt;&gt;"",IF(Rechnungen!Q129=1,B54,""),"")</f>
        <v/>
      </c>
      <c r="C128" s="1611" t="str">
        <f>IF(R54&lt;&gt;"",IF(Rechnungen!Q129=1,C54,""),"")</f>
        <v/>
      </c>
      <c r="D128" s="1612"/>
      <c r="E128" s="1612"/>
      <c r="F128" s="1613"/>
      <c r="G128" s="1290">
        <v>1</v>
      </c>
      <c r="J128" s="1234"/>
      <c r="K128" s="1250">
        <f>Rechnungen!C204</f>
        <v>0</v>
      </c>
      <c r="L128" s="1250">
        <f>Rechnungen!D204</f>
        <v>0</v>
      </c>
      <c r="M128" s="1269">
        <f>Rechnungen!O129*S54</f>
        <v>0</v>
      </c>
      <c r="N128" s="1266"/>
      <c r="O128" s="1262">
        <v>0.9</v>
      </c>
      <c r="P128" s="1262">
        <v>0.7</v>
      </c>
      <c r="Q128" s="1254"/>
      <c r="R128" s="1254"/>
      <c r="S128" s="1270">
        <f>Rechnungen!P129*S54</f>
        <v>0</v>
      </c>
    </row>
    <row r="129" spans="1:22" ht="16.5" customHeight="1" x14ac:dyDescent="0.25">
      <c r="A129" s="1238">
        <v>19</v>
      </c>
      <c r="B129" s="1261" t="str">
        <f>IF(R55&lt;&gt;"",IF(Rechnungen!Q130=1,B55,""),"")</f>
        <v/>
      </c>
      <c r="C129" s="1611" t="str">
        <f>IF(R55&lt;&gt;"",IF(Rechnungen!Q130=1,C55,""),"")</f>
        <v/>
      </c>
      <c r="D129" s="1612"/>
      <c r="E129" s="1612"/>
      <c r="F129" s="1613"/>
      <c r="G129" s="1290">
        <v>1</v>
      </c>
      <c r="J129" s="1234"/>
      <c r="K129" s="1250">
        <f>Rechnungen!C205</f>
        <v>0</v>
      </c>
      <c r="L129" s="1250">
        <f>Rechnungen!D205</f>
        <v>0</v>
      </c>
      <c r="M129" s="1269">
        <f>Rechnungen!O130*S55</f>
        <v>0</v>
      </c>
      <c r="N129" s="1266"/>
      <c r="O129" s="1262">
        <v>0.9</v>
      </c>
      <c r="P129" s="1262">
        <v>0.7</v>
      </c>
      <c r="Q129" s="1254"/>
      <c r="R129" s="1254"/>
      <c r="S129" s="1270">
        <f>Rechnungen!P130*S55</f>
        <v>0</v>
      </c>
    </row>
    <row r="130" spans="1:22" ht="16.5" customHeight="1" x14ac:dyDescent="0.25">
      <c r="A130" s="1238">
        <v>20</v>
      </c>
      <c r="B130" s="1261" t="str">
        <f>IF(R56&lt;&gt;"",IF(Rechnungen!Q131=1,B56,""),"")</f>
        <v/>
      </c>
      <c r="C130" s="1611" t="str">
        <f>IF(R56&lt;&gt;"",IF(Rechnungen!Q131=1,C56,""),"")</f>
        <v/>
      </c>
      <c r="D130" s="1612"/>
      <c r="E130" s="1612"/>
      <c r="F130" s="1613"/>
      <c r="G130" s="1290">
        <v>1</v>
      </c>
      <c r="J130" s="1234"/>
      <c r="K130" s="1250">
        <f>Rechnungen!C206</f>
        <v>0</v>
      </c>
      <c r="L130" s="1250">
        <f>Rechnungen!D206</f>
        <v>0</v>
      </c>
      <c r="M130" s="1269">
        <f>Rechnungen!O131*S56</f>
        <v>0</v>
      </c>
      <c r="N130" s="1266"/>
      <c r="O130" s="1262">
        <v>0.9</v>
      </c>
      <c r="P130" s="1262">
        <v>0.7</v>
      </c>
      <c r="Q130" s="1254"/>
      <c r="R130" s="1254"/>
      <c r="S130" s="1270">
        <f>Rechnungen!P131*S56</f>
        <v>0</v>
      </c>
    </row>
    <row r="131" spans="1:22" ht="16.5" customHeight="1" x14ac:dyDescent="0.25">
      <c r="A131" s="1238">
        <v>21</v>
      </c>
      <c r="B131" s="1261" t="str">
        <f>IF(R57&lt;&gt;"",IF(Rechnungen!Q132=1,B57,""),"")</f>
        <v/>
      </c>
      <c r="C131" s="1611" t="str">
        <f>IF(R57&lt;&gt;"",IF(Rechnungen!Q132=1,C57,""),"")</f>
        <v/>
      </c>
      <c r="D131" s="1612"/>
      <c r="E131" s="1612"/>
      <c r="F131" s="1613"/>
      <c r="G131" s="1290">
        <v>1</v>
      </c>
      <c r="J131" s="1234"/>
      <c r="K131" s="1250">
        <f>Rechnungen!C207</f>
        <v>0</v>
      </c>
      <c r="L131" s="1250">
        <f>Rechnungen!D207</f>
        <v>0</v>
      </c>
      <c r="M131" s="1269">
        <f>Rechnungen!O132*S57</f>
        <v>0</v>
      </c>
      <c r="N131" s="1266"/>
      <c r="O131" s="1262">
        <v>0.9</v>
      </c>
      <c r="P131" s="1262">
        <v>0.7</v>
      </c>
      <c r="Q131" s="1254"/>
      <c r="R131" s="1254"/>
      <c r="S131" s="1270">
        <f>Rechnungen!P132*S57</f>
        <v>0</v>
      </c>
    </row>
    <row r="132" spans="1:22" ht="16.5" customHeight="1" x14ac:dyDescent="0.25">
      <c r="A132" s="1238">
        <v>22</v>
      </c>
      <c r="B132" s="1261" t="str">
        <f>IF(R58&lt;&gt;"",IF(Rechnungen!Q133=1,B58,""),"")</f>
        <v/>
      </c>
      <c r="C132" s="1611" t="str">
        <f>IF(R58&lt;&gt;"",IF(Rechnungen!Q133=1,C58,""),"")</f>
        <v/>
      </c>
      <c r="D132" s="1612"/>
      <c r="E132" s="1612"/>
      <c r="F132" s="1613"/>
      <c r="G132" s="1290">
        <v>1</v>
      </c>
      <c r="J132" s="1234"/>
      <c r="K132" s="1250">
        <f>Rechnungen!C208</f>
        <v>0</v>
      </c>
      <c r="L132" s="1250">
        <f>Rechnungen!D208</f>
        <v>0</v>
      </c>
      <c r="M132" s="1269">
        <f>Rechnungen!O133*S58</f>
        <v>0</v>
      </c>
      <c r="N132" s="1266"/>
      <c r="O132" s="1262">
        <v>0.9</v>
      </c>
      <c r="P132" s="1262">
        <v>0.7</v>
      </c>
      <c r="Q132" s="1254"/>
      <c r="R132" s="1254"/>
      <c r="S132" s="1270">
        <f>Rechnungen!P133*S58</f>
        <v>0</v>
      </c>
    </row>
    <row r="133" spans="1:22" ht="16.5" customHeight="1" x14ac:dyDescent="0.25">
      <c r="A133" s="1238">
        <v>23</v>
      </c>
      <c r="B133" s="1261" t="str">
        <f>IF(R59&lt;&gt;"",IF(Rechnungen!Q134=1,B59,""),"")</f>
        <v/>
      </c>
      <c r="C133" s="1611" t="str">
        <f>IF(R59&lt;&gt;"",IF(Rechnungen!Q134=1,C59,""),"")</f>
        <v/>
      </c>
      <c r="D133" s="1612"/>
      <c r="E133" s="1612"/>
      <c r="F133" s="1613"/>
      <c r="G133" s="1290">
        <v>1</v>
      </c>
      <c r="J133" s="1234"/>
      <c r="K133" s="1250">
        <f>Rechnungen!C209</f>
        <v>0</v>
      </c>
      <c r="L133" s="1250">
        <f>Rechnungen!D209</f>
        <v>0</v>
      </c>
      <c r="M133" s="1269">
        <f>Rechnungen!O134*S59</f>
        <v>0</v>
      </c>
      <c r="N133" s="1266"/>
      <c r="O133" s="1262">
        <v>0.9</v>
      </c>
      <c r="P133" s="1262">
        <v>0.7</v>
      </c>
      <c r="Q133" s="1254"/>
      <c r="R133" s="1254"/>
      <c r="S133" s="1270">
        <f>Rechnungen!P134*S59</f>
        <v>0</v>
      </c>
    </row>
    <row r="134" spans="1:22" ht="16.5" customHeight="1" x14ac:dyDescent="0.25">
      <c r="A134" s="1238">
        <v>24</v>
      </c>
      <c r="B134" s="1261" t="str">
        <f>IF(R60&lt;&gt;"",IF(Rechnungen!Q135=1,B60,""),"")</f>
        <v/>
      </c>
      <c r="C134" s="1611" t="str">
        <f>IF(R60&lt;&gt;"",IF(Rechnungen!Q135=1,C60,""),"")</f>
        <v/>
      </c>
      <c r="D134" s="1612"/>
      <c r="E134" s="1612"/>
      <c r="F134" s="1613"/>
      <c r="G134" s="1290">
        <v>1</v>
      </c>
      <c r="J134" s="1234"/>
      <c r="K134" s="1250">
        <f>Rechnungen!C210</f>
        <v>0</v>
      </c>
      <c r="L134" s="1250">
        <f>Rechnungen!D210</f>
        <v>0</v>
      </c>
      <c r="M134" s="1269">
        <f>Rechnungen!O135*S60</f>
        <v>0</v>
      </c>
      <c r="N134" s="1266"/>
      <c r="O134" s="1262">
        <v>0.9</v>
      </c>
      <c r="P134" s="1262">
        <v>0.7</v>
      </c>
      <c r="Q134" s="1254"/>
      <c r="R134" s="1254"/>
      <c r="S134" s="1270">
        <f>Rechnungen!P135*S60</f>
        <v>0</v>
      </c>
    </row>
    <row r="135" spans="1:22" ht="16.5" customHeight="1" x14ac:dyDescent="0.25">
      <c r="A135" s="1238">
        <v>25</v>
      </c>
      <c r="B135" s="1261" t="str">
        <f>IF(R61&lt;&gt;"",IF(Rechnungen!Q136=1,B61,""),"")</f>
        <v/>
      </c>
      <c r="C135" s="1611" t="str">
        <f>IF(R61&lt;&gt;"",IF(Rechnungen!Q136=1,C61,""),"")</f>
        <v/>
      </c>
      <c r="D135" s="1612"/>
      <c r="E135" s="1612"/>
      <c r="F135" s="1613"/>
      <c r="G135" s="1290">
        <v>1</v>
      </c>
      <c r="J135" s="1234"/>
      <c r="K135" s="1250">
        <f>Rechnungen!C211</f>
        <v>0</v>
      </c>
      <c r="L135" s="1250">
        <f>Rechnungen!D211</f>
        <v>0</v>
      </c>
      <c r="M135" s="1269">
        <f>Rechnungen!O136*S61</f>
        <v>0</v>
      </c>
      <c r="N135" s="1266"/>
      <c r="O135" s="1262">
        <v>0.9</v>
      </c>
      <c r="P135" s="1262">
        <v>0.7</v>
      </c>
      <c r="Q135" s="1254"/>
      <c r="R135" s="1254"/>
      <c r="S135" s="1270">
        <f>Rechnungen!P136*S61</f>
        <v>0</v>
      </c>
    </row>
    <row r="136" spans="1:22" ht="16.5" customHeight="1" x14ac:dyDescent="0.25">
      <c r="A136" s="1238">
        <v>26</v>
      </c>
      <c r="B136" s="1261" t="str">
        <f>IF(R62&lt;&gt;"",IF(Rechnungen!Q137=1,B62,""),"")</f>
        <v/>
      </c>
      <c r="C136" s="1611" t="str">
        <f>IF(R62&lt;&gt;"",IF(Rechnungen!Q137=1,C62,""),"")</f>
        <v/>
      </c>
      <c r="D136" s="1612"/>
      <c r="E136" s="1612"/>
      <c r="F136" s="1613"/>
      <c r="G136" s="1290">
        <v>1</v>
      </c>
      <c r="J136" s="1234"/>
      <c r="K136" s="1250">
        <f>Rechnungen!C212</f>
        <v>0</v>
      </c>
      <c r="L136" s="1250">
        <f>Rechnungen!D212</f>
        <v>0</v>
      </c>
      <c r="M136" s="1269">
        <f>Rechnungen!O137*S62</f>
        <v>0</v>
      </c>
      <c r="N136" s="1266"/>
      <c r="O136" s="1262">
        <v>0.9</v>
      </c>
      <c r="P136" s="1262">
        <v>0.7</v>
      </c>
      <c r="Q136" s="1254"/>
      <c r="R136" s="1254"/>
      <c r="S136" s="1270">
        <f>Rechnungen!P137*S62</f>
        <v>0</v>
      </c>
    </row>
    <row r="137" spans="1:22" ht="16.5" customHeight="1" x14ac:dyDescent="0.25">
      <c r="A137" s="1238">
        <v>27</v>
      </c>
      <c r="B137" s="1261" t="str">
        <f>IF(R63&lt;&gt;"",IF(Rechnungen!Q138=1,B63,""),"")</f>
        <v/>
      </c>
      <c r="C137" s="1611" t="str">
        <f>IF(R63&lt;&gt;"",IF(Rechnungen!Q138=1,C63,""),"")</f>
        <v/>
      </c>
      <c r="D137" s="1612"/>
      <c r="E137" s="1612"/>
      <c r="F137" s="1613"/>
      <c r="G137" s="1290">
        <v>1</v>
      </c>
      <c r="J137" s="1234"/>
      <c r="K137" s="1250">
        <f>Rechnungen!C213</f>
        <v>0</v>
      </c>
      <c r="L137" s="1250">
        <f>Rechnungen!D213</f>
        <v>0</v>
      </c>
      <c r="M137" s="1269">
        <f>Rechnungen!O138*S63</f>
        <v>0</v>
      </c>
      <c r="N137" s="1266"/>
      <c r="O137" s="1262">
        <v>0.9</v>
      </c>
      <c r="P137" s="1262">
        <v>0.7</v>
      </c>
      <c r="Q137" s="1254"/>
      <c r="R137" s="1254"/>
      <c r="S137" s="1270">
        <f>Rechnungen!P138*S63</f>
        <v>0</v>
      </c>
    </row>
    <row r="138" spans="1:22" ht="16.5" customHeight="1" x14ac:dyDescent="0.25">
      <c r="A138" s="1238">
        <v>28</v>
      </c>
      <c r="B138" s="1261" t="str">
        <f>IF(R64&lt;&gt;"",IF(Rechnungen!Q139=1,B64,""),"")</f>
        <v/>
      </c>
      <c r="C138" s="1611" t="str">
        <f>IF(R64&lt;&gt;"",IF(Rechnungen!Q139=1,C64,""),"")</f>
        <v/>
      </c>
      <c r="D138" s="1612"/>
      <c r="E138" s="1612"/>
      <c r="F138" s="1613"/>
      <c r="G138" s="1290">
        <v>1</v>
      </c>
      <c r="J138" s="1234"/>
      <c r="K138" s="1250">
        <f>Rechnungen!C214</f>
        <v>0</v>
      </c>
      <c r="L138" s="1250">
        <f>Rechnungen!D214</f>
        <v>0</v>
      </c>
      <c r="M138" s="1269">
        <f>Rechnungen!O139*S64</f>
        <v>0</v>
      </c>
      <c r="N138" s="1266"/>
      <c r="O138" s="1262">
        <v>0.9</v>
      </c>
      <c r="P138" s="1262">
        <v>0.7</v>
      </c>
      <c r="Q138" s="1254"/>
      <c r="R138" s="1254"/>
      <c r="S138" s="1270">
        <f>Rechnungen!P139*S64</f>
        <v>0</v>
      </c>
    </row>
    <row r="139" spans="1:22" ht="16.5" customHeight="1" x14ac:dyDescent="0.25">
      <c r="A139" s="1238">
        <v>29</v>
      </c>
      <c r="B139" s="1261" t="str">
        <f>IF(R65&lt;&gt;"",IF(Rechnungen!Q140=1,B65,""),"")</f>
        <v/>
      </c>
      <c r="C139" s="1611" t="str">
        <f>IF(R65&lt;&gt;"",IF(Rechnungen!Q140=1,C65,""),"")</f>
        <v/>
      </c>
      <c r="D139" s="1612"/>
      <c r="E139" s="1612"/>
      <c r="F139" s="1613"/>
      <c r="G139" s="1290">
        <v>1</v>
      </c>
      <c r="J139" s="1234"/>
      <c r="K139" s="1250">
        <f>Rechnungen!C215</f>
        <v>0</v>
      </c>
      <c r="L139" s="1250">
        <f>Rechnungen!D215</f>
        <v>0</v>
      </c>
      <c r="M139" s="1269">
        <f>Rechnungen!O140*S65</f>
        <v>0</v>
      </c>
      <c r="N139" s="1266"/>
      <c r="O139" s="1262">
        <v>0.9</v>
      </c>
      <c r="P139" s="1262">
        <v>0.7</v>
      </c>
      <c r="Q139" s="1254"/>
      <c r="R139" s="1254"/>
      <c r="S139" s="1270">
        <f>Rechnungen!P140*S65</f>
        <v>0</v>
      </c>
    </row>
    <row r="140" spans="1:22" ht="16.5" customHeight="1" x14ac:dyDescent="0.25">
      <c r="A140" s="1238">
        <v>30</v>
      </c>
      <c r="B140" s="1261" t="str">
        <f>IF(R66&lt;&gt;"",IF(Rechnungen!Q141=1,B66,""),"")</f>
        <v/>
      </c>
      <c r="C140" s="1611" t="str">
        <f>IF(R66&lt;&gt;"",IF(Rechnungen!Q141=1,C66,""),"")</f>
        <v/>
      </c>
      <c r="D140" s="1612"/>
      <c r="E140" s="1612"/>
      <c r="F140" s="1613"/>
      <c r="G140" s="1290">
        <v>1</v>
      </c>
      <c r="J140" s="1234"/>
      <c r="K140" s="1250">
        <f>Rechnungen!C216</f>
        <v>0</v>
      </c>
      <c r="L140" s="1250">
        <f>Rechnungen!D216</f>
        <v>0</v>
      </c>
      <c r="M140" s="1269">
        <f>Rechnungen!O141*S66</f>
        <v>0</v>
      </c>
      <c r="N140" s="1266"/>
      <c r="O140" s="1262">
        <v>0.9</v>
      </c>
      <c r="P140" s="1262">
        <v>0.7</v>
      </c>
      <c r="Q140" s="1254"/>
      <c r="R140" s="1254"/>
      <c r="S140" s="1270">
        <f>Rechnungen!P141*S66</f>
        <v>0</v>
      </c>
    </row>
    <row r="141" spans="1:22" ht="13" thickBot="1" x14ac:dyDescent="0.3">
      <c r="A141" s="1243"/>
      <c r="B141" s="1244"/>
      <c r="C141" s="1244"/>
      <c r="D141" s="1244"/>
      <c r="E141" s="1244"/>
      <c r="F141" s="1244"/>
      <c r="G141" s="1244"/>
      <c r="H141" s="1244"/>
      <c r="I141" s="1244"/>
      <c r="J141" s="1244"/>
      <c r="K141" s="1244"/>
      <c r="L141" s="1244"/>
      <c r="M141" s="1600" t="s">
        <v>1229</v>
      </c>
      <c r="N141" s="1605"/>
      <c r="O141" s="1605"/>
      <c r="P141" s="1605"/>
      <c r="Q141" s="1605"/>
      <c r="R141" s="1605"/>
      <c r="S141" s="1606"/>
    </row>
    <row r="142" spans="1:22" s="1237" customFormat="1" ht="15.75" customHeight="1" x14ac:dyDescent="0.35">
      <c r="A142" s="804" t="s">
        <v>989</v>
      </c>
      <c r="B142" s="805" t="s">
        <v>990</v>
      </c>
      <c r="C142" s="1235"/>
      <c r="D142" s="1235"/>
      <c r="E142" s="1235"/>
      <c r="F142" s="1235"/>
      <c r="G142" s="1235"/>
      <c r="H142" s="1235"/>
      <c r="I142" s="1235"/>
      <c r="J142" s="1235"/>
      <c r="K142" s="1235"/>
      <c r="L142" s="1236"/>
      <c r="M142" s="1605"/>
      <c r="N142" s="1605"/>
      <c r="O142" s="1605"/>
      <c r="P142" s="1605"/>
      <c r="Q142" s="1605"/>
      <c r="R142" s="1605"/>
      <c r="S142" s="1606"/>
      <c r="T142" s="1462"/>
      <c r="U142" s="1462"/>
      <c r="V142" s="1462"/>
    </row>
    <row r="143" spans="1:22" ht="12.75" customHeight="1" x14ac:dyDescent="0.25">
      <c r="A143" s="1238"/>
      <c r="L143" s="1240"/>
      <c r="M143" s="1605"/>
      <c r="N143" s="1605"/>
      <c r="O143" s="1605"/>
      <c r="P143" s="1605"/>
      <c r="Q143" s="1605"/>
      <c r="R143" s="1605"/>
      <c r="S143" s="1606"/>
    </row>
    <row r="144" spans="1:22" x14ac:dyDescent="0.25">
      <c r="A144" s="1238"/>
      <c r="B144" s="1239" t="s">
        <v>997</v>
      </c>
      <c r="F144" s="1265">
        <v>5</v>
      </c>
      <c r="G144" s="1239" t="s">
        <v>998</v>
      </c>
      <c r="L144" s="1240"/>
      <c r="M144" s="1599" t="s">
        <v>1230</v>
      </c>
      <c r="N144" s="1600"/>
      <c r="O144" s="1600"/>
      <c r="P144" s="1600"/>
      <c r="Q144" s="1600"/>
      <c r="R144" s="1600"/>
      <c r="S144" s="1601"/>
    </row>
    <row r="145" spans="1:22" ht="13" thickBot="1" x14ac:dyDescent="0.3">
      <c r="A145" s="1243"/>
      <c r="B145" s="1244"/>
      <c r="C145" s="1244"/>
      <c r="D145" s="1244"/>
      <c r="E145" s="1244"/>
      <c r="F145" s="1244"/>
      <c r="G145" s="1244"/>
      <c r="H145" s="1244"/>
      <c r="I145" s="1244"/>
      <c r="J145" s="1244"/>
      <c r="K145" s="1244"/>
      <c r="L145" s="1245"/>
      <c r="M145" s="1602"/>
      <c r="N145" s="1603"/>
      <c r="O145" s="1603"/>
      <c r="P145" s="1603"/>
      <c r="Q145" s="1603"/>
      <c r="R145" s="1603"/>
      <c r="S145" s="1604"/>
    </row>
    <row r="146" spans="1:22" s="312" customFormat="1" ht="16" thickBot="1" x14ac:dyDescent="0.4">
      <c r="A146" s="1263" t="str">
        <f>'Allgemeines (01)'!A47</f>
        <v>Primärenergieaufwand für Wohngebäude; Programm erstellt von K. Jagnow, 2001-2023</v>
      </c>
      <c r="B146" s="1264"/>
      <c r="C146" s="1264"/>
      <c r="D146" s="1264"/>
      <c r="E146" s="1264"/>
      <c r="F146" s="1264"/>
      <c r="G146" s="1264"/>
      <c r="H146" s="1264"/>
      <c r="I146" s="1264"/>
      <c r="J146" s="1264"/>
      <c r="K146" s="1264"/>
      <c r="L146" s="1264"/>
      <c r="M146" s="1264"/>
      <c r="N146" s="1264"/>
      <c r="O146" s="1264"/>
      <c r="P146" s="1264"/>
      <c r="Q146" s="1264"/>
      <c r="R146" s="1264"/>
      <c r="S146" s="1447"/>
      <c r="T146" s="1464"/>
      <c r="U146" s="1464"/>
      <c r="V146" s="1464"/>
    </row>
  </sheetData>
  <sheetProtection algorithmName="SHA-512" hashValue="SphEAyHw83u6zCu18RjzaYrqf40LW1A1mbq1PXbO6CPicpE3KjOlTBy4lRZaqwIKDI0JHZTE9uFu4COIn4zmaA==" saltValue="FHuxnXKbLS7KZwXPpMCBZw==" spinCount="100000" sheet="1" objects="1" scenarios="1"/>
  <mergeCells count="95">
    <mergeCell ref="G32:G34"/>
    <mergeCell ref="C57:E57"/>
    <mergeCell ref="C128:F128"/>
    <mergeCell ref="C120:F120"/>
    <mergeCell ref="C121:F121"/>
    <mergeCell ref="C122:F122"/>
    <mergeCell ref="C117:F117"/>
    <mergeCell ref="C118:F118"/>
    <mergeCell ref="C115:F115"/>
    <mergeCell ref="C116:F116"/>
    <mergeCell ref="C51:E51"/>
    <mergeCell ref="C52:E52"/>
    <mergeCell ref="C59:E59"/>
    <mergeCell ref="C60:E60"/>
    <mergeCell ref="C111:F111"/>
    <mergeCell ref="C113:F113"/>
    <mergeCell ref="H2:S2"/>
    <mergeCell ref="H3:S3"/>
    <mergeCell ref="C18:R20"/>
    <mergeCell ref="C119:F119"/>
    <mergeCell ref="Q32:Q34"/>
    <mergeCell ref="C61:E61"/>
    <mergeCell ref="C62:E62"/>
    <mergeCell ref="C63:E63"/>
    <mergeCell ref="C64:E64"/>
    <mergeCell ref="D92:J93"/>
    <mergeCell ref="P107:P109"/>
    <mergeCell ref="N107:N109"/>
    <mergeCell ref="I83:J83"/>
    <mergeCell ref="I85:J85"/>
    <mergeCell ref="L82:M83"/>
    <mergeCell ref="C65:E65"/>
    <mergeCell ref="C114:F114"/>
    <mergeCell ref="C130:F130"/>
    <mergeCell ref="C123:F123"/>
    <mergeCell ref="C124:F124"/>
    <mergeCell ref="C125:F125"/>
    <mergeCell ref="C126:F126"/>
    <mergeCell ref="C127:F127"/>
    <mergeCell ref="C129:F129"/>
    <mergeCell ref="C54:E54"/>
    <mergeCell ref="C55:E55"/>
    <mergeCell ref="C56:E56"/>
    <mergeCell ref="C58:E58"/>
    <mergeCell ref="C112:F112"/>
    <mergeCell ref="C66:E66"/>
    <mergeCell ref="C22:P23"/>
    <mergeCell ref="B70:C74"/>
    <mergeCell ref="G73:K74"/>
    <mergeCell ref="G70:K72"/>
    <mergeCell ref="B98:C101"/>
    <mergeCell ref="O25:P25"/>
    <mergeCell ref="O26:P26"/>
    <mergeCell ref="C50:E50"/>
    <mergeCell ref="D90:J91"/>
    <mergeCell ref="O32:O34"/>
    <mergeCell ref="C37:E37"/>
    <mergeCell ref="C38:E38"/>
    <mergeCell ref="C39:E39"/>
    <mergeCell ref="C40:E40"/>
    <mergeCell ref="C41:E41"/>
    <mergeCell ref="C42:E42"/>
    <mergeCell ref="C133:F133"/>
    <mergeCell ref="C134:F134"/>
    <mergeCell ref="D94:J94"/>
    <mergeCell ref="G75:K76"/>
    <mergeCell ref="B28:J29"/>
    <mergeCell ref="J108:L109"/>
    <mergeCell ref="C131:F131"/>
    <mergeCell ref="C132:F132"/>
    <mergeCell ref="C43:E43"/>
    <mergeCell ref="C44:E44"/>
    <mergeCell ref="C45:E45"/>
    <mergeCell ref="C46:E46"/>
    <mergeCell ref="C47:E47"/>
    <mergeCell ref="C48:E48"/>
    <mergeCell ref="C49:E49"/>
    <mergeCell ref="C53:E53"/>
    <mergeCell ref="C139:F139"/>
    <mergeCell ref="C140:F140"/>
    <mergeCell ref="C135:F135"/>
    <mergeCell ref="C136:F136"/>
    <mergeCell ref="C137:F137"/>
    <mergeCell ref="C138:F138"/>
    <mergeCell ref="O28:P28"/>
    <mergeCell ref="O29:P29"/>
    <mergeCell ref="M144:S145"/>
    <mergeCell ref="M141:S143"/>
    <mergeCell ref="Q94:R94"/>
    <mergeCell ref="Q101:R101"/>
    <mergeCell ref="Q104:R104"/>
    <mergeCell ref="Q76:R76"/>
    <mergeCell ref="Q86:R86"/>
    <mergeCell ref="P32:P34"/>
    <mergeCell ref="O107:O109"/>
  </mergeCells>
  <phoneticPr fontId="52" type="noConversion"/>
  <conditionalFormatting sqref="J111:L140">
    <cfRule type="cellIs" dxfId="21" priority="1" stopIfTrue="1" operator="equal">
      <formula>$M111</formula>
    </cfRule>
  </conditionalFormatting>
  <conditionalFormatting sqref="N111:N140">
    <cfRule type="cellIs" dxfId="20" priority="2" stopIfTrue="1" operator="equal">
      <formula>$S111</formula>
    </cfRule>
  </conditionalFormatting>
  <conditionalFormatting sqref="O37:O66">
    <cfRule type="cellIs" dxfId="19" priority="3" stopIfTrue="1" operator="equal">
      <formula>N37</formula>
    </cfRule>
    <cfRule type="cellIs" dxfId="18" priority="4" stopIfTrue="1" operator="greaterThan">
      <formula>0</formula>
    </cfRule>
  </conditionalFormatting>
  <conditionalFormatting sqref="P37:P66">
    <cfRule type="cellIs" dxfId="17" priority="5" stopIfTrue="1" operator="equal">
      <formula>N37</formula>
    </cfRule>
    <cfRule type="cellIs" dxfId="16" priority="6" stopIfTrue="1" operator="greaterThan">
      <formula>0</formula>
    </cfRule>
  </conditionalFormatting>
  <conditionalFormatting sqref="O25:O26 O28:O29">
    <cfRule type="cellIs" dxfId="15" priority="7" stopIfTrue="1" operator="equal">
      <formula>$A$23</formula>
    </cfRule>
  </conditionalFormatting>
  <dataValidations count="5">
    <dataValidation type="decimal" allowBlank="1" showInputMessage="1" showErrorMessage="1" error="Werte von 50 bis 100 % des externen Volumens erlaubt." sqref="I85:J85" xr:uid="{00000000-0002-0000-0300-000000000000}">
      <formula1>G8*0.5</formula1>
      <formula2>G8</formula2>
    </dataValidation>
    <dataValidation type="decimal" allowBlank="1" showInputMessage="1" showErrorMessage="1" error="Werte von 30 bis 90 kWh/(m²a) eingeben." sqref="O25:P26" xr:uid="{00000000-0002-0000-0300-000001000000}">
      <formula1>30</formula1>
      <formula2>90</formula2>
    </dataValidation>
    <dataValidation type="decimal" allowBlank="1" showInputMessage="1" showErrorMessage="1" error="Werte von 200 bis 32000 m³ eingeben." sqref="G8" xr:uid="{00000000-0002-0000-0300-000002000000}">
      <formula1>200</formula1>
      <formula2>32000</formula2>
    </dataValidation>
    <dataValidation type="decimal" operator="greaterThanOrEqual" allowBlank="1" showInputMessage="1" showErrorMessage="1" error="Werte ab 2 m eingeben." sqref="G9" xr:uid="{00000000-0002-0000-0300-000003000000}">
      <formula1>2</formula1>
    </dataValidation>
    <dataValidation type="whole" operator="greaterThanOrEqual" allowBlank="1" showInputMessage="1" showErrorMessage="1" error="Ganze  Werte eingeben." sqref="M9" xr:uid="{00000000-0002-0000-0300-000004000000}">
      <formula1>1</formula1>
    </dataValidation>
  </dataValidations>
  <pageMargins left="0.78740157480314965" right="0.78740157480314965" top="0.98425196850393704" bottom="0.98425196850393704" header="0.51181102362204722" footer="0.51181102362204722"/>
  <pageSetup paperSize="9" scale="64" fitToHeight="2" orientation="portrait" horizontalDpi="4294967293" r:id="rId1"/>
  <headerFooter alignWithMargins="0"/>
  <rowBreaks count="1" manualBreakCount="1">
    <brk id="7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99329" r:id="rId4" name="Drop Down 1">
              <controlPr defaultSize="0" autoLine="0" autoPict="0">
                <anchor moveWithCells="1">
                  <from>
                    <xdr:col>7</xdr:col>
                    <xdr:colOff>107950</xdr:colOff>
                    <xdr:row>36</xdr:row>
                    <xdr:rowOff>19050</xdr:rowOff>
                  </from>
                  <to>
                    <xdr:col>13</xdr:col>
                    <xdr:colOff>457200</xdr:colOff>
                    <xdr:row>37</xdr:row>
                    <xdr:rowOff>0</xdr:rowOff>
                  </to>
                </anchor>
              </controlPr>
            </control>
          </mc:Choice>
        </mc:AlternateContent>
        <mc:AlternateContent xmlns:mc="http://schemas.openxmlformats.org/markup-compatibility/2006">
          <mc:Choice Requires="x14">
            <control shapeId="99330" r:id="rId5" name="Check Box 2">
              <controlPr locked="0" defaultSize="0" autoFill="0" autoLine="0" autoPict="0">
                <anchor moveWithCells="1">
                  <from>
                    <xdr:col>1</xdr:col>
                    <xdr:colOff>12700</xdr:colOff>
                    <xdr:row>21</xdr:row>
                    <xdr:rowOff>50800</xdr:rowOff>
                  </from>
                  <to>
                    <xdr:col>1</xdr:col>
                    <xdr:colOff>317500</xdr:colOff>
                    <xdr:row>22</xdr:row>
                    <xdr:rowOff>107950</xdr:rowOff>
                  </to>
                </anchor>
              </controlPr>
            </control>
          </mc:Choice>
        </mc:AlternateContent>
        <mc:AlternateContent xmlns:mc="http://schemas.openxmlformats.org/markup-compatibility/2006">
          <mc:Choice Requires="x14">
            <control shapeId="99331" r:id="rId6" name="Option Button 3">
              <controlPr defaultSize="0" autoFill="0" autoLine="0" autoPict="0">
                <anchor moveWithCells="1">
                  <from>
                    <xdr:col>3</xdr:col>
                    <xdr:colOff>107950</xdr:colOff>
                    <xdr:row>69</xdr:row>
                    <xdr:rowOff>0</xdr:rowOff>
                  </from>
                  <to>
                    <xdr:col>3</xdr:col>
                    <xdr:colOff>412750</xdr:colOff>
                    <xdr:row>70</xdr:row>
                    <xdr:rowOff>38100</xdr:rowOff>
                  </to>
                </anchor>
              </controlPr>
            </control>
          </mc:Choice>
        </mc:AlternateContent>
        <mc:AlternateContent xmlns:mc="http://schemas.openxmlformats.org/markup-compatibility/2006">
          <mc:Choice Requires="x14">
            <control shapeId="99332" r:id="rId7" name="Option Button 4">
              <controlPr defaultSize="0" autoFill="0" autoLine="0" autoPict="0">
                <anchor moveWithCells="1">
                  <from>
                    <xdr:col>3</xdr:col>
                    <xdr:colOff>95250</xdr:colOff>
                    <xdr:row>70</xdr:row>
                    <xdr:rowOff>31750</xdr:rowOff>
                  </from>
                  <to>
                    <xdr:col>3</xdr:col>
                    <xdr:colOff>400050</xdr:colOff>
                    <xdr:row>71</xdr:row>
                    <xdr:rowOff>38100</xdr:rowOff>
                  </to>
                </anchor>
              </controlPr>
            </control>
          </mc:Choice>
        </mc:AlternateContent>
        <mc:AlternateContent xmlns:mc="http://schemas.openxmlformats.org/markup-compatibility/2006">
          <mc:Choice Requires="x14">
            <control shapeId="99333" r:id="rId8" name="Option Button 5">
              <controlPr defaultSize="0" autoFill="0" autoLine="0" autoPict="0">
                <anchor moveWithCells="1">
                  <from>
                    <xdr:col>3</xdr:col>
                    <xdr:colOff>95250</xdr:colOff>
                    <xdr:row>71</xdr:row>
                    <xdr:rowOff>133350</xdr:rowOff>
                  </from>
                  <to>
                    <xdr:col>3</xdr:col>
                    <xdr:colOff>400050</xdr:colOff>
                    <xdr:row>73</xdr:row>
                    <xdr:rowOff>31750</xdr:rowOff>
                  </to>
                </anchor>
              </controlPr>
            </control>
          </mc:Choice>
        </mc:AlternateContent>
        <mc:AlternateContent xmlns:mc="http://schemas.openxmlformats.org/markup-compatibility/2006">
          <mc:Choice Requires="x14">
            <control shapeId="99334" r:id="rId9" name="Group Box 6">
              <controlPr defaultSize="0" autoFill="0" autoPict="0">
                <anchor moveWithCells="1">
                  <from>
                    <xdr:col>0</xdr:col>
                    <xdr:colOff>285750</xdr:colOff>
                    <xdr:row>68</xdr:row>
                    <xdr:rowOff>19050</xdr:rowOff>
                  </from>
                  <to>
                    <xdr:col>10</xdr:col>
                    <xdr:colOff>628650</xdr:colOff>
                    <xdr:row>76</xdr:row>
                    <xdr:rowOff>19050</xdr:rowOff>
                  </to>
                </anchor>
              </controlPr>
            </control>
          </mc:Choice>
        </mc:AlternateContent>
        <mc:AlternateContent xmlns:mc="http://schemas.openxmlformats.org/markup-compatibility/2006">
          <mc:Choice Requires="x14">
            <control shapeId="99337" r:id="rId10" name="Group Box 9">
              <controlPr defaultSize="0" autoFill="0" autoPict="0">
                <anchor moveWithCells="1">
                  <from>
                    <xdr:col>1</xdr:col>
                    <xdr:colOff>0</xdr:colOff>
                    <xdr:row>96</xdr:row>
                    <xdr:rowOff>88900</xdr:rowOff>
                  </from>
                  <to>
                    <xdr:col>11</xdr:col>
                    <xdr:colOff>241300</xdr:colOff>
                    <xdr:row>102</xdr:row>
                    <xdr:rowOff>38100</xdr:rowOff>
                  </to>
                </anchor>
              </controlPr>
            </control>
          </mc:Choice>
        </mc:AlternateContent>
        <mc:AlternateContent xmlns:mc="http://schemas.openxmlformats.org/markup-compatibility/2006">
          <mc:Choice Requires="x14">
            <control shapeId="99338" r:id="rId11" name="Drop Down 10">
              <controlPr defaultSize="0" autoLine="0" autoPict="0">
                <anchor moveWithCells="1">
                  <from>
                    <xdr:col>6</xdr:col>
                    <xdr:colOff>50800</xdr:colOff>
                    <xdr:row>110</xdr:row>
                    <xdr:rowOff>12700</xdr:rowOff>
                  </from>
                  <to>
                    <xdr:col>8</xdr:col>
                    <xdr:colOff>336550</xdr:colOff>
                    <xdr:row>111</xdr:row>
                    <xdr:rowOff>0</xdr:rowOff>
                  </to>
                </anchor>
              </controlPr>
            </control>
          </mc:Choice>
        </mc:AlternateContent>
        <mc:AlternateContent xmlns:mc="http://schemas.openxmlformats.org/markup-compatibility/2006">
          <mc:Choice Requires="x14">
            <control shapeId="99339" r:id="rId12" name="Group Box 11">
              <controlPr defaultSize="0" autoFill="0" autoPict="0">
                <anchor moveWithCells="1">
                  <from>
                    <xdr:col>0</xdr:col>
                    <xdr:colOff>419100</xdr:colOff>
                    <xdr:row>87</xdr:row>
                    <xdr:rowOff>0</xdr:rowOff>
                  </from>
                  <to>
                    <xdr:col>13</xdr:col>
                    <xdr:colOff>260350</xdr:colOff>
                    <xdr:row>94</xdr:row>
                    <xdr:rowOff>76200</xdr:rowOff>
                  </to>
                </anchor>
              </controlPr>
            </control>
          </mc:Choice>
        </mc:AlternateContent>
        <mc:AlternateContent xmlns:mc="http://schemas.openxmlformats.org/markup-compatibility/2006">
          <mc:Choice Requires="x14">
            <control shapeId="99340" r:id="rId13" name="Option Button 12">
              <controlPr defaultSize="0" autoFill="0" autoLine="0" autoPict="0">
                <anchor moveWithCells="1">
                  <from>
                    <xdr:col>2</xdr:col>
                    <xdr:colOff>38100</xdr:colOff>
                    <xdr:row>88</xdr:row>
                    <xdr:rowOff>127000</xdr:rowOff>
                  </from>
                  <to>
                    <xdr:col>2</xdr:col>
                    <xdr:colOff>342900</xdr:colOff>
                    <xdr:row>90</xdr:row>
                    <xdr:rowOff>19050</xdr:rowOff>
                  </to>
                </anchor>
              </controlPr>
            </control>
          </mc:Choice>
        </mc:AlternateContent>
        <mc:AlternateContent xmlns:mc="http://schemas.openxmlformats.org/markup-compatibility/2006">
          <mc:Choice Requires="x14">
            <control shapeId="99341" r:id="rId14" name="Option Button 13">
              <controlPr defaultSize="0" autoFill="0" autoLine="0" autoPict="0">
                <anchor moveWithCells="1">
                  <from>
                    <xdr:col>2</xdr:col>
                    <xdr:colOff>38100</xdr:colOff>
                    <xdr:row>90</xdr:row>
                    <xdr:rowOff>114300</xdr:rowOff>
                  </from>
                  <to>
                    <xdr:col>2</xdr:col>
                    <xdr:colOff>342900</xdr:colOff>
                    <xdr:row>92</xdr:row>
                    <xdr:rowOff>12700</xdr:rowOff>
                  </to>
                </anchor>
              </controlPr>
            </control>
          </mc:Choice>
        </mc:AlternateContent>
        <mc:AlternateContent xmlns:mc="http://schemas.openxmlformats.org/markup-compatibility/2006">
          <mc:Choice Requires="x14">
            <control shapeId="99342" r:id="rId15" name="Option Button 14">
              <controlPr defaultSize="0" autoFill="0" autoLine="0" autoPict="0">
                <anchor moveWithCells="1">
                  <from>
                    <xdr:col>2</xdr:col>
                    <xdr:colOff>38100</xdr:colOff>
                    <xdr:row>92</xdr:row>
                    <xdr:rowOff>127000</xdr:rowOff>
                  </from>
                  <to>
                    <xdr:col>2</xdr:col>
                    <xdr:colOff>342900</xdr:colOff>
                    <xdr:row>94</xdr:row>
                    <xdr:rowOff>0</xdr:rowOff>
                  </to>
                </anchor>
              </controlPr>
            </control>
          </mc:Choice>
        </mc:AlternateContent>
        <mc:AlternateContent xmlns:mc="http://schemas.openxmlformats.org/markup-compatibility/2006">
          <mc:Choice Requires="x14">
            <control shapeId="99343" r:id="rId16" name="Option Button 15">
              <controlPr defaultSize="0" autoFill="0" autoLine="0" autoPict="0">
                <anchor moveWithCells="1">
                  <from>
                    <xdr:col>2</xdr:col>
                    <xdr:colOff>0</xdr:colOff>
                    <xdr:row>81</xdr:row>
                    <xdr:rowOff>127000</xdr:rowOff>
                  </from>
                  <to>
                    <xdr:col>2</xdr:col>
                    <xdr:colOff>304800</xdr:colOff>
                    <xdr:row>83</xdr:row>
                    <xdr:rowOff>19050</xdr:rowOff>
                  </to>
                </anchor>
              </controlPr>
            </control>
          </mc:Choice>
        </mc:AlternateContent>
        <mc:AlternateContent xmlns:mc="http://schemas.openxmlformats.org/markup-compatibility/2006">
          <mc:Choice Requires="x14">
            <control shapeId="99344" r:id="rId17" name="Group Box 16">
              <controlPr defaultSize="0" autoFill="0" autoPict="0">
                <anchor moveWithCells="1">
                  <from>
                    <xdr:col>1</xdr:col>
                    <xdr:colOff>0</xdr:colOff>
                    <xdr:row>80</xdr:row>
                    <xdr:rowOff>0</xdr:rowOff>
                  </from>
                  <to>
                    <xdr:col>13</xdr:col>
                    <xdr:colOff>266700</xdr:colOff>
                    <xdr:row>86</xdr:row>
                    <xdr:rowOff>57150</xdr:rowOff>
                  </to>
                </anchor>
              </controlPr>
            </control>
          </mc:Choice>
        </mc:AlternateContent>
        <mc:AlternateContent xmlns:mc="http://schemas.openxmlformats.org/markup-compatibility/2006">
          <mc:Choice Requires="x14">
            <control shapeId="99345" r:id="rId18" name="Option Button 17">
              <controlPr defaultSize="0" autoFill="0" autoLine="0" autoPict="0">
                <anchor moveWithCells="1">
                  <from>
                    <xdr:col>2</xdr:col>
                    <xdr:colOff>0</xdr:colOff>
                    <xdr:row>83</xdr:row>
                    <xdr:rowOff>127000</xdr:rowOff>
                  </from>
                  <to>
                    <xdr:col>2</xdr:col>
                    <xdr:colOff>304800</xdr:colOff>
                    <xdr:row>85</xdr:row>
                    <xdr:rowOff>57150</xdr:rowOff>
                  </to>
                </anchor>
              </controlPr>
            </control>
          </mc:Choice>
        </mc:AlternateContent>
        <mc:AlternateContent xmlns:mc="http://schemas.openxmlformats.org/markup-compatibility/2006">
          <mc:Choice Requires="x14">
            <control shapeId="99357" r:id="rId19" name="Drop Down 29">
              <controlPr defaultSize="0" autoLine="0" autoPict="0">
                <anchor moveWithCells="1">
                  <from>
                    <xdr:col>7</xdr:col>
                    <xdr:colOff>107950</xdr:colOff>
                    <xdr:row>37</xdr:row>
                    <xdr:rowOff>19050</xdr:rowOff>
                  </from>
                  <to>
                    <xdr:col>13</xdr:col>
                    <xdr:colOff>457200</xdr:colOff>
                    <xdr:row>38</xdr:row>
                    <xdr:rowOff>0</xdr:rowOff>
                  </to>
                </anchor>
              </controlPr>
            </control>
          </mc:Choice>
        </mc:AlternateContent>
        <mc:AlternateContent xmlns:mc="http://schemas.openxmlformats.org/markup-compatibility/2006">
          <mc:Choice Requires="x14">
            <control shapeId="99358" r:id="rId20" name="Drop Down 30">
              <controlPr defaultSize="0" autoLine="0" autoPict="0">
                <anchor moveWithCells="1">
                  <from>
                    <xdr:col>7</xdr:col>
                    <xdr:colOff>107950</xdr:colOff>
                    <xdr:row>38</xdr:row>
                    <xdr:rowOff>19050</xdr:rowOff>
                  </from>
                  <to>
                    <xdr:col>13</xdr:col>
                    <xdr:colOff>457200</xdr:colOff>
                    <xdr:row>39</xdr:row>
                    <xdr:rowOff>0</xdr:rowOff>
                  </to>
                </anchor>
              </controlPr>
            </control>
          </mc:Choice>
        </mc:AlternateContent>
        <mc:AlternateContent xmlns:mc="http://schemas.openxmlformats.org/markup-compatibility/2006">
          <mc:Choice Requires="x14">
            <control shapeId="99359" r:id="rId21" name="Drop Down 31">
              <controlPr defaultSize="0" autoLine="0" autoPict="0">
                <anchor moveWithCells="1">
                  <from>
                    <xdr:col>7</xdr:col>
                    <xdr:colOff>107950</xdr:colOff>
                    <xdr:row>39</xdr:row>
                    <xdr:rowOff>19050</xdr:rowOff>
                  </from>
                  <to>
                    <xdr:col>13</xdr:col>
                    <xdr:colOff>457200</xdr:colOff>
                    <xdr:row>40</xdr:row>
                    <xdr:rowOff>0</xdr:rowOff>
                  </to>
                </anchor>
              </controlPr>
            </control>
          </mc:Choice>
        </mc:AlternateContent>
        <mc:AlternateContent xmlns:mc="http://schemas.openxmlformats.org/markup-compatibility/2006">
          <mc:Choice Requires="x14">
            <control shapeId="99360" r:id="rId22" name="Drop Down 32">
              <controlPr defaultSize="0" autoLine="0" autoPict="0">
                <anchor moveWithCells="1">
                  <from>
                    <xdr:col>7</xdr:col>
                    <xdr:colOff>107950</xdr:colOff>
                    <xdr:row>40</xdr:row>
                    <xdr:rowOff>19050</xdr:rowOff>
                  </from>
                  <to>
                    <xdr:col>13</xdr:col>
                    <xdr:colOff>457200</xdr:colOff>
                    <xdr:row>41</xdr:row>
                    <xdr:rowOff>0</xdr:rowOff>
                  </to>
                </anchor>
              </controlPr>
            </control>
          </mc:Choice>
        </mc:AlternateContent>
        <mc:AlternateContent xmlns:mc="http://schemas.openxmlformats.org/markup-compatibility/2006">
          <mc:Choice Requires="x14">
            <control shapeId="99361" r:id="rId23" name="Drop Down 33">
              <controlPr defaultSize="0" autoLine="0" autoPict="0">
                <anchor moveWithCells="1">
                  <from>
                    <xdr:col>7</xdr:col>
                    <xdr:colOff>107950</xdr:colOff>
                    <xdr:row>41</xdr:row>
                    <xdr:rowOff>19050</xdr:rowOff>
                  </from>
                  <to>
                    <xdr:col>13</xdr:col>
                    <xdr:colOff>457200</xdr:colOff>
                    <xdr:row>42</xdr:row>
                    <xdr:rowOff>0</xdr:rowOff>
                  </to>
                </anchor>
              </controlPr>
            </control>
          </mc:Choice>
        </mc:AlternateContent>
        <mc:AlternateContent xmlns:mc="http://schemas.openxmlformats.org/markup-compatibility/2006">
          <mc:Choice Requires="x14">
            <control shapeId="99362" r:id="rId24" name="Drop Down 34">
              <controlPr defaultSize="0" autoLine="0" autoPict="0">
                <anchor moveWithCells="1">
                  <from>
                    <xdr:col>7</xdr:col>
                    <xdr:colOff>107950</xdr:colOff>
                    <xdr:row>42</xdr:row>
                    <xdr:rowOff>19050</xdr:rowOff>
                  </from>
                  <to>
                    <xdr:col>13</xdr:col>
                    <xdr:colOff>457200</xdr:colOff>
                    <xdr:row>43</xdr:row>
                    <xdr:rowOff>0</xdr:rowOff>
                  </to>
                </anchor>
              </controlPr>
            </control>
          </mc:Choice>
        </mc:AlternateContent>
        <mc:AlternateContent xmlns:mc="http://schemas.openxmlformats.org/markup-compatibility/2006">
          <mc:Choice Requires="x14">
            <control shapeId="99363" r:id="rId25" name="Drop Down 35">
              <controlPr defaultSize="0" autoLine="0" autoPict="0">
                <anchor moveWithCells="1">
                  <from>
                    <xdr:col>7</xdr:col>
                    <xdr:colOff>107950</xdr:colOff>
                    <xdr:row>43</xdr:row>
                    <xdr:rowOff>19050</xdr:rowOff>
                  </from>
                  <to>
                    <xdr:col>13</xdr:col>
                    <xdr:colOff>457200</xdr:colOff>
                    <xdr:row>44</xdr:row>
                    <xdr:rowOff>0</xdr:rowOff>
                  </to>
                </anchor>
              </controlPr>
            </control>
          </mc:Choice>
        </mc:AlternateContent>
        <mc:AlternateContent xmlns:mc="http://schemas.openxmlformats.org/markup-compatibility/2006">
          <mc:Choice Requires="x14">
            <control shapeId="99364" r:id="rId26" name="Drop Down 36">
              <controlPr defaultSize="0" autoLine="0" autoPict="0">
                <anchor moveWithCells="1">
                  <from>
                    <xdr:col>7</xdr:col>
                    <xdr:colOff>107950</xdr:colOff>
                    <xdr:row>44</xdr:row>
                    <xdr:rowOff>19050</xdr:rowOff>
                  </from>
                  <to>
                    <xdr:col>13</xdr:col>
                    <xdr:colOff>457200</xdr:colOff>
                    <xdr:row>45</xdr:row>
                    <xdr:rowOff>0</xdr:rowOff>
                  </to>
                </anchor>
              </controlPr>
            </control>
          </mc:Choice>
        </mc:AlternateContent>
        <mc:AlternateContent xmlns:mc="http://schemas.openxmlformats.org/markup-compatibility/2006">
          <mc:Choice Requires="x14">
            <control shapeId="99365" r:id="rId27" name="Drop Down 37">
              <controlPr defaultSize="0" autoLine="0" autoPict="0">
                <anchor moveWithCells="1">
                  <from>
                    <xdr:col>7</xdr:col>
                    <xdr:colOff>107950</xdr:colOff>
                    <xdr:row>45</xdr:row>
                    <xdr:rowOff>19050</xdr:rowOff>
                  </from>
                  <to>
                    <xdr:col>13</xdr:col>
                    <xdr:colOff>457200</xdr:colOff>
                    <xdr:row>46</xdr:row>
                    <xdr:rowOff>0</xdr:rowOff>
                  </to>
                </anchor>
              </controlPr>
            </control>
          </mc:Choice>
        </mc:AlternateContent>
        <mc:AlternateContent xmlns:mc="http://schemas.openxmlformats.org/markup-compatibility/2006">
          <mc:Choice Requires="x14">
            <control shapeId="99366" r:id="rId28" name="Drop Down 38">
              <controlPr defaultSize="0" autoLine="0" autoPict="0">
                <anchor moveWithCells="1">
                  <from>
                    <xdr:col>7</xdr:col>
                    <xdr:colOff>107950</xdr:colOff>
                    <xdr:row>46</xdr:row>
                    <xdr:rowOff>19050</xdr:rowOff>
                  </from>
                  <to>
                    <xdr:col>13</xdr:col>
                    <xdr:colOff>457200</xdr:colOff>
                    <xdr:row>47</xdr:row>
                    <xdr:rowOff>0</xdr:rowOff>
                  </to>
                </anchor>
              </controlPr>
            </control>
          </mc:Choice>
        </mc:AlternateContent>
        <mc:AlternateContent xmlns:mc="http://schemas.openxmlformats.org/markup-compatibility/2006">
          <mc:Choice Requires="x14">
            <control shapeId="99367" r:id="rId29" name="Drop Down 39">
              <controlPr defaultSize="0" autoLine="0" autoPict="0">
                <anchor moveWithCells="1">
                  <from>
                    <xdr:col>7</xdr:col>
                    <xdr:colOff>107950</xdr:colOff>
                    <xdr:row>47</xdr:row>
                    <xdr:rowOff>19050</xdr:rowOff>
                  </from>
                  <to>
                    <xdr:col>13</xdr:col>
                    <xdr:colOff>457200</xdr:colOff>
                    <xdr:row>48</xdr:row>
                    <xdr:rowOff>0</xdr:rowOff>
                  </to>
                </anchor>
              </controlPr>
            </control>
          </mc:Choice>
        </mc:AlternateContent>
        <mc:AlternateContent xmlns:mc="http://schemas.openxmlformats.org/markup-compatibility/2006">
          <mc:Choice Requires="x14">
            <control shapeId="99368" r:id="rId30" name="Drop Down 40">
              <controlPr defaultSize="0" autoLine="0" autoPict="0">
                <anchor moveWithCells="1">
                  <from>
                    <xdr:col>7</xdr:col>
                    <xdr:colOff>107950</xdr:colOff>
                    <xdr:row>48</xdr:row>
                    <xdr:rowOff>19050</xdr:rowOff>
                  </from>
                  <to>
                    <xdr:col>13</xdr:col>
                    <xdr:colOff>457200</xdr:colOff>
                    <xdr:row>49</xdr:row>
                    <xdr:rowOff>0</xdr:rowOff>
                  </to>
                </anchor>
              </controlPr>
            </control>
          </mc:Choice>
        </mc:AlternateContent>
        <mc:AlternateContent xmlns:mc="http://schemas.openxmlformats.org/markup-compatibility/2006">
          <mc:Choice Requires="x14">
            <control shapeId="99369" r:id="rId31" name="Drop Down 41">
              <controlPr defaultSize="0" autoLine="0" autoPict="0">
                <anchor moveWithCells="1">
                  <from>
                    <xdr:col>7</xdr:col>
                    <xdr:colOff>107950</xdr:colOff>
                    <xdr:row>49</xdr:row>
                    <xdr:rowOff>19050</xdr:rowOff>
                  </from>
                  <to>
                    <xdr:col>13</xdr:col>
                    <xdr:colOff>457200</xdr:colOff>
                    <xdr:row>50</xdr:row>
                    <xdr:rowOff>0</xdr:rowOff>
                  </to>
                </anchor>
              </controlPr>
            </control>
          </mc:Choice>
        </mc:AlternateContent>
        <mc:AlternateContent xmlns:mc="http://schemas.openxmlformats.org/markup-compatibility/2006">
          <mc:Choice Requires="x14">
            <control shapeId="99370" r:id="rId32" name="Drop Down 42">
              <controlPr defaultSize="0" autoLine="0" autoPict="0">
                <anchor moveWithCells="1">
                  <from>
                    <xdr:col>7</xdr:col>
                    <xdr:colOff>107950</xdr:colOff>
                    <xdr:row>50</xdr:row>
                    <xdr:rowOff>19050</xdr:rowOff>
                  </from>
                  <to>
                    <xdr:col>13</xdr:col>
                    <xdr:colOff>457200</xdr:colOff>
                    <xdr:row>51</xdr:row>
                    <xdr:rowOff>0</xdr:rowOff>
                  </to>
                </anchor>
              </controlPr>
            </control>
          </mc:Choice>
        </mc:AlternateContent>
        <mc:AlternateContent xmlns:mc="http://schemas.openxmlformats.org/markup-compatibility/2006">
          <mc:Choice Requires="x14">
            <control shapeId="99371" r:id="rId33" name="Drop Down 43">
              <controlPr defaultSize="0" autoLine="0" autoPict="0">
                <anchor moveWithCells="1">
                  <from>
                    <xdr:col>7</xdr:col>
                    <xdr:colOff>107950</xdr:colOff>
                    <xdr:row>51</xdr:row>
                    <xdr:rowOff>19050</xdr:rowOff>
                  </from>
                  <to>
                    <xdr:col>13</xdr:col>
                    <xdr:colOff>457200</xdr:colOff>
                    <xdr:row>52</xdr:row>
                    <xdr:rowOff>0</xdr:rowOff>
                  </to>
                </anchor>
              </controlPr>
            </control>
          </mc:Choice>
        </mc:AlternateContent>
        <mc:AlternateContent xmlns:mc="http://schemas.openxmlformats.org/markup-compatibility/2006">
          <mc:Choice Requires="x14">
            <control shapeId="99372" r:id="rId34" name="Drop Down 44">
              <controlPr defaultSize="0" autoLine="0" autoPict="0">
                <anchor moveWithCells="1">
                  <from>
                    <xdr:col>7</xdr:col>
                    <xdr:colOff>107950</xdr:colOff>
                    <xdr:row>52</xdr:row>
                    <xdr:rowOff>19050</xdr:rowOff>
                  </from>
                  <to>
                    <xdr:col>13</xdr:col>
                    <xdr:colOff>457200</xdr:colOff>
                    <xdr:row>53</xdr:row>
                    <xdr:rowOff>0</xdr:rowOff>
                  </to>
                </anchor>
              </controlPr>
            </control>
          </mc:Choice>
        </mc:AlternateContent>
        <mc:AlternateContent xmlns:mc="http://schemas.openxmlformats.org/markup-compatibility/2006">
          <mc:Choice Requires="x14">
            <control shapeId="99373" r:id="rId35" name="Drop Down 45">
              <controlPr defaultSize="0" autoLine="0" autoPict="0">
                <anchor moveWithCells="1">
                  <from>
                    <xdr:col>7</xdr:col>
                    <xdr:colOff>107950</xdr:colOff>
                    <xdr:row>53</xdr:row>
                    <xdr:rowOff>19050</xdr:rowOff>
                  </from>
                  <to>
                    <xdr:col>13</xdr:col>
                    <xdr:colOff>457200</xdr:colOff>
                    <xdr:row>54</xdr:row>
                    <xdr:rowOff>0</xdr:rowOff>
                  </to>
                </anchor>
              </controlPr>
            </control>
          </mc:Choice>
        </mc:AlternateContent>
        <mc:AlternateContent xmlns:mc="http://schemas.openxmlformats.org/markup-compatibility/2006">
          <mc:Choice Requires="x14">
            <control shapeId="99374" r:id="rId36" name="Drop Down 46">
              <controlPr defaultSize="0" autoLine="0" autoPict="0">
                <anchor moveWithCells="1">
                  <from>
                    <xdr:col>7</xdr:col>
                    <xdr:colOff>107950</xdr:colOff>
                    <xdr:row>54</xdr:row>
                    <xdr:rowOff>19050</xdr:rowOff>
                  </from>
                  <to>
                    <xdr:col>13</xdr:col>
                    <xdr:colOff>457200</xdr:colOff>
                    <xdr:row>55</xdr:row>
                    <xdr:rowOff>0</xdr:rowOff>
                  </to>
                </anchor>
              </controlPr>
            </control>
          </mc:Choice>
        </mc:AlternateContent>
        <mc:AlternateContent xmlns:mc="http://schemas.openxmlformats.org/markup-compatibility/2006">
          <mc:Choice Requires="x14">
            <control shapeId="99375" r:id="rId37" name="Drop Down 47">
              <controlPr defaultSize="0" autoLine="0" autoPict="0">
                <anchor moveWithCells="1">
                  <from>
                    <xdr:col>7</xdr:col>
                    <xdr:colOff>107950</xdr:colOff>
                    <xdr:row>55</xdr:row>
                    <xdr:rowOff>19050</xdr:rowOff>
                  </from>
                  <to>
                    <xdr:col>13</xdr:col>
                    <xdr:colOff>457200</xdr:colOff>
                    <xdr:row>56</xdr:row>
                    <xdr:rowOff>0</xdr:rowOff>
                  </to>
                </anchor>
              </controlPr>
            </control>
          </mc:Choice>
        </mc:AlternateContent>
        <mc:AlternateContent xmlns:mc="http://schemas.openxmlformats.org/markup-compatibility/2006">
          <mc:Choice Requires="x14">
            <control shapeId="99376" r:id="rId38" name="Drop Down 48">
              <controlPr defaultSize="0" autoLine="0" autoPict="0">
                <anchor moveWithCells="1">
                  <from>
                    <xdr:col>7</xdr:col>
                    <xdr:colOff>107950</xdr:colOff>
                    <xdr:row>56</xdr:row>
                    <xdr:rowOff>19050</xdr:rowOff>
                  </from>
                  <to>
                    <xdr:col>13</xdr:col>
                    <xdr:colOff>457200</xdr:colOff>
                    <xdr:row>57</xdr:row>
                    <xdr:rowOff>0</xdr:rowOff>
                  </to>
                </anchor>
              </controlPr>
            </control>
          </mc:Choice>
        </mc:AlternateContent>
        <mc:AlternateContent xmlns:mc="http://schemas.openxmlformats.org/markup-compatibility/2006">
          <mc:Choice Requires="x14">
            <control shapeId="99377" r:id="rId39" name="Drop Down 49">
              <controlPr defaultSize="0" autoLine="0" autoPict="0">
                <anchor moveWithCells="1">
                  <from>
                    <xdr:col>7</xdr:col>
                    <xdr:colOff>107950</xdr:colOff>
                    <xdr:row>57</xdr:row>
                    <xdr:rowOff>19050</xdr:rowOff>
                  </from>
                  <to>
                    <xdr:col>13</xdr:col>
                    <xdr:colOff>457200</xdr:colOff>
                    <xdr:row>58</xdr:row>
                    <xdr:rowOff>0</xdr:rowOff>
                  </to>
                </anchor>
              </controlPr>
            </control>
          </mc:Choice>
        </mc:AlternateContent>
        <mc:AlternateContent xmlns:mc="http://schemas.openxmlformats.org/markup-compatibility/2006">
          <mc:Choice Requires="x14">
            <control shapeId="99378" r:id="rId40" name="Drop Down 50">
              <controlPr defaultSize="0" autoLine="0" autoPict="0">
                <anchor moveWithCells="1">
                  <from>
                    <xdr:col>7</xdr:col>
                    <xdr:colOff>107950</xdr:colOff>
                    <xdr:row>58</xdr:row>
                    <xdr:rowOff>19050</xdr:rowOff>
                  </from>
                  <to>
                    <xdr:col>13</xdr:col>
                    <xdr:colOff>457200</xdr:colOff>
                    <xdr:row>59</xdr:row>
                    <xdr:rowOff>0</xdr:rowOff>
                  </to>
                </anchor>
              </controlPr>
            </control>
          </mc:Choice>
        </mc:AlternateContent>
        <mc:AlternateContent xmlns:mc="http://schemas.openxmlformats.org/markup-compatibility/2006">
          <mc:Choice Requires="x14">
            <control shapeId="99379" r:id="rId41" name="Drop Down 51">
              <controlPr defaultSize="0" autoLine="0" autoPict="0">
                <anchor moveWithCells="1">
                  <from>
                    <xdr:col>7</xdr:col>
                    <xdr:colOff>107950</xdr:colOff>
                    <xdr:row>59</xdr:row>
                    <xdr:rowOff>19050</xdr:rowOff>
                  </from>
                  <to>
                    <xdr:col>13</xdr:col>
                    <xdr:colOff>457200</xdr:colOff>
                    <xdr:row>60</xdr:row>
                    <xdr:rowOff>0</xdr:rowOff>
                  </to>
                </anchor>
              </controlPr>
            </control>
          </mc:Choice>
        </mc:AlternateContent>
        <mc:AlternateContent xmlns:mc="http://schemas.openxmlformats.org/markup-compatibility/2006">
          <mc:Choice Requires="x14">
            <control shapeId="99380" r:id="rId42" name="Drop Down 52">
              <controlPr defaultSize="0" autoLine="0" autoPict="0">
                <anchor moveWithCells="1">
                  <from>
                    <xdr:col>7</xdr:col>
                    <xdr:colOff>107950</xdr:colOff>
                    <xdr:row>60</xdr:row>
                    <xdr:rowOff>19050</xdr:rowOff>
                  </from>
                  <to>
                    <xdr:col>13</xdr:col>
                    <xdr:colOff>457200</xdr:colOff>
                    <xdr:row>61</xdr:row>
                    <xdr:rowOff>0</xdr:rowOff>
                  </to>
                </anchor>
              </controlPr>
            </control>
          </mc:Choice>
        </mc:AlternateContent>
        <mc:AlternateContent xmlns:mc="http://schemas.openxmlformats.org/markup-compatibility/2006">
          <mc:Choice Requires="x14">
            <control shapeId="99381" r:id="rId43" name="Drop Down 53">
              <controlPr defaultSize="0" autoLine="0" autoPict="0">
                <anchor moveWithCells="1">
                  <from>
                    <xdr:col>7</xdr:col>
                    <xdr:colOff>107950</xdr:colOff>
                    <xdr:row>61</xdr:row>
                    <xdr:rowOff>19050</xdr:rowOff>
                  </from>
                  <to>
                    <xdr:col>13</xdr:col>
                    <xdr:colOff>457200</xdr:colOff>
                    <xdr:row>62</xdr:row>
                    <xdr:rowOff>0</xdr:rowOff>
                  </to>
                </anchor>
              </controlPr>
            </control>
          </mc:Choice>
        </mc:AlternateContent>
        <mc:AlternateContent xmlns:mc="http://schemas.openxmlformats.org/markup-compatibility/2006">
          <mc:Choice Requires="x14">
            <control shapeId="99382" r:id="rId44" name="Drop Down 54">
              <controlPr defaultSize="0" autoLine="0" autoPict="0">
                <anchor moveWithCells="1">
                  <from>
                    <xdr:col>7</xdr:col>
                    <xdr:colOff>107950</xdr:colOff>
                    <xdr:row>62</xdr:row>
                    <xdr:rowOff>19050</xdr:rowOff>
                  </from>
                  <to>
                    <xdr:col>13</xdr:col>
                    <xdr:colOff>457200</xdr:colOff>
                    <xdr:row>63</xdr:row>
                    <xdr:rowOff>0</xdr:rowOff>
                  </to>
                </anchor>
              </controlPr>
            </control>
          </mc:Choice>
        </mc:AlternateContent>
        <mc:AlternateContent xmlns:mc="http://schemas.openxmlformats.org/markup-compatibility/2006">
          <mc:Choice Requires="x14">
            <control shapeId="99383" r:id="rId45" name="Drop Down 55">
              <controlPr defaultSize="0" autoLine="0" autoPict="0">
                <anchor moveWithCells="1">
                  <from>
                    <xdr:col>7</xdr:col>
                    <xdr:colOff>107950</xdr:colOff>
                    <xdr:row>63</xdr:row>
                    <xdr:rowOff>19050</xdr:rowOff>
                  </from>
                  <to>
                    <xdr:col>13</xdr:col>
                    <xdr:colOff>457200</xdr:colOff>
                    <xdr:row>64</xdr:row>
                    <xdr:rowOff>0</xdr:rowOff>
                  </to>
                </anchor>
              </controlPr>
            </control>
          </mc:Choice>
        </mc:AlternateContent>
        <mc:AlternateContent xmlns:mc="http://schemas.openxmlformats.org/markup-compatibility/2006">
          <mc:Choice Requires="x14">
            <control shapeId="99384" r:id="rId46" name="Drop Down 56">
              <controlPr defaultSize="0" autoLine="0" autoPict="0">
                <anchor moveWithCells="1">
                  <from>
                    <xdr:col>7</xdr:col>
                    <xdr:colOff>107950</xdr:colOff>
                    <xdr:row>64</xdr:row>
                    <xdr:rowOff>19050</xdr:rowOff>
                  </from>
                  <to>
                    <xdr:col>13</xdr:col>
                    <xdr:colOff>457200</xdr:colOff>
                    <xdr:row>65</xdr:row>
                    <xdr:rowOff>0</xdr:rowOff>
                  </to>
                </anchor>
              </controlPr>
            </control>
          </mc:Choice>
        </mc:AlternateContent>
        <mc:AlternateContent xmlns:mc="http://schemas.openxmlformats.org/markup-compatibility/2006">
          <mc:Choice Requires="x14">
            <control shapeId="99385" r:id="rId47" name="Drop Down 57">
              <controlPr defaultSize="0" autoLine="0" autoPict="0">
                <anchor moveWithCells="1">
                  <from>
                    <xdr:col>7</xdr:col>
                    <xdr:colOff>107950</xdr:colOff>
                    <xdr:row>65</xdr:row>
                    <xdr:rowOff>19050</xdr:rowOff>
                  </from>
                  <to>
                    <xdr:col>13</xdr:col>
                    <xdr:colOff>457200</xdr:colOff>
                    <xdr:row>66</xdr:row>
                    <xdr:rowOff>0</xdr:rowOff>
                  </to>
                </anchor>
              </controlPr>
            </control>
          </mc:Choice>
        </mc:AlternateContent>
        <mc:AlternateContent xmlns:mc="http://schemas.openxmlformats.org/markup-compatibility/2006">
          <mc:Choice Requires="x14">
            <control shapeId="99386" r:id="rId48" name="Drop Down 58">
              <controlPr defaultSize="0" autoLine="0" autoPict="0">
                <anchor moveWithCells="1">
                  <from>
                    <xdr:col>6</xdr:col>
                    <xdr:colOff>50800</xdr:colOff>
                    <xdr:row>111</xdr:row>
                    <xdr:rowOff>0</xdr:rowOff>
                  </from>
                  <to>
                    <xdr:col>8</xdr:col>
                    <xdr:colOff>336550</xdr:colOff>
                    <xdr:row>112</xdr:row>
                    <xdr:rowOff>0</xdr:rowOff>
                  </to>
                </anchor>
              </controlPr>
            </control>
          </mc:Choice>
        </mc:AlternateContent>
        <mc:AlternateContent xmlns:mc="http://schemas.openxmlformats.org/markup-compatibility/2006">
          <mc:Choice Requires="x14">
            <control shapeId="99387" r:id="rId49" name="Drop Down 59">
              <controlPr defaultSize="0" autoLine="0" autoPict="0">
                <anchor moveWithCells="1">
                  <from>
                    <xdr:col>6</xdr:col>
                    <xdr:colOff>50800</xdr:colOff>
                    <xdr:row>112</xdr:row>
                    <xdr:rowOff>0</xdr:rowOff>
                  </from>
                  <to>
                    <xdr:col>8</xdr:col>
                    <xdr:colOff>336550</xdr:colOff>
                    <xdr:row>112</xdr:row>
                    <xdr:rowOff>203200</xdr:rowOff>
                  </to>
                </anchor>
              </controlPr>
            </control>
          </mc:Choice>
        </mc:AlternateContent>
        <mc:AlternateContent xmlns:mc="http://schemas.openxmlformats.org/markup-compatibility/2006">
          <mc:Choice Requires="x14">
            <control shapeId="99388" r:id="rId50" name="Drop Down 60">
              <controlPr defaultSize="0" autoLine="0" autoPict="0">
                <anchor moveWithCells="1">
                  <from>
                    <xdr:col>6</xdr:col>
                    <xdr:colOff>50800</xdr:colOff>
                    <xdr:row>113</xdr:row>
                    <xdr:rowOff>0</xdr:rowOff>
                  </from>
                  <to>
                    <xdr:col>8</xdr:col>
                    <xdr:colOff>336550</xdr:colOff>
                    <xdr:row>114</xdr:row>
                    <xdr:rowOff>0</xdr:rowOff>
                  </to>
                </anchor>
              </controlPr>
            </control>
          </mc:Choice>
        </mc:AlternateContent>
        <mc:AlternateContent xmlns:mc="http://schemas.openxmlformats.org/markup-compatibility/2006">
          <mc:Choice Requires="x14">
            <control shapeId="99389" r:id="rId51" name="Drop Down 61">
              <controlPr defaultSize="0" autoLine="0" autoPict="0">
                <anchor moveWithCells="1">
                  <from>
                    <xdr:col>6</xdr:col>
                    <xdr:colOff>50800</xdr:colOff>
                    <xdr:row>114</xdr:row>
                    <xdr:rowOff>0</xdr:rowOff>
                  </from>
                  <to>
                    <xdr:col>8</xdr:col>
                    <xdr:colOff>336550</xdr:colOff>
                    <xdr:row>114</xdr:row>
                    <xdr:rowOff>203200</xdr:rowOff>
                  </to>
                </anchor>
              </controlPr>
            </control>
          </mc:Choice>
        </mc:AlternateContent>
        <mc:AlternateContent xmlns:mc="http://schemas.openxmlformats.org/markup-compatibility/2006">
          <mc:Choice Requires="x14">
            <control shapeId="99390" r:id="rId52" name="Drop Down 62">
              <controlPr defaultSize="0" autoLine="0" autoPict="0">
                <anchor moveWithCells="1">
                  <from>
                    <xdr:col>6</xdr:col>
                    <xdr:colOff>50800</xdr:colOff>
                    <xdr:row>115</xdr:row>
                    <xdr:rowOff>0</xdr:rowOff>
                  </from>
                  <to>
                    <xdr:col>8</xdr:col>
                    <xdr:colOff>336550</xdr:colOff>
                    <xdr:row>115</xdr:row>
                    <xdr:rowOff>203200</xdr:rowOff>
                  </to>
                </anchor>
              </controlPr>
            </control>
          </mc:Choice>
        </mc:AlternateContent>
        <mc:AlternateContent xmlns:mc="http://schemas.openxmlformats.org/markup-compatibility/2006">
          <mc:Choice Requires="x14">
            <control shapeId="99391" r:id="rId53" name="Drop Down 63">
              <controlPr defaultSize="0" autoLine="0" autoPict="0">
                <anchor moveWithCells="1">
                  <from>
                    <xdr:col>6</xdr:col>
                    <xdr:colOff>50800</xdr:colOff>
                    <xdr:row>116</xdr:row>
                    <xdr:rowOff>0</xdr:rowOff>
                  </from>
                  <to>
                    <xdr:col>8</xdr:col>
                    <xdr:colOff>336550</xdr:colOff>
                    <xdr:row>116</xdr:row>
                    <xdr:rowOff>203200</xdr:rowOff>
                  </to>
                </anchor>
              </controlPr>
            </control>
          </mc:Choice>
        </mc:AlternateContent>
        <mc:AlternateContent xmlns:mc="http://schemas.openxmlformats.org/markup-compatibility/2006">
          <mc:Choice Requires="x14">
            <control shapeId="99392" r:id="rId54" name="Drop Down 64">
              <controlPr defaultSize="0" autoLine="0" autoPict="0">
                <anchor moveWithCells="1">
                  <from>
                    <xdr:col>6</xdr:col>
                    <xdr:colOff>50800</xdr:colOff>
                    <xdr:row>117</xdr:row>
                    <xdr:rowOff>0</xdr:rowOff>
                  </from>
                  <to>
                    <xdr:col>8</xdr:col>
                    <xdr:colOff>336550</xdr:colOff>
                    <xdr:row>117</xdr:row>
                    <xdr:rowOff>203200</xdr:rowOff>
                  </to>
                </anchor>
              </controlPr>
            </control>
          </mc:Choice>
        </mc:AlternateContent>
        <mc:AlternateContent xmlns:mc="http://schemas.openxmlformats.org/markup-compatibility/2006">
          <mc:Choice Requires="x14">
            <control shapeId="99393" r:id="rId55" name="Drop Down 65">
              <controlPr defaultSize="0" autoLine="0" autoPict="0">
                <anchor moveWithCells="1">
                  <from>
                    <xdr:col>6</xdr:col>
                    <xdr:colOff>50800</xdr:colOff>
                    <xdr:row>118</xdr:row>
                    <xdr:rowOff>0</xdr:rowOff>
                  </from>
                  <to>
                    <xdr:col>8</xdr:col>
                    <xdr:colOff>336550</xdr:colOff>
                    <xdr:row>118</xdr:row>
                    <xdr:rowOff>203200</xdr:rowOff>
                  </to>
                </anchor>
              </controlPr>
            </control>
          </mc:Choice>
        </mc:AlternateContent>
        <mc:AlternateContent xmlns:mc="http://schemas.openxmlformats.org/markup-compatibility/2006">
          <mc:Choice Requires="x14">
            <control shapeId="99394" r:id="rId56" name="Drop Down 66">
              <controlPr defaultSize="0" autoLine="0" autoPict="0">
                <anchor moveWithCells="1">
                  <from>
                    <xdr:col>6</xdr:col>
                    <xdr:colOff>50800</xdr:colOff>
                    <xdr:row>119</xdr:row>
                    <xdr:rowOff>0</xdr:rowOff>
                  </from>
                  <to>
                    <xdr:col>8</xdr:col>
                    <xdr:colOff>336550</xdr:colOff>
                    <xdr:row>119</xdr:row>
                    <xdr:rowOff>203200</xdr:rowOff>
                  </to>
                </anchor>
              </controlPr>
            </control>
          </mc:Choice>
        </mc:AlternateContent>
        <mc:AlternateContent xmlns:mc="http://schemas.openxmlformats.org/markup-compatibility/2006">
          <mc:Choice Requires="x14">
            <control shapeId="99395" r:id="rId57" name="Drop Down 67">
              <controlPr defaultSize="0" autoLine="0" autoPict="0">
                <anchor moveWithCells="1">
                  <from>
                    <xdr:col>6</xdr:col>
                    <xdr:colOff>50800</xdr:colOff>
                    <xdr:row>120</xdr:row>
                    <xdr:rowOff>0</xdr:rowOff>
                  </from>
                  <to>
                    <xdr:col>8</xdr:col>
                    <xdr:colOff>336550</xdr:colOff>
                    <xdr:row>120</xdr:row>
                    <xdr:rowOff>203200</xdr:rowOff>
                  </to>
                </anchor>
              </controlPr>
            </control>
          </mc:Choice>
        </mc:AlternateContent>
        <mc:AlternateContent xmlns:mc="http://schemas.openxmlformats.org/markup-compatibility/2006">
          <mc:Choice Requires="x14">
            <control shapeId="99396" r:id="rId58" name="Drop Down 68">
              <controlPr defaultSize="0" autoLine="0" autoPict="0">
                <anchor moveWithCells="1">
                  <from>
                    <xdr:col>6</xdr:col>
                    <xdr:colOff>50800</xdr:colOff>
                    <xdr:row>121</xdr:row>
                    <xdr:rowOff>0</xdr:rowOff>
                  </from>
                  <to>
                    <xdr:col>8</xdr:col>
                    <xdr:colOff>336550</xdr:colOff>
                    <xdr:row>121</xdr:row>
                    <xdr:rowOff>203200</xdr:rowOff>
                  </to>
                </anchor>
              </controlPr>
            </control>
          </mc:Choice>
        </mc:AlternateContent>
        <mc:AlternateContent xmlns:mc="http://schemas.openxmlformats.org/markup-compatibility/2006">
          <mc:Choice Requires="x14">
            <control shapeId="99397" r:id="rId59" name="Drop Down 69">
              <controlPr defaultSize="0" autoLine="0" autoPict="0">
                <anchor moveWithCells="1">
                  <from>
                    <xdr:col>6</xdr:col>
                    <xdr:colOff>50800</xdr:colOff>
                    <xdr:row>122</xdr:row>
                    <xdr:rowOff>0</xdr:rowOff>
                  </from>
                  <to>
                    <xdr:col>8</xdr:col>
                    <xdr:colOff>336550</xdr:colOff>
                    <xdr:row>122</xdr:row>
                    <xdr:rowOff>203200</xdr:rowOff>
                  </to>
                </anchor>
              </controlPr>
            </control>
          </mc:Choice>
        </mc:AlternateContent>
        <mc:AlternateContent xmlns:mc="http://schemas.openxmlformats.org/markup-compatibility/2006">
          <mc:Choice Requires="x14">
            <control shapeId="99398" r:id="rId60" name="Drop Down 70">
              <controlPr defaultSize="0" autoLine="0" autoPict="0">
                <anchor moveWithCells="1">
                  <from>
                    <xdr:col>6</xdr:col>
                    <xdr:colOff>50800</xdr:colOff>
                    <xdr:row>123</xdr:row>
                    <xdr:rowOff>0</xdr:rowOff>
                  </from>
                  <to>
                    <xdr:col>8</xdr:col>
                    <xdr:colOff>336550</xdr:colOff>
                    <xdr:row>123</xdr:row>
                    <xdr:rowOff>203200</xdr:rowOff>
                  </to>
                </anchor>
              </controlPr>
            </control>
          </mc:Choice>
        </mc:AlternateContent>
        <mc:AlternateContent xmlns:mc="http://schemas.openxmlformats.org/markup-compatibility/2006">
          <mc:Choice Requires="x14">
            <control shapeId="99399" r:id="rId61" name="Drop Down 71">
              <controlPr defaultSize="0" autoLine="0" autoPict="0">
                <anchor moveWithCells="1">
                  <from>
                    <xdr:col>6</xdr:col>
                    <xdr:colOff>50800</xdr:colOff>
                    <xdr:row>124</xdr:row>
                    <xdr:rowOff>0</xdr:rowOff>
                  </from>
                  <to>
                    <xdr:col>8</xdr:col>
                    <xdr:colOff>336550</xdr:colOff>
                    <xdr:row>124</xdr:row>
                    <xdr:rowOff>203200</xdr:rowOff>
                  </to>
                </anchor>
              </controlPr>
            </control>
          </mc:Choice>
        </mc:AlternateContent>
        <mc:AlternateContent xmlns:mc="http://schemas.openxmlformats.org/markup-compatibility/2006">
          <mc:Choice Requires="x14">
            <control shapeId="99400" r:id="rId62" name="Drop Down 72">
              <controlPr defaultSize="0" autoLine="0" autoPict="0">
                <anchor moveWithCells="1">
                  <from>
                    <xdr:col>6</xdr:col>
                    <xdr:colOff>50800</xdr:colOff>
                    <xdr:row>125</xdr:row>
                    <xdr:rowOff>0</xdr:rowOff>
                  </from>
                  <to>
                    <xdr:col>8</xdr:col>
                    <xdr:colOff>336550</xdr:colOff>
                    <xdr:row>125</xdr:row>
                    <xdr:rowOff>203200</xdr:rowOff>
                  </to>
                </anchor>
              </controlPr>
            </control>
          </mc:Choice>
        </mc:AlternateContent>
        <mc:AlternateContent xmlns:mc="http://schemas.openxmlformats.org/markup-compatibility/2006">
          <mc:Choice Requires="x14">
            <control shapeId="99401" r:id="rId63" name="Drop Down 73">
              <controlPr defaultSize="0" autoLine="0" autoPict="0">
                <anchor moveWithCells="1">
                  <from>
                    <xdr:col>6</xdr:col>
                    <xdr:colOff>50800</xdr:colOff>
                    <xdr:row>126</xdr:row>
                    <xdr:rowOff>0</xdr:rowOff>
                  </from>
                  <to>
                    <xdr:col>8</xdr:col>
                    <xdr:colOff>336550</xdr:colOff>
                    <xdr:row>126</xdr:row>
                    <xdr:rowOff>203200</xdr:rowOff>
                  </to>
                </anchor>
              </controlPr>
            </control>
          </mc:Choice>
        </mc:AlternateContent>
        <mc:AlternateContent xmlns:mc="http://schemas.openxmlformats.org/markup-compatibility/2006">
          <mc:Choice Requires="x14">
            <control shapeId="99402" r:id="rId64" name="Drop Down 74">
              <controlPr defaultSize="0" autoLine="0" autoPict="0">
                <anchor moveWithCells="1">
                  <from>
                    <xdr:col>6</xdr:col>
                    <xdr:colOff>50800</xdr:colOff>
                    <xdr:row>127</xdr:row>
                    <xdr:rowOff>0</xdr:rowOff>
                  </from>
                  <to>
                    <xdr:col>8</xdr:col>
                    <xdr:colOff>336550</xdr:colOff>
                    <xdr:row>127</xdr:row>
                    <xdr:rowOff>203200</xdr:rowOff>
                  </to>
                </anchor>
              </controlPr>
            </control>
          </mc:Choice>
        </mc:AlternateContent>
        <mc:AlternateContent xmlns:mc="http://schemas.openxmlformats.org/markup-compatibility/2006">
          <mc:Choice Requires="x14">
            <control shapeId="99403" r:id="rId65" name="Drop Down 75">
              <controlPr defaultSize="0" autoLine="0" autoPict="0">
                <anchor moveWithCells="1">
                  <from>
                    <xdr:col>6</xdr:col>
                    <xdr:colOff>50800</xdr:colOff>
                    <xdr:row>128</xdr:row>
                    <xdr:rowOff>0</xdr:rowOff>
                  </from>
                  <to>
                    <xdr:col>8</xdr:col>
                    <xdr:colOff>336550</xdr:colOff>
                    <xdr:row>128</xdr:row>
                    <xdr:rowOff>203200</xdr:rowOff>
                  </to>
                </anchor>
              </controlPr>
            </control>
          </mc:Choice>
        </mc:AlternateContent>
        <mc:AlternateContent xmlns:mc="http://schemas.openxmlformats.org/markup-compatibility/2006">
          <mc:Choice Requires="x14">
            <control shapeId="99404" r:id="rId66" name="Drop Down 76">
              <controlPr defaultSize="0" autoLine="0" autoPict="0">
                <anchor moveWithCells="1">
                  <from>
                    <xdr:col>6</xdr:col>
                    <xdr:colOff>50800</xdr:colOff>
                    <xdr:row>129</xdr:row>
                    <xdr:rowOff>0</xdr:rowOff>
                  </from>
                  <to>
                    <xdr:col>8</xdr:col>
                    <xdr:colOff>336550</xdr:colOff>
                    <xdr:row>129</xdr:row>
                    <xdr:rowOff>203200</xdr:rowOff>
                  </to>
                </anchor>
              </controlPr>
            </control>
          </mc:Choice>
        </mc:AlternateContent>
        <mc:AlternateContent xmlns:mc="http://schemas.openxmlformats.org/markup-compatibility/2006">
          <mc:Choice Requires="x14">
            <control shapeId="99405" r:id="rId67" name="Drop Down 77">
              <controlPr defaultSize="0" autoLine="0" autoPict="0">
                <anchor moveWithCells="1">
                  <from>
                    <xdr:col>6</xdr:col>
                    <xdr:colOff>50800</xdr:colOff>
                    <xdr:row>130</xdr:row>
                    <xdr:rowOff>0</xdr:rowOff>
                  </from>
                  <to>
                    <xdr:col>8</xdr:col>
                    <xdr:colOff>336550</xdr:colOff>
                    <xdr:row>130</xdr:row>
                    <xdr:rowOff>203200</xdr:rowOff>
                  </to>
                </anchor>
              </controlPr>
            </control>
          </mc:Choice>
        </mc:AlternateContent>
        <mc:AlternateContent xmlns:mc="http://schemas.openxmlformats.org/markup-compatibility/2006">
          <mc:Choice Requires="x14">
            <control shapeId="99406" r:id="rId68" name="Drop Down 78">
              <controlPr defaultSize="0" autoLine="0" autoPict="0">
                <anchor moveWithCells="1">
                  <from>
                    <xdr:col>6</xdr:col>
                    <xdr:colOff>50800</xdr:colOff>
                    <xdr:row>131</xdr:row>
                    <xdr:rowOff>0</xdr:rowOff>
                  </from>
                  <to>
                    <xdr:col>8</xdr:col>
                    <xdr:colOff>336550</xdr:colOff>
                    <xdr:row>131</xdr:row>
                    <xdr:rowOff>203200</xdr:rowOff>
                  </to>
                </anchor>
              </controlPr>
            </control>
          </mc:Choice>
        </mc:AlternateContent>
        <mc:AlternateContent xmlns:mc="http://schemas.openxmlformats.org/markup-compatibility/2006">
          <mc:Choice Requires="x14">
            <control shapeId="99407" r:id="rId69" name="Drop Down 79">
              <controlPr defaultSize="0" autoLine="0" autoPict="0">
                <anchor moveWithCells="1">
                  <from>
                    <xdr:col>6</xdr:col>
                    <xdr:colOff>50800</xdr:colOff>
                    <xdr:row>132</xdr:row>
                    <xdr:rowOff>0</xdr:rowOff>
                  </from>
                  <to>
                    <xdr:col>8</xdr:col>
                    <xdr:colOff>336550</xdr:colOff>
                    <xdr:row>132</xdr:row>
                    <xdr:rowOff>203200</xdr:rowOff>
                  </to>
                </anchor>
              </controlPr>
            </control>
          </mc:Choice>
        </mc:AlternateContent>
        <mc:AlternateContent xmlns:mc="http://schemas.openxmlformats.org/markup-compatibility/2006">
          <mc:Choice Requires="x14">
            <control shapeId="99408" r:id="rId70" name="Drop Down 80">
              <controlPr defaultSize="0" autoLine="0" autoPict="0">
                <anchor moveWithCells="1">
                  <from>
                    <xdr:col>6</xdr:col>
                    <xdr:colOff>50800</xdr:colOff>
                    <xdr:row>133</xdr:row>
                    <xdr:rowOff>0</xdr:rowOff>
                  </from>
                  <to>
                    <xdr:col>8</xdr:col>
                    <xdr:colOff>336550</xdr:colOff>
                    <xdr:row>133</xdr:row>
                    <xdr:rowOff>203200</xdr:rowOff>
                  </to>
                </anchor>
              </controlPr>
            </control>
          </mc:Choice>
        </mc:AlternateContent>
        <mc:AlternateContent xmlns:mc="http://schemas.openxmlformats.org/markup-compatibility/2006">
          <mc:Choice Requires="x14">
            <control shapeId="99409" r:id="rId71" name="Drop Down 81">
              <controlPr defaultSize="0" autoLine="0" autoPict="0">
                <anchor moveWithCells="1">
                  <from>
                    <xdr:col>6</xdr:col>
                    <xdr:colOff>50800</xdr:colOff>
                    <xdr:row>134</xdr:row>
                    <xdr:rowOff>0</xdr:rowOff>
                  </from>
                  <to>
                    <xdr:col>8</xdr:col>
                    <xdr:colOff>336550</xdr:colOff>
                    <xdr:row>134</xdr:row>
                    <xdr:rowOff>203200</xdr:rowOff>
                  </to>
                </anchor>
              </controlPr>
            </control>
          </mc:Choice>
        </mc:AlternateContent>
        <mc:AlternateContent xmlns:mc="http://schemas.openxmlformats.org/markup-compatibility/2006">
          <mc:Choice Requires="x14">
            <control shapeId="99410" r:id="rId72" name="Drop Down 82">
              <controlPr defaultSize="0" autoLine="0" autoPict="0">
                <anchor moveWithCells="1">
                  <from>
                    <xdr:col>6</xdr:col>
                    <xdr:colOff>50800</xdr:colOff>
                    <xdr:row>135</xdr:row>
                    <xdr:rowOff>0</xdr:rowOff>
                  </from>
                  <to>
                    <xdr:col>8</xdr:col>
                    <xdr:colOff>336550</xdr:colOff>
                    <xdr:row>135</xdr:row>
                    <xdr:rowOff>203200</xdr:rowOff>
                  </to>
                </anchor>
              </controlPr>
            </control>
          </mc:Choice>
        </mc:AlternateContent>
        <mc:AlternateContent xmlns:mc="http://schemas.openxmlformats.org/markup-compatibility/2006">
          <mc:Choice Requires="x14">
            <control shapeId="99411" r:id="rId73" name="Drop Down 83">
              <controlPr defaultSize="0" autoLine="0" autoPict="0">
                <anchor moveWithCells="1">
                  <from>
                    <xdr:col>6</xdr:col>
                    <xdr:colOff>50800</xdr:colOff>
                    <xdr:row>136</xdr:row>
                    <xdr:rowOff>0</xdr:rowOff>
                  </from>
                  <to>
                    <xdr:col>8</xdr:col>
                    <xdr:colOff>336550</xdr:colOff>
                    <xdr:row>136</xdr:row>
                    <xdr:rowOff>203200</xdr:rowOff>
                  </to>
                </anchor>
              </controlPr>
            </control>
          </mc:Choice>
        </mc:AlternateContent>
        <mc:AlternateContent xmlns:mc="http://schemas.openxmlformats.org/markup-compatibility/2006">
          <mc:Choice Requires="x14">
            <control shapeId="99412" r:id="rId74" name="Drop Down 84">
              <controlPr defaultSize="0" autoLine="0" autoPict="0">
                <anchor moveWithCells="1">
                  <from>
                    <xdr:col>6</xdr:col>
                    <xdr:colOff>50800</xdr:colOff>
                    <xdr:row>137</xdr:row>
                    <xdr:rowOff>0</xdr:rowOff>
                  </from>
                  <to>
                    <xdr:col>8</xdr:col>
                    <xdr:colOff>336550</xdr:colOff>
                    <xdr:row>137</xdr:row>
                    <xdr:rowOff>203200</xdr:rowOff>
                  </to>
                </anchor>
              </controlPr>
            </control>
          </mc:Choice>
        </mc:AlternateContent>
        <mc:AlternateContent xmlns:mc="http://schemas.openxmlformats.org/markup-compatibility/2006">
          <mc:Choice Requires="x14">
            <control shapeId="99413" r:id="rId75" name="Drop Down 85">
              <controlPr defaultSize="0" autoLine="0" autoPict="0">
                <anchor moveWithCells="1">
                  <from>
                    <xdr:col>6</xdr:col>
                    <xdr:colOff>50800</xdr:colOff>
                    <xdr:row>138</xdr:row>
                    <xdr:rowOff>0</xdr:rowOff>
                  </from>
                  <to>
                    <xdr:col>8</xdr:col>
                    <xdr:colOff>336550</xdr:colOff>
                    <xdr:row>138</xdr:row>
                    <xdr:rowOff>203200</xdr:rowOff>
                  </to>
                </anchor>
              </controlPr>
            </control>
          </mc:Choice>
        </mc:AlternateContent>
        <mc:AlternateContent xmlns:mc="http://schemas.openxmlformats.org/markup-compatibility/2006">
          <mc:Choice Requires="x14">
            <control shapeId="99414" r:id="rId76" name="Drop Down 86">
              <controlPr defaultSize="0" autoLine="0" autoPict="0">
                <anchor moveWithCells="1">
                  <from>
                    <xdr:col>6</xdr:col>
                    <xdr:colOff>50800</xdr:colOff>
                    <xdr:row>139</xdr:row>
                    <xdr:rowOff>0</xdr:rowOff>
                  </from>
                  <to>
                    <xdr:col>8</xdr:col>
                    <xdr:colOff>336550</xdr:colOff>
                    <xdr:row>139</xdr:row>
                    <xdr:rowOff>203200</xdr:rowOff>
                  </to>
                </anchor>
              </controlPr>
            </control>
          </mc:Choice>
        </mc:AlternateContent>
        <mc:AlternateContent xmlns:mc="http://schemas.openxmlformats.org/markup-compatibility/2006">
          <mc:Choice Requires="x14">
            <control shapeId="99541" r:id="rId77" name="Option Button 213">
              <controlPr defaultSize="0" autoFill="0" autoLine="0" autoPict="0">
                <anchor moveWithCells="1">
                  <from>
                    <xdr:col>3</xdr:col>
                    <xdr:colOff>203200</xdr:colOff>
                    <xdr:row>96</xdr:row>
                    <xdr:rowOff>146050</xdr:rowOff>
                  </from>
                  <to>
                    <xdr:col>4</xdr:col>
                    <xdr:colOff>76200</xdr:colOff>
                    <xdr:row>98</xdr:row>
                    <xdr:rowOff>0</xdr:rowOff>
                  </to>
                </anchor>
              </controlPr>
            </control>
          </mc:Choice>
        </mc:AlternateContent>
        <mc:AlternateContent xmlns:mc="http://schemas.openxmlformats.org/markup-compatibility/2006">
          <mc:Choice Requires="x14">
            <control shapeId="99542" r:id="rId78" name="Option Button 214">
              <controlPr defaultSize="0" autoFill="0" autoLine="0" autoPict="0">
                <anchor moveWithCells="1">
                  <from>
                    <xdr:col>3</xdr:col>
                    <xdr:colOff>203200</xdr:colOff>
                    <xdr:row>97</xdr:row>
                    <xdr:rowOff>171450</xdr:rowOff>
                  </from>
                  <to>
                    <xdr:col>4</xdr:col>
                    <xdr:colOff>76200</xdr:colOff>
                    <xdr:row>99</xdr:row>
                    <xdr:rowOff>12700</xdr:rowOff>
                  </to>
                </anchor>
              </controlPr>
            </control>
          </mc:Choice>
        </mc:AlternateContent>
        <mc:AlternateContent xmlns:mc="http://schemas.openxmlformats.org/markup-compatibility/2006">
          <mc:Choice Requires="x14">
            <control shapeId="99543" r:id="rId79" name="Option Button 215">
              <controlPr defaultSize="0" autoFill="0" autoLine="0" autoPict="0">
                <anchor moveWithCells="1">
                  <from>
                    <xdr:col>3</xdr:col>
                    <xdr:colOff>203200</xdr:colOff>
                    <xdr:row>98</xdr:row>
                    <xdr:rowOff>171450</xdr:rowOff>
                  </from>
                  <to>
                    <xdr:col>4</xdr:col>
                    <xdr:colOff>76200</xdr:colOff>
                    <xdr:row>100</xdr:row>
                    <xdr:rowOff>31750</xdr:rowOff>
                  </to>
                </anchor>
              </controlPr>
            </control>
          </mc:Choice>
        </mc:AlternateContent>
        <mc:AlternateContent xmlns:mc="http://schemas.openxmlformats.org/markup-compatibility/2006">
          <mc:Choice Requires="x14">
            <control shapeId="99544" r:id="rId80" name="Option Button 216">
              <controlPr defaultSize="0" autoFill="0" autoLine="0" autoPict="0">
                <anchor moveWithCells="1">
                  <from>
                    <xdr:col>3</xdr:col>
                    <xdr:colOff>203200</xdr:colOff>
                    <xdr:row>100</xdr:row>
                    <xdr:rowOff>133350</xdr:rowOff>
                  </from>
                  <to>
                    <xdr:col>4</xdr:col>
                    <xdr:colOff>76200</xdr:colOff>
                    <xdr:row>102</xdr:row>
                    <xdr:rowOff>19050</xdr:rowOff>
                  </to>
                </anchor>
              </controlPr>
            </control>
          </mc:Choice>
        </mc:AlternateContent>
        <mc:AlternateContent xmlns:mc="http://schemas.openxmlformats.org/markup-compatibility/2006">
          <mc:Choice Requires="x14">
            <control shapeId="99939" r:id="rId81" name="Option Button 611">
              <controlPr defaultSize="0" autoFill="0" autoLine="0" autoPict="0">
                <anchor moveWithCells="1">
                  <from>
                    <xdr:col>3</xdr:col>
                    <xdr:colOff>88900</xdr:colOff>
                    <xdr:row>73</xdr:row>
                    <xdr:rowOff>127000</xdr:rowOff>
                  </from>
                  <to>
                    <xdr:col>3</xdr:col>
                    <xdr:colOff>393700</xdr:colOff>
                    <xdr:row>75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1:H69"/>
  <sheetViews>
    <sheetView showGridLines="0" zoomScaleNormal="100" zoomScaleSheetLayoutView="115" workbookViewId="0">
      <pane ySplit="4" topLeftCell="A5" activePane="bottomLeft" state="frozen"/>
      <selection pane="bottomLeft"/>
    </sheetView>
  </sheetViews>
  <sheetFormatPr baseColWidth="10" defaultColWidth="0" defaultRowHeight="14" zeroHeight="1" x14ac:dyDescent="0.3"/>
  <cols>
    <col min="1" max="1" width="4" style="300" customWidth="1"/>
    <col min="2" max="2" width="17.75" style="300" customWidth="1"/>
    <col min="3" max="3" width="12.08203125" style="300" customWidth="1"/>
    <col min="4" max="4" width="12.75" style="300" customWidth="1"/>
    <col min="5" max="5" width="5.33203125" style="300" customWidth="1"/>
    <col min="6" max="6" width="28" style="300" customWidth="1"/>
    <col min="7" max="7" width="16.25" style="300" customWidth="1"/>
    <col min="8" max="8" width="8.203125E-2" style="300" customWidth="1"/>
    <col min="9" max="62" width="0" style="300" hidden="1" customWidth="1"/>
    <col min="63" max="16384" width="0" style="300" hidden="1"/>
  </cols>
  <sheetData>
    <row r="1" spans="1:7" s="530" customFormat="1" ht="12" customHeight="1" x14ac:dyDescent="0.3">
      <c r="B1" s="1562" t="s">
        <v>705</v>
      </c>
      <c r="C1" s="1562" t="s">
        <v>1402</v>
      </c>
      <c r="D1" s="1561"/>
    </row>
    <row r="2" spans="1:7" s="530" customFormat="1" ht="12" customHeight="1" x14ac:dyDescent="0.35">
      <c r="A2" s="511" t="s">
        <v>1400</v>
      </c>
      <c r="B2" s="1563">
        <f>Rechnungen!E686</f>
        <v>129.08454392699383</v>
      </c>
      <c r="C2" s="1563">
        <f>Rechnungen!E687</f>
        <v>57.178390352179747</v>
      </c>
      <c r="D2" s="510" t="s">
        <v>365</v>
      </c>
      <c r="E2" s="1630" t="str">
        <f>IF('Übersicht (11)'!H3&lt;&gt;"","Der Heizwärmebedarf ist zu groß!","")</f>
        <v/>
      </c>
      <c r="F2" s="1639"/>
      <c r="G2" s="1639"/>
    </row>
    <row r="3" spans="1:7" s="530" customFormat="1" ht="12" customHeight="1" x14ac:dyDescent="0.35">
      <c r="A3" s="511" t="s">
        <v>1401</v>
      </c>
      <c r="B3" s="1564">
        <f>Rechnungen!E689</f>
        <v>0.25</v>
      </c>
      <c r="C3" s="1564">
        <f>Rechnungen!E690</f>
        <v>0.33</v>
      </c>
      <c r="D3" s="510" t="s">
        <v>179</v>
      </c>
      <c r="E3" s="1630" t="str">
        <f>IF(OR(ISERROR(B2)=TRUE,B2="- - -"),"Bitte Eingaben prüfen! Alle Menüs korrekt ausgefüllt?","")</f>
        <v/>
      </c>
      <c r="F3" s="1639"/>
      <c r="G3" s="1639"/>
    </row>
    <row r="4" spans="1:7" s="530" customFormat="1" ht="10" customHeight="1" thickBot="1" x14ac:dyDescent="0.35">
      <c r="B4" s="1467"/>
      <c r="D4" s="1466"/>
      <c r="E4" s="531"/>
      <c r="F4" s="531"/>
    </row>
    <row r="5" spans="1:7" s="311" customFormat="1" ht="21" customHeight="1" thickBot="1" x14ac:dyDescent="0.5">
      <c r="A5" s="516" t="s">
        <v>39</v>
      </c>
      <c r="B5" s="308"/>
      <c r="C5" s="308"/>
      <c r="D5" s="308"/>
      <c r="E5" s="308"/>
      <c r="F5" s="1272">
        <f>'Allgemeines (01)'!F13</f>
        <v>0</v>
      </c>
      <c r="G5" s="518" t="str">
        <f>"4/" &amp;Rechnungen!D647</f>
        <v>4/11</v>
      </c>
    </row>
    <row r="6" spans="1:7" s="312" customFormat="1" ht="16.5" customHeight="1" x14ac:dyDescent="0.35">
      <c r="A6" s="522" t="s">
        <v>359</v>
      </c>
      <c r="B6" s="532" t="s">
        <v>59</v>
      </c>
      <c r="F6" s="520"/>
      <c r="G6" s="533"/>
    </row>
    <row r="7" spans="1:7" ht="16.5" customHeight="1" x14ac:dyDescent="0.3">
      <c r="A7" s="527"/>
      <c r="F7" s="534"/>
      <c r="G7" s="535"/>
    </row>
    <row r="8" spans="1:7" ht="6" customHeight="1" x14ac:dyDescent="0.3">
      <c r="A8" s="527"/>
      <c r="F8" s="534"/>
      <c r="G8" s="535"/>
    </row>
    <row r="9" spans="1:7" s="312" customFormat="1" ht="16.5" customHeight="1" x14ac:dyDescent="0.35">
      <c r="A9" s="536" t="s">
        <v>360</v>
      </c>
      <c r="B9" s="537" t="s">
        <v>583</v>
      </c>
      <c r="C9" s="538"/>
      <c r="D9" s="538"/>
      <c r="E9" s="538"/>
      <c r="F9" s="539"/>
      <c r="G9" s="540"/>
    </row>
    <row r="10" spans="1:7" x14ac:dyDescent="0.3">
      <c r="A10" s="527"/>
      <c r="F10" s="534"/>
      <c r="G10" s="535"/>
    </row>
    <row r="11" spans="1:7" ht="10.5" customHeight="1" x14ac:dyDescent="0.3">
      <c r="A11" s="523"/>
      <c r="B11" s="524"/>
      <c r="C11" s="524"/>
      <c r="D11" s="524"/>
      <c r="E11" s="524"/>
      <c r="F11" s="541"/>
      <c r="G11" s="525"/>
    </row>
    <row r="12" spans="1:7" s="312" customFormat="1" ht="15.5" x14ac:dyDescent="0.35">
      <c r="A12" s="522" t="s">
        <v>361</v>
      </c>
      <c r="B12" s="532" t="s">
        <v>584</v>
      </c>
      <c r="F12" s="526" t="s">
        <v>1364</v>
      </c>
      <c r="G12" s="533"/>
    </row>
    <row r="13" spans="1:7" ht="15.5" x14ac:dyDescent="0.35">
      <c r="A13" s="527"/>
      <c r="D13" s="312"/>
      <c r="E13" s="312"/>
      <c r="G13" s="535"/>
    </row>
    <row r="14" spans="1:7" ht="15.75" customHeight="1" x14ac:dyDescent="0.3">
      <c r="A14" s="527"/>
      <c r="B14" s="526" t="s">
        <v>710</v>
      </c>
      <c r="F14" s="526" t="s">
        <v>1365</v>
      </c>
      <c r="G14" s="535"/>
    </row>
    <row r="15" spans="1:7" x14ac:dyDescent="0.3">
      <c r="A15" s="527"/>
      <c r="G15" s="535"/>
    </row>
    <row r="16" spans="1:7" ht="15.75" customHeight="1" x14ac:dyDescent="0.3">
      <c r="A16" s="527"/>
      <c r="B16" s="526" t="s">
        <v>711</v>
      </c>
      <c r="F16" s="526"/>
      <c r="G16" s="535"/>
    </row>
    <row r="17" spans="1:7" x14ac:dyDescent="0.3">
      <c r="A17" s="527"/>
      <c r="G17" s="535"/>
    </row>
    <row r="18" spans="1:7" ht="9" customHeight="1" thickBot="1" x14ac:dyDescent="0.35">
      <c r="A18" s="527"/>
      <c r="G18" s="535"/>
    </row>
    <row r="19" spans="1:7" s="311" customFormat="1" ht="22" thickBot="1" x14ac:dyDescent="0.5">
      <c r="A19" s="516" t="s">
        <v>40</v>
      </c>
      <c r="B19" s="308"/>
      <c r="C19" s="308"/>
      <c r="D19" s="308"/>
      <c r="E19" s="308"/>
      <c r="F19" s="309"/>
      <c r="G19" s="310"/>
    </row>
    <row r="20" spans="1:7" s="312" customFormat="1" ht="16.5" customHeight="1" x14ac:dyDescent="0.35">
      <c r="A20" s="522" t="s">
        <v>496</v>
      </c>
      <c r="B20" s="532" t="s">
        <v>60</v>
      </c>
      <c r="F20" s="520"/>
      <c r="G20" s="533"/>
    </row>
    <row r="21" spans="1:7" ht="16.5" customHeight="1" x14ac:dyDescent="0.3">
      <c r="A21" s="527"/>
      <c r="G21" s="535"/>
    </row>
    <row r="22" spans="1:7" ht="5.25" customHeight="1" x14ac:dyDescent="0.3">
      <c r="A22" s="523"/>
      <c r="B22" s="524"/>
      <c r="C22" s="524"/>
      <c r="D22" s="524"/>
      <c r="E22" s="524"/>
      <c r="F22" s="524"/>
      <c r="G22" s="525"/>
    </row>
    <row r="23" spans="1:7" s="312" customFormat="1" ht="18" customHeight="1" x14ac:dyDescent="0.35">
      <c r="A23" s="536" t="s">
        <v>497</v>
      </c>
      <c r="B23" s="537" t="s">
        <v>627</v>
      </c>
      <c r="C23" s="538"/>
      <c r="D23" s="538"/>
      <c r="E23" s="538"/>
      <c r="F23" s="539"/>
      <c r="G23" s="540"/>
    </row>
    <row r="24" spans="1:7" ht="11.25" customHeight="1" x14ac:dyDescent="0.3">
      <c r="A24" s="527"/>
      <c r="C24" s="542"/>
      <c r="G24" s="535"/>
    </row>
    <row r="25" spans="1:7" ht="12" customHeight="1" x14ac:dyDescent="0.3">
      <c r="A25" s="523"/>
      <c r="B25" s="524"/>
      <c r="C25" s="524"/>
      <c r="D25" s="524"/>
      <c r="E25" s="524"/>
      <c r="F25" s="524"/>
      <c r="G25" s="525"/>
    </row>
    <row r="26" spans="1:7" s="312" customFormat="1" ht="15.5" x14ac:dyDescent="0.35">
      <c r="A26" s="536" t="s">
        <v>546</v>
      </c>
      <c r="B26" s="537" t="s">
        <v>582</v>
      </c>
      <c r="C26" s="538"/>
      <c r="D26" s="538"/>
      <c r="E26" s="538"/>
      <c r="F26" s="539"/>
      <c r="G26" s="540"/>
    </row>
    <row r="27" spans="1:7" ht="10.5" customHeight="1" x14ac:dyDescent="0.3">
      <c r="A27" s="527"/>
      <c r="B27" s="526" t="s">
        <v>628</v>
      </c>
      <c r="F27" s="526" t="s">
        <v>62</v>
      </c>
      <c r="G27" s="535"/>
    </row>
    <row r="28" spans="1:7" x14ac:dyDescent="0.3">
      <c r="A28" s="527"/>
      <c r="B28" s="485"/>
      <c r="G28" s="535"/>
    </row>
    <row r="29" spans="1:7" ht="8.25" customHeight="1" x14ac:dyDescent="0.3">
      <c r="A29" s="523"/>
      <c r="B29" s="524"/>
      <c r="C29" s="524"/>
      <c r="D29" s="524"/>
      <c r="E29" s="524"/>
      <c r="F29" s="524"/>
      <c r="G29" s="525"/>
    </row>
    <row r="30" spans="1:7" s="312" customFormat="1" ht="15.5" x14ac:dyDescent="0.35">
      <c r="A30" s="536" t="s">
        <v>629</v>
      </c>
      <c r="B30" s="537" t="s">
        <v>583</v>
      </c>
      <c r="C30" s="538"/>
      <c r="D30" s="538"/>
      <c r="E30" s="538"/>
      <c r="F30" s="539"/>
      <c r="G30" s="540"/>
    </row>
    <row r="31" spans="1:7" x14ac:dyDescent="0.3">
      <c r="A31" s="527"/>
      <c r="G31" s="535"/>
    </row>
    <row r="32" spans="1:7" ht="8.25" customHeight="1" x14ac:dyDescent="0.3">
      <c r="A32" s="523"/>
      <c r="B32" s="524"/>
      <c r="C32" s="524"/>
      <c r="D32" s="524"/>
      <c r="E32" s="524"/>
      <c r="F32" s="524"/>
      <c r="G32" s="525"/>
    </row>
    <row r="33" spans="1:7" s="312" customFormat="1" ht="15.5" x14ac:dyDescent="0.35">
      <c r="A33" s="522" t="s">
        <v>630</v>
      </c>
      <c r="B33" s="532" t="s">
        <v>584</v>
      </c>
      <c r="F33" s="526" t="s">
        <v>61</v>
      </c>
      <c r="G33" s="533"/>
    </row>
    <row r="34" spans="1:7" ht="14.5" x14ac:dyDescent="0.35">
      <c r="A34" s="527"/>
      <c r="B34" s="485"/>
      <c r="D34" s="1455" t="s">
        <v>2</v>
      </c>
      <c r="E34" s="1456"/>
      <c r="G34" s="535"/>
    </row>
    <row r="35" spans="1:7" ht="14.25" customHeight="1" x14ac:dyDescent="0.3">
      <c r="A35" s="527"/>
      <c r="B35" s="526" t="s">
        <v>631</v>
      </c>
      <c r="F35" s="526" t="s">
        <v>63</v>
      </c>
      <c r="G35" s="535"/>
    </row>
    <row r="36" spans="1:7" x14ac:dyDescent="0.3">
      <c r="A36" s="527"/>
      <c r="G36" s="535"/>
    </row>
    <row r="37" spans="1:7" ht="13.5" customHeight="1" x14ac:dyDescent="0.3">
      <c r="A37" s="527"/>
      <c r="B37" s="526" t="s">
        <v>632</v>
      </c>
      <c r="G37" s="535"/>
    </row>
    <row r="38" spans="1:7" x14ac:dyDescent="0.3">
      <c r="A38" s="527"/>
      <c r="G38" s="535"/>
    </row>
    <row r="39" spans="1:7" ht="6" customHeight="1" thickBot="1" x14ac:dyDescent="0.35">
      <c r="A39" s="527"/>
      <c r="G39" s="535"/>
    </row>
    <row r="40" spans="1:7" s="307" customFormat="1" ht="22" thickBot="1" x14ac:dyDescent="0.5">
      <c r="A40" s="516" t="s">
        <v>41</v>
      </c>
      <c r="B40" s="306"/>
      <c r="C40" s="306"/>
      <c r="D40" s="306"/>
      <c r="E40" s="306"/>
      <c r="F40" s="517"/>
      <c r="G40" s="515"/>
    </row>
    <row r="41" spans="1:7" s="312" customFormat="1" ht="17.25" customHeight="1" x14ac:dyDescent="0.35">
      <c r="A41" s="536" t="s">
        <v>585</v>
      </c>
      <c r="B41" s="537" t="s">
        <v>1369</v>
      </c>
      <c r="C41" s="538"/>
      <c r="D41" s="538"/>
      <c r="E41" s="538"/>
      <c r="F41" s="526" t="s">
        <v>1258</v>
      </c>
      <c r="G41" s="540"/>
    </row>
    <row r="42" spans="1:7" ht="11.25" customHeight="1" x14ac:dyDescent="0.3">
      <c r="A42" s="527"/>
      <c r="G42" s="535"/>
    </row>
    <row r="43" spans="1:7" ht="9" customHeight="1" x14ac:dyDescent="0.3">
      <c r="A43" s="523"/>
      <c r="B43" s="524"/>
      <c r="C43" s="524"/>
      <c r="D43" s="524"/>
      <c r="E43" s="524"/>
      <c r="F43" s="524"/>
      <c r="G43" s="525"/>
    </row>
    <row r="44" spans="1:7" s="312" customFormat="1" ht="17.25" customHeight="1" x14ac:dyDescent="0.35">
      <c r="A44" s="536" t="s">
        <v>586</v>
      </c>
      <c r="B44" s="537" t="s">
        <v>706</v>
      </c>
      <c r="C44" s="538"/>
      <c r="D44" s="538"/>
      <c r="E44" s="538"/>
      <c r="F44" s="538"/>
      <c r="G44" s="540"/>
    </row>
    <row r="45" spans="1:7" ht="17.25" customHeight="1" x14ac:dyDescent="0.3">
      <c r="A45" s="527"/>
      <c r="G45" s="535"/>
    </row>
    <row r="46" spans="1:7" ht="5.25" customHeight="1" x14ac:dyDescent="0.3">
      <c r="A46" s="523"/>
      <c r="B46" s="524"/>
      <c r="C46" s="524"/>
      <c r="D46" s="524"/>
      <c r="E46" s="524"/>
      <c r="F46" s="524"/>
      <c r="G46" s="525"/>
    </row>
    <row r="47" spans="1:7" s="312" customFormat="1" ht="15.5" x14ac:dyDescent="0.35">
      <c r="A47" s="536" t="s">
        <v>587</v>
      </c>
      <c r="B47" s="537" t="s">
        <v>626</v>
      </c>
      <c r="C47" s="538"/>
      <c r="D47" s="538"/>
      <c r="E47" s="538"/>
      <c r="F47" s="539"/>
      <c r="G47" s="540"/>
    </row>
    <row r="48" spans="1:7" x14ac:dyDescent="0.3">
      <c r="A48" s="527"/>
      <c r="G48" s="535"/>
    </row>
    <row r="49" spans="1:7" ht="6.75" customHeight="1" x14ac:dyDescent="0.3">
      <c r="A49" s="523"/>
      <c r="B49" s="524"/>
      <c r="C49" s="524"/>
      <c r="D49" s="524"/>
      <c r="E49" s="524"/>
      <c r="F49" s="524"/>
      <c r="G49" s="525"/>
    </row>
    <row r="50" spans="1:7" s="312" customFormat="1" ht="15.5" x14ac:dyDescent="0.35">
      <c r="A50" s="536" t="s">
        <v>588</v>
      </c>
      <c r="B50" s="537" t="s">
        <v>640</v>
      </c>
      <c r="C50" s="538"/>
      <c r="D50" s="538"/>
      <c r="E50" s="538"/>
      <c r="F50" s="539"/>
      <c r="G50" s="540"/>
    </row>
    <row r="51" spans="1:7" x14ac:dyDescent="0.3">
      <c r="A51" s="527"/>
      <c r="C51" s="542"/>
      <c r="G51" s="535"/>
    </row>
    <row r="52" spans="1:7" ht="6.75" customHeight="1" x14ac:dyDescent="0.3">
      <c r="A52" s="523"/>
      <c r="B52" s="524"/>
      <c r="C52" s="524"/>
      <c r="D52" s="524"/>
      <c r="E52" s="524"/>
      <c r="F52" s="524"/>
      <c r="G52" s="525"/>
    </row>
    <row r="53" spans="1:7" s="312" customFormat="1" ht="15.5" x14ac:dyDescent="0.35">
      <c r="A53" s="522" t="s">
        <v>633</v>
      </c>
      <c r="B53" s="532" t="s">
        <v>639</v>
      </c>
      <c r="F53" s="520"/>
      <c r="G53" s="533"/>
    </row>
    <row r="54" spans="1:7" x14ac:dyDescent="0.3">
      <c r="A54" s="527"/>
      <c r="G54" s="535"/>
    </row>
    <row r="55" spans="1:7" ht="10.5" customHeight="1" x14ac:dyDescent="0.3">
      <c r="A55" s="523"/>
      <c r="B55" s="524"/>
      <c r="C55" s="524"/>
      <c r="D55" s="524"/>
      <c r="E55" s="524"/>
      <c r="F55" s="524"/>
      <c r="G55" s="525"/>
    </row>
    <row r="56" spans="1:7" s="312" customFormat="1" ht="15.5" x14ac:dyDescent="0.35">
      <c r="A56" s="522" t="s">
        <v>634</v>
      </c>
      <c r="B56" s="532" t="s">
        <v>638</v>
      </c>
      <c r="F56" s="526" t="s">
        <v>1366</v>
      </c>
      <c r="G56" s="533"/>
    </row>
    <row r="57" spans="1:7" ht="18.75" customHeight="1" x14ac:dyDescent="0.3">
      <c r="A57" s="527"/>
      <c r="G57" s="535"/>
    </row>
    <row r="58" spans="1:7" s="312" customFormat="1" ht="15.5" x14ac:dyDescent="0.35">
      <c r="A58" s="522" t="s">
        <v>635</v>
      </c>
      <c r="B58" s="532" t="s">
        <v>641</v>
      </c>
      <c r="F58" s="520"/>
      <c r="G58" s="533"/>
    </row>
    <row r="59" spans="1:7" x14ac:dyDescent="0.3">
      <c r="A59" s="527"/>
      <c r="B59" s="485"/>
      <c r="G59" s="535"/>
    </row>
    <row r="60" spans="1:7" ht="9" customHeight="1" thickBot="1" x14ac:dyDescent="0.35">
      <c r="A60" s="527"/>
      <c r="C60" s="542"/>
      <c r="G60" s="535"/>
    </row>
    <row r="61" spans="1:7" s="307" customFormat="1" ht="21.5" x14ac:dyDescent="0.45">
      <c r="A61" s="1424" t="s">
        <v>1367</v>
      </c>
      <c r="B61" s="1425"/>
      <c r="C61" s="1425"/>
      <c r="D61" s="1425"/>
      <c r="E61" s="1425"/>
      <c r="F61" s="1426"/>
      <c r="G61" s="1427"/>
    </row>
    <row r="62" spans="1:7" ht="15.5" x14ac:dyDescent="0.35">
      <c r="A62" s="536" t="s">
        <v>1368</v>
      </c>
      <c r="B62" s="537" t="s">
        <v>1371</v>
      </c>
      <c r="C62" s="1428"/>
      <c r="D62" s="1429"/>
      <c r="E62" s="1429"/>
      <c r="F62" s="526" t="s">
        <v>1372</v>
      </c>
      <c r="G62" s="1433"/>
    </row>
    <row r="63" spans="1:7" ht="15.5" x14ac:dyDescent="0.35">
      <c r="A63" s="522"/>
      <c r="B63" s="1457" t="s">
        <v>3</v>
      </c>
      <c r="C63" s="1458"/>
      <c r="D63" s="526" t="s">
        <v>357</v>
      </c>
      <c r="F63" s="526"/>
      <c r="G63" s="535"/>
    </row>
    <row r="64" spans="1:7" ht="7.5" customHeight="1" x14ac:dyDescent="0.3">
      <c r="A64" s="523"/>
      <c r="B64" s="524"/>
      <c r="C64" s="1431"/>
      <c r="D64" s="524"/>
      <c r="E64" s="524"/>
      <c r="F64" s="1432"/>
      <c r="G64" s="525"/>
    </row>
    <row r="65" spans="1:8" ht="15.5" x14ac:dyDescent="0.35">
      <c r="A65" s="536" t="s">
        <v>1370</v>
      </c>
      <c r="B65" s="537" t="s">
        <v>1391</v>
      </c>
      <c r="C65" s="1428"/>
      <c r="D65" s="1429"/>
      <c r="E65" s="1429"/>
      <c r="F65" s="1430"/>
      <c r="G65" s="1433"/>
    </row>
    <row r="66" spans="1:8" ht="15.5" x14ac:dyDescent="0.35">
      <c r="A66" s="522"/>
      <c r="B66" s="532"/>
      <c r="C66" s="542"/>
      <c r="F66" s="526"/>
      <c r="G66" s="535"/>
    </row>
    <row r="67" spans="1:8" ht="6" customHeight="1" x14ac:dyDescent="0.3">
      <c r="A67" s="523"/>
      <c r="B67" s="524"/>
      <c r="C67" s="1431"/>
      <c r="D67" s="524"/>
      <c r="E67" s="524"/>
      <c r="F67" s="1432"/>
      <c r="G67" s="525"/>
    </row>
    <row r="68" spans="1:8" s="312" customFormat="1" ht="16" thickBot="1" x14ac:dyDescent="0.4">
      <c r="A68" s="519" t="str">
        <f>'Allgemeines (01)'!A47</f>
        <v>Primärenergieaufwand für Wohngebäude; Programm erstellt von K. Jagnow, 2001-2023</v>
      </c>
      <c r="B68" s="481"/>
      <c r="C68" s="481"/>
      <c r="D68" s="481"/>
      <c r="E68" s="481"/>
      <c r="F68" s="481"/>
      <c r="G68" s="482"/>
      <c r="H68" s="301"/>
    </row>
    <row r="69" spans="1:8" ht="0.75" customHeight="1" x14ac:dyDescent="0.3"/>
  </sheetData>
  <sheetProtection algorithmName="SHA-512" hashValue="o/mzncA9BfCYZ4yGCiC1x1YHg46QKfbSl9IWX/MaG1hMmAmEJKb2O22yd1YOvVNugapGYammExXPxYhvvYoZ2A==" saltValue="fNWNxMI2YBSUPBpFm96ong==" spinCount="100000" sheet="1"/>
  <customSheetViews>
    <customSheetView guid="{AB7935E0-18C1-11D5-A405-00409522490A}" showGridLines="0" showRuler="0" topLeftCell="A98">
      <selection activeCell="L1" sqref="L1"/>
      <pageMargins left="0.78740157499999996" right="0.78740157499999996" top="0.984251969" bottom="0.984251969" header="0.4921259845" footer="0.4921259845"/>
      <pageSetup paperSize="9" orientation="portrait" horizontalDpi="300" verticalDpi="300" r:id="rId1"/>
      <headerFooter alignWithMargins="0"/>
    </customSheetView>
    <customSheetView guid="{586D4F31-1FA3-11D6-B431-009027A4C716}" scale="88" showGridLines="0" showRuler="0">
      <pageMargins left="0.78740157499999996" right="0.78740157499999996" top="0.984251969" bottom="0.984251969" header="0.4921259845" footer="0.4921259845"/>
      <pageSetup paperSize="9" scale="78" orientation="portrait" horizontalDpi="300" verticalDpi="300" r:id="rId2"/>
      <headerFooter alignWithMargins="0"/>
    </customSheetView>
  </customSheetViews>
  <mergeCells count="2">
    <mergeCell ref="E3:G3"/>
    <mergeCell ref="E2:G2"/>
  </mergeCells>
  <phoneticPr fontId="0" type="noConversion"/>
  <dataValidations count="2">
    <dataValidation type="decimal" allowBlank="1" showInputMessage="1" showErrorMessage="1" sqref="C63" xr:uid="{00000000-0002-0000-0400-000000000000}">
      <formula1>0</formula1>
      <formula2>10000</formula2>
    </dataValidation>
    <dataValidation type="decimal" allowBlank="1" showInputMessage="1" showErrorMessage="1" sqref="E34" xr:uid="{00000000-0002-0000-0400-000001000000}">
      <formula1>0</formula1>
      <formula2>2</formula2>
    </dataValidation>
  </dataValidations>
  <pageMargins left="0.78740157480314965" right="0.78740157480314965" top="0.98425196850393704" bottom="0.98425196850393704" header="0.51181102362204722" footer="0.51181102362204722"/>
  <pageSetup paperSize="9" scale="78" orientation="portrait" horizontalDpi="300"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3206" r:id="rId6" name="Drop Down 134">
              <controlPr defaultSize="0" autoLine="0" autoPict="0">
                <anchor moveWithCells="1">
                  <from>
                    <xdr:col>1</xdr:col>
                    <xdr:colOff>12700</xdr:colOff>
                    <xdr:row>6</xdr:row>
                    <xdr:rowOff>19050</xdr:rowOff>
                  </from>
                  <to>
                    <xdr:col>6</xdr:col>
                    <xdr:colOff>990600</xdr:colOff>
                    <xdr:row>7</xdr:row>
                    <xdr:rowOff>19050</xdr:rowOff>
                  </to>
                </anchor>
              </controlPr>
            </control>
          </mc:Choice>
        </mc:AlternateContent>
        <mc:AlternateContent xmlns:mc="http://schemas.openxmlformats.org/markup-compatibility/2006">
          <mc:Choice Requires="x14">
            <control shapeId="3207" r:id="rId7" name="Drop Down 135">
              <controlPr defaultSize="0" autoLine="0" autoPict="0">
                <anchor moveWithCells="1">
                  <from>
                    <xdr:col>1</xdr:col>
                    <xdr:colOff>12700</xdr:colOff>
                    <xdr:row>9</xdr:row>
                    <xdr:rowOff>31750</xdr:rowOff>
                  </from>
                  <to>
                    <xdr:col>6</xdr:col>
                    <xdr:colOff>990600</xdr:colOff>
                    <xdr:row>10</xdr:row>
                    <xdr:rowOff>57150</xdr:rowOff>
                  </to>
                </anchor>
              </controlPr>
            </control>
          </mc:Choice>
        </mc:AlternateContent>
        <mc:AlternateContent xmlns:mc="http://schemas.openxmlformats.org/markup-compatibility/2006">
          <mc:Choice Requires="x14">
            <control shapeId="3209" r:id="rId8" name="Drop Down 137">
              <controlPr defaultSize="0" autoLine="0" autoPict="0">
                <anchor moveWithCells="1">
                  <from>
                    <xdr:col>5</xdr:col>
                    <xdr:colOff>279400</xdr:colOff>
                    <xdr:row>12</xdr:row>
                    <xdr:rowOff>0</xdr:rowOff>
                  </from>
                  <to>
                    <xdr:col>6</xdr:col>
                    <xdr:colOff>984250</xdr:colOff>
                    <xdr:row>13</xdr:row>
                    <xdr:rowOff>12700</xdr:rowOff>
                  </to>
                </anchor>
              </controlPr>
            </control>
          </mc:Choice>
        </mc:AlternateContent>
        <mc:AlternateContent xmlns:mc="http://schemas.openxmlformats.org/markup-compatibility/2006">
          <mc:Choice Requires="x14">
            <control shapeId="3211" r:id="rId9" name="Drop Down 139">
              <controlPr defaultSize="0" autoLine="0" autoPict="0">
                <anchor moveWithCells="1">
                  <from>
                    <xdr:col>5</xdr:col>
                    <xdr:colOff>285750</xdr:colOff>
                    <xdr:row>14</xdr:row>
                    <xdr:rowOff>0</xdr:rowOff>
                  </from>
                  <to>
                    <xdr:col>6</xdr:col>
                    <xdr:colOff>984250</xdr:colOff>
                    <xdr:row>15</xdr:row>
                    <xdr:rowOff>19050</xdr:rowOff>
                  </to>
                </anchor>
              </controlPr>
            </control>
          </mc:Choice>
        </mc:AlternateContent>
        <mc:AlternateContent xmlns:mc="http://schemas.openxmlformats.org/markup-compatibility/2006">
          <mc:Choice Requires="x14">
            <control shapeId="3212" r:id="rId10" name="Drop Down 140">
              <controlPr defaultSize="0" autoLine="0" autoPict="0">
                <anchor moveWithCells="1">
                  <from>
                    <xdr:col>1</xdr:col>
                    <xdr:colOff>19050</xdr:colOff>
                    <xdr:row>14</xdr:row>
                    <xdr:rowOff>0</xdr:rowOff>
                  </from>
                  <to>
                    <xdr:col>5</xdr:col>
                    <xdr:colOff>152400</xdr:colOff>
                    <xdr:row>15</xdr:row>
                    <xdr:rowOff>19050</xdr:rowOff>
                  </to>
                </anchor>
              </controlPr>
            </control>
          </mc:Choice>
        </mc:AlternateContent>
        <mc:AlternateContent xmlns:mc="http://schemas.openxmlformats.org/markup-compatibility/2006">
          <mc:Choice Requires="x14">
            <control shapeId="3213" r:id="rId11" name="Drop Down 141">
              <controlPr defaultSize="0" autoLine="0" autoPict="0">
                <anchor moveWithCells="1">
                  <from>
                    <xdr:col>1</xdr:col>
                    <xdr:colOff>12700</xdr:colOff>
                    <xdr:row>16</xdr:row>
                    <xdr:rowOff>0</xdr:rowOff>
                  </from>
                  <to>
                    <xdr:col>6</xdr:col>
                    <xdr:colOff>984250</xdr:colOff>
                    <xdr:row>17</xdr:row>
                    <xdr:rowOff>19050</xdr:rowOff>
                  </to>
                </anchor>
              </controlPr>
            </control>
          </mc:Choice>
        </mc:AlternateContent>
        <mc:AlternateContent xmlns:mc="http://schemas.openxmlformats.org/markup-compatibility/2006">
          <mc:Choice Requires="x14">
            <control shapeId="3217" r:id="rId12" name="Drop Down 145">
              <controlPr defaultSize="0" autoLine="0" autoPict="0">
                <anchor moveWithCells="1">
                  <from>
                    <xdr:col>1</xdr:col>
                    <xdr:colOff>19050</xdr:colOff>
                    <xdr:row>44</xdr:row>
                    <xdr:rowOff>19050</xdr:rowOff>
                  </from>
                  <to>
                    <xdr:col>6</xdr:col>
                    <xdr:colOff>1009650</xdr:colOff>
                    <xdr:row>45</xdr:row>
                    <xdr:rowOff>0</xdr:rowOff>
                  </to>
                </anchor>
              </controlPr>
            </control>
          </mc:Choice>
        </mc:AlternateContent>
        <mc:AlternateContent xmlns:mc="http://schemas.openxmlformats.org/markup-compatibility/2006">
          <mc:Choice Requires="x14">
            <control shapeId="3218" r:id="rId13" name="Drop Down 146">
              <controlPr defaultSize="0" autoLine="0" autoPict="0">
                <anchor moveWithCells="1">
                  <from>
                    <xdr:col>1</xdr:col>
                    <xdr:colOff>19050</xdr:colOff>
                    <xdr:row>41</xdr:row>
                    <xdr:rowOff>12700</xdr:rowOff>
                  </from>
                  <to>
                    <xdr:col>5</xdr:col>
                    <xdr:colOff>203200</xdr:colOff>
                    <xdr:row>42</xdr:row>
                    <xdr:rowOff>69850</xdr:rowOff>
                  </to>
                </anchor>
              </controlPr>
            </control>
          </mc:Choice>
        </mc:AlternateContent>
        <mc:AlternateContent xmlns:mc="http://schemas.openxmlformats.org/markup-compatibility/2006">
          <mc:Choice Requires="x14">
            <control shapeId="3219" r:id="rId14" name="Drop Down 147">
              <controlPr defaultSize="0" autoLine="0" autoPict="0">
                <anchor moveWithCells="1">
                  <from>
                    <xdr:col>1</xdr:col>
                    <xdr:colOff>19050</xdr:colOff>
                    <xdr:row>47</xdr:row>
                    <xdr:rowOff>12700</xdr:rowOff>
                  </from>
                  <to>
                    <xdr:col>6</xdr:col>
                    <xdr:colOff>1003300</xdr:colOff>
                    <xdr:row>48</xdr:row>
                    <xdr:rowOff>38100</xdr:rowOff>
                  </to>
                </anchor>
              </controlPr>
            </control>
          </mc:Choice>
        </mc:AlternateContent>
        <mc:AlternateContent xmlns:mc="http://schemas.openxmlformats.org/markup-compatibility/2006">
          <mc:Choice Requires="x14">
            <control shapeId="3220" r:id="rId15" name="Drop Down 148">
              <controlPr defaultSize="0" autoLine="0" autoPict="0">
                <anchor moveWithCells="1">
                  <from>
                    <xdr:col>1</xdr:col>
                    <xdr:colOff>19050</xdr:colOff>
                    <xdr:row>50</xdr:row>
                    <xdr:rowOff>19050</xdr:rowOff>
                  </from>
                  <to>
                    <xdr:col>6</xdr:col>
                    <xdr:colOff>1003300</xdr:colOff>
                    <xdr:row>51</xdr:row>
                    <xdr:rowOff>38100</xdr:rowOff>
                  </to>
                </anchor>
              </controlPr>
            </control>
          </mc:Choice>
        </mc:AlternateContent>
        <mc:AlternateContent xmlns:mc="http://schemas.openxmlformats.org/markup-compatibility/2006">
          <mc:Choice Requires="x14">
            <control shapeId="3221" r:id="rId16" name="Drop Down 149">
              <controlPr defaultSize="0" autoLine="0" autoPict="0">
                <anchor moveWithCells="1">
                  <from>
                    <xdr:col>1</xdr:col>
                    <xdr:colOff>19050</xdr:colOff>
                    <xdr:row>53</xdr:row>
                    <xdr:rowOff>19050</xdr:rowOff>
                  </from>
                  <to>
                    <xdr:col>6</xdr:col>
                    <xdr:colOff>1003300</xdr:colOff>
                    <xdr:row>54</xdr:row>
                    <xdr:rowOff>50800</xdr:rowOff>
                  </to>
                </anchor>
              </controlPr>
            </control>
          </mc:Choice>
        </mc:AlternateContent>
        <mc:AlternateContent xmlns:mc="http://schemas.openxmlformats.org/markup-compatibility/2006">
          <mc:Choice Requires="x14">
            <control shapeId="3222" r:id="rId17" name="Drop Down 150">
              <controlPr defaultSize="0" autoLine="0" autoPict="0">
                <anchor moveWithCells="1">
                  <from>
                    <xdr:col>1</xdr:col>
                    <xdr:colOff>19050</xdr:colOff>
                    <xdr:row>56</xdr:row>
                    <xdr:rowOff>38100</xdr:rowOff>
                  </from>
                  <to>
                    <xdr:col>5</xdr:col>
                    <xdr:colOff>171450</xdr:colOff>
                    <xdr:row>57</xdr:row>
                    <xdr:rowOff>0</xdr:rowOff>
                  </to>
                </anchor>
              </controlPr>
            </control>
          </mc:Choice>
        </mc:AlternateContent>
        <mc:AlternateContent xmlns:mc="http://schemas.openxmlformats.org/markup-compatibility/2006">
          <mc:Choice Requires="x14">
            <control shapeId="3223" r:id="rId18" name="Drop Down 151">
              <controlPr defaultSize="0" autoLine="0" autoPict="0">
                <anchor moveWithCells="1">
                  <from>
                    <xdr:col>1</xdr:col>
                    <xdr:colOff>12700</xdr:colOff>
                    <xdr:row>58</xdr:row>
                    <xdr:rowOff>19050</xdr:rowOff>
                  </from>
                  <to>
                    <xdr:col>6</xdr:col>
                    <xdr:colOff>1009650</xdr:colOff>
                    <xdr:row>59</xdr:row>
                    <xdr:rowOff>38100</xdr:rowOff>
                  </to>
                </anchor>
              </controlPr>
            </control>
          </mc:Choice>
        </mc:AlternateContent>
        <mc:AlternateContent xmlns:mc="http://schemas.openxmlformats.org/markup-compatibility/2006">
          <mc:Choice Requires="x14">
            <control shapeId="3224" r:id="rId19" name="Drop Down 152">
              <controlPr defaultSize="0" autoLine="0" autoPict="0">
                <anchor moveWithCells="1">
                  <from>
                    <xdr:col>5</xdr:col>
                    <xdr:colOff>304800</xdr:colOff>
                    <xdr:row>56</xdr:row>
                    <xdr:rowOff>31750</xdr:rowOff>
                  </from>
                  <to>
                    <xdr:col>6</xdr:col>
                    <xdr:colOff>1009650</xdr:colOff>
                    <xdr:row>56</xdr:row>
                    <xdr:rowOff>228600</xdr:rowOff>
                  </to>
                </anchor>
              </controlPr>
            </control>
          </mc:Choice>
        </mc:AlternateContent>
        <mc:AlternateContent xmlns:mc="http://schemas.openxmlformats.org/markup-compatibility/2006">
          <mc:Choice Requires="x14">
            <control shapeId="3226" r:id="rId20" name="Drop Down 154">
              <controlPr defaultSize="0" autoLine="0" autoPict="0">
                <anchor moveWithCells="1">
                  <from>
                    <xdr:col>1</xdr:col>
                    <xdr:colOff>19050</xdr:colOff>
                    <xdr:row>23</xdr:row>
                    <xdr:rowOff>19050</xdr:rowOff>
                  </from>
                  <to>
                    <xdr:col>6</xdr:col>
                    <xdr:colOff>1003300</xdr:colOff>
                    <xdr:row>24</xdr:row>
                    <xdr:rowOff>76200</xdr:rowOff>
                  </to>
                </anchor>
              </controlPr>
            </control>
          </mc:Choice>
        </mc:AlternateContent>
        <mc:AlternateContent xmlns:mc="http://schemas.openxmlformats.org/markup-compatibility/2006">
          <mc:Choice Requires="x14">
            <control shapeId="3227" r:id="rId21" name="Drop Down 155">
              <controlPr defaultSize="0" autoLine="0" autoPict="0">
                <anchor moveWithCells="1">
                  <from>
                    <xdr:col>1</xdr:col>
                    <xdr:colOff>19050</xdr:colOff>
                    <xdr:row>27</xdr:row>
                    <xdr:rowOff>0</xdr:rowOff>
                  </from>
                  <to>
                    <xdr:col>5</xdr:col>
                    <xdr:colOff>146050</xdr:colOff>
                    <xdr:row>28</xdr:row>
                    <xdr:rowOff>19050</xdr:rowOff>
                  </to>
                </anchor>
              </controlPr>
            </control>
          </mc:Choice>
        </mc:AlternateContent>
        <mc:AlternateContent xmlns:mc="http://schemas.openxmlformats.org/markup-compatibility/2006">
          <mc:Choice Requires="x14">
            <control shapeId="3228" r:id="rId22" name="Drop Down 156">
              <controlPr defaultSize="0" autoLine="0" autoPict="0">
                <anchor moveWithCells="1">
                  <from>
                    <xdr:col>5</xdr:col>
                    <xdr:colOff>266700</xdr:colOff>
                    <xdr:row>27</xdr:row>
                    <xdr:rowOff>0</xdr:rowOff>
                  </from>
                  <to>
                    <xdr:col>6</xdr:col>
                    <xdr:colOff>1003300</xdr:colOff>
                    <xdr:row>28</xdr:row>
                    <xdr:rowOff>19050</xdr:rowOff>
                  </to>
                </anchor>
              </controlPr>
            </control>
          </mc:Choice>
        </mc:AlternateContent>
        <mc:AlternateContent xmlns:mc="http://schemas.openxmlformats.org/markup-compatibility/2006">
          <mc:Choice Requires="x14">
            <control shapeId="3229" r:id="rId23" name="Drop Down 157">
              <controlPr defaultSize="0" autoLine="0" autoPict="0">
                <anchor moveWithCells="1">
                  <from>
                    <xdr:col>1</xdr:col>
                    <xdr:colOff>19050</xdr:colOff>
                    <xdr:row>30</xdr:row>
                    <xdr:rowOff>31750</xdr:rowOff>
                  </from>
                  <to>
                    <xdr:col>6</xdr:col>
                    <xdr:colOff>1003300</xdr:colOff>
                    <xdr:row>31</xdr:row>
                    <xdr:rowOff>50800</xdr:rowOff>
                  </to>
                </anchor>
              </controlPr>
            </control>
          </mc:Choice>
        </mc:AlternateContent>
        <mc:AlternateContent xmlns:mc="http://schemas.openxmlformats.org/markup-compatibility/2006">
          <mc:Choice Requires="x14">
            <control shapeId="3230" r:id="rId24" name="Drop Down 158">
              <controlPr defaultSize="0" autoLine="0" autoPict="0">
                <anchor moveWithCells="1">
                  <from>
                    <xdr:col>5</xdr:col>
                    <xdr:colOff>361950</xdr:colOff>
                    <xdr:row>32</xdr:row>
                    <xdr:rowOff>184150</xdr:rowOff>
                  </from>
                  <to>
                    <xdr:col>6</xdr:col>
                    <xdr:colOff>1003300</xdr:colOff>
                    <xdr:row>34</xdr:row>
                    <xdr:rowOff>0</xdr:rowOff>
                  </to>
                </anchor>
              </controlPr>
            </control>
          </mc:Choice>
        </mc:AlternateContent>
        <mc:AlternateContent xmlns:mc="http://schemas.openxmlformats.org/markup-compatibility/2006">
          <mc:Choice Requires="x14">
            <control shapeId="3231" r:id="rId25" name="Drop Down 159">
              <controlPr defaultSize="0" autoLine="0" autoPict="0">
                <anchor moveWithCells="1">
                  <from>
                    <xdr:col>1</xdr:col>
                    <xdr:colOff>19050</xdr:colOff>
                    <xdr:row>35</xdr:row>
                    <xdr:rowOff>0</xdr:rowOff>
                  </from>
                  <to>
                    <xdr:col>5</xdr:col>
                    <xdr:colOff>190500</xdr:colOff>
                    <xdr:row>36</xdr:row>
                    <xdr:rowOff>19050</xdr:rowOff>
                  </to>
                </anchor>
              </controlPr>
            </control>
          </mc:Choice>
        </mc:AlternateContent>
        <mc:AlternateContent xmlns:mc="http://schemas.openxmlformats.org/markup-compatibility/2006">
          <mc:Choice Requires="x14">
            <control shapeId="3232" r:id="rId26" name="Drop Down 160">
              <controlPr defaultSize="0" autoLine="0" autoPict="0">
                <anchor moveWithCells="1">
                  <from>
                    <xdr:col>5</xdr:col>
                    <xdr:colOff>342900</xdr:colOff>
                    <xdr:row>35</xdr:row>
                    <xdr:rowOff>0</xdr:rowOff>
                  </from>
                  <to>
                    <xdr:col>6</xdr:col>
                    <xdr:colOff>1003300</xdr:colOff>
                    <xdr:row>36</xdr:row>
                    <xdr:rowOff>19050</xdr:rowOff>
                  </to>
                </anchor>
              </controlPr>
            </control>
          </mc:Choice>
        </mc:AlternateContent>
        <mc:AlternateContent xmlns:mc="http://schemas.openxmlformats.org/markup-compatibility/2006">
          <mc:Choice Requires="x14">
            <control shapeId="3234" r:id="rId27" name="Drop Down 162">
              <controlPr defaultSize="0" autoLine="0" autoPict="0">
                <anchor moveWithCells="1">
                  <from>
                    <xdr:col>1</xdr:col>
                    <xdr:colOff>19050</xdr:colOff>
                    <xdr:row>37</xdr:row>
                    <xdr:rowOff>0</xdr:rowOff>
                  </from>
                  <to>
                    <xdr:col>6</xdr:col>
                    <xdr:colOff>990600</xdr:colOff>
                    <xdr:row>38</xdr:row>
                    <xdr:rowOff>19050</xdr:rowOff>
                  </to>
                </anchor>
              </controlPr>
            </control>
          </mc:Choice>
        </mc:AlternateContent>
        <mc:AlternateContent xmlns:mc="http://schemas.openxmlformats.org/markup-compatibility/2006">
          <mc:Choice Requires="x14">
            <control shapeId="3236" r:id="rId28" name="Drop Down 164">
              <controlPr defaultSize="0" autoLine="0" autoPict="0">
                <anchor moveWithCells="1">
                  <from>
                    <xdr:col>1</xdr:col>
                    <xdr:colOff>19050</xdr:colOff>
                    <xdr:row>20</xdr:row>
                    <xdr:rowOff>19050</xdr:rowOff>
                  </from>
                  <to>
                    <xdr:col>6</xdr:col>
                    <xdr:colOff>1003300</xdr:colOff>
                    <xdr:row>21</xdr:row>
                    <xdr:rowOff>12700</xdr:rowOff>
                  </to>
                </anchor>
              </controlPr>
            </control>
          </mc:Choice>
        </mc:AlternateContent>
        <mc:AlternateContent xmlns:mc="http://schemas.openxmlformats.org/markup-compatibility/2006">
          <mc:Choice Requires="x14">
            <control shapeId="3257" r:id="rId29" name="Drop Down 185">
              <controlPr defaultSize="0" autoLine="0" autoPict="0">
                <anchor moveWithCells="1">
                  <from>
                    <xdr:col>5</xdr:col>
                    <xdr:colOff>342900</xdr:colOff>
                    <xdr:row>41</xdr:row>
                    <xdr:rowOff>12700</xdr:rowOff>
                  </from>
                  <to>
                    <xdr:col>6</xdr:col>
                    <xdr:colOff>1022350</xdr:colOff>
                    <xdr:row>42</xdr:row>
                    <xdr:rowOff>76200</xdr:rowOff>
                  </to>
                </anchor>
              </controlPr>
            </control>
          </mc:Choice>
        </mc:AlternateContent>
        <mc:AlternateContent xmlns:mc="http://schemas.openxmlformats.org/markup-compatibility/2006">
          <mc:Choice Requires="x14">
            <control shapeId="3258" r:id="rId30" name="Drop Down 186">
              <controlPr defaultSize="0" autoLine="0" autoPict="0">
                <anchor moveWithCells="1">
                  <from>
                    <xdr:col>1</xdr:col>
                    <xdr:colOff>12700</xdr:colOff>
                    <xdr:row>65</xdr:row>
                    <xdr:rowOff>12700</xdr:rowOff>
                  </from>
                  <to>
                    <xdr:col>5</xdr:col>
                    <xdr:colOff>133350</xdr:colOff>
                    <xdr:row>66</xdr:row>
                    <xdr:rowOff>12700</xdr:rowOff>
                  </to>
                </anchor>
              </controlPr>
            </control>
          </mc:Choice>
        </mc:AlternateContent>
        <mc:AlternateContent xmlns:mc="http://schemas.openxmlformats.org/markup-compatibility/2006">
          <mc:Choice Requires="x14">
            <control shapeId="3259" r:id="rId31" name="Drop Down 187">
              <controlPr defaultSize="0" autoLine="0" autoPict="0">
                <anchor moveWithCells="1">
                  <from>
                    <xdr:col>5</xdr:col>
                    <xdr:colOff>298450</xdr:colOff>
                    <xdr:row>65</xdr:row>
                    <xdr:rowOff>12700</xdr:rowOff>
                  </from>
                  <to>
                    <xdr:col>6</xdr:col>
                    <xdr:colOff>984250</xdr:colOff>
                    <xdr:row>66</xdr:row>
                    <xdr:rowOff>12700</xdr:rowOff>
                  </to>
                </anchor>
              </controlPr>
            </control>
          </mc:Choice>
        </mc:AlternateContent>
        <mc:AlternateContent xmlns:mc="http://schemas.openxmlformats.org/markup-compatibility/2006">
          <mc:Choice Requires="x14">
            <control shapeId="3260" r:id="rId32" name="Drop Down 188">
              <controlPr defaultSize="0" autoLine="0" autoPict="0">
                <anchor moveWithCells="1">
                  <from>
                    <xdr:col>5</xdr:col>
                    <xdr:colOff>285750</xdr:colOff>
                    <xdr:row>62</xdr:row>
                    <xdr:rowOff>12700</xdr:rowOff>
                  </from>
                  <to>
                    <xdr:col>6</xdr:col>
                    <xdr:colOff>990600</xdr:colOff>
                    <xdr:row>63</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1"/>
  <dimension ref="A1:U221"/>
  <sheetViews>
    <sheetView showGridLines="0" zoomScale="70" zoomScaleNormal="70" zoomScaleSheetLayoutView="85" workbookViewId="0"/>
  </sheetViews>
  <sheetFormatPr baseColWidth="10" defaultColWidth="0" defaultRowHeight="15.5" zeroHeight="1" x14ac:dyDescent="0.3"/>
  <cols>
    <col min="1" max="4" width="9.25" style="1012" customWidth="1"/>
    <col min="5" max="6" width="7.5" style="1186" customWidth="1"/>
    <col min="7" max="9" width="7.5" style="1039" customWidth="1"/>
    <col min="10" max="10" width="7.5" style="1186" customWidth="1"/>
    <col min="11" max="12" width="7.5" style="1012" customWidth="1"/>
    <col min="13" max="15" width="7.5" style="1039" customWidth="1"/>
    <col min="16" max="16" width="7.5" style="1018" customWidth="1"/>
    <col min="17" max="20" width="14.5" style="1018" hidden="1" customWidth="1"/>
    <col min="21" max="21" width="8.203125E-2" style="1012" customWidth="1"/>
    <col min="22" max="16384" width="0" style="1012" hidden="1"/>
  </cols>
  <sheetData>
    <row r="1" spans="1:21" s="976" customFormat="1" ht="28.5" thickBot="1" x14ac:dyDescent="0.35">
      <c r="A1" s="971" t="s">
        <v>42</v>
      </c>
      <c r="B1" s="972"/>
      <c r="C1" s="972"/>
      <c r="D1" s="972"/>
      <c r="E1" s="973"/>
      <c r="F1" s="973"/>
      <c r="G1" s="974"/>
      <c r="H1" s="974"/>
      <c r="I1" s="974"/>
      <c r="J1" s="973"/>
      <c r="K1" s="543"/>
      <c r="L1" s="543"/>
      <c r="M1" s="544"/>
      <c r="N1" s="544">
        <f>'Allgemeines (01)'!F1</f>
        <v>0</v>
      </c>
      <c r="O1" s="544"/>
      <c r="P1" s="1208" t="str">
        <f>"5/" &amp;Rechnungen!D647</f>
        <v>5/11</v>
      </c>
      <c r="Q1" s="975"/>
      <c r="R1" s="975"/>
      <c r="S1" s="975"/>
      <c r="T1" s="975"/>
    </row>
    <row r="2" spans="1:21" s="983" customFormat="1" ht="16" x14ac:dyDescent="0.3">
      <c r="A2" s="977" t="s">
        <v>1239</v>
      </c>
      <c r="B2" s="978"/>
      <c r="C2" s="978"/>
      <c r="D2" s="978"/>
      <c r="E2" s="979" t="s">
        <v>1100</v>
      </c>
      <c r="F2" s="980"/>
      <c r="G2" s="1326">
        <f>Rechnungen!D14</f>
        <v>320</v>
      </c>
      <c r="H2" s="980"/>
      <c r="I2" s="980" t="s">
        <v>357</v>
      </c>
      <c r="J2" s="981"/>
      <c r="K2" s="954"/>
      <c r="L2" s="955"/>
      <c r="M2" s="956">
        <f>'Allgemeines (01)'!B4</f>
        <v>0</v>
      </c>
      <c r="N2" s="956"/>
      <c r="O2" s="956"/>
      <c r="P2" s="982"/>
      <c r="Q2" s="547"/>
      <c r="R2" s="547"/>
      <c r="S2" s="547"/>
      <c r="T2" s="547"/>
    </row>
    <row r="3" spans="1:21" s="983" customFormat="1" ht="14" x14ac:dyDescent="0.3">
      <c r="A3" s="984" t="s">
        <v>70</v>
      </c>
      <c r="B3" s="985"/>
      <c r="C3" s="985"/>
      <c r="D3" s="985"/>
      <c r="E3" s="986" t="s">
        <v>69</v>
      </c>
      <c r="F3" s="987"/>
      <c r="G3" s="1102">
        <f>IF(Rechnungen!$D$4=TRUE,"---",'Gebäude (02,03)'!F68)</f>
        <v>1000</v>
      </c>
      <c r="H3" s="987"/>
      <c r="I3" s="987" t="s">
        <v>357</v>
      </c>
      <c r="J3" s="988"/>
      <c r="K3" s="957"/>
      <c r="L3" s="958"/>
      <c r="M3" s="547">
        <f>'Allgemeines (01)'!B5</f>
        <v>0</v>
      </c>
      <c r="N3" s="547"/>
      <c r="O3" s="547"/>
      <c r="P3" s="989"/>
      <c r="Q3" s="547"/>
      <c r="R3" s="547"/>
      <c r="S3" s="547"/>
      <c r="T3" s="547"/>
    </row>
    <row r="4" spans="1:21" s="983" customFormat="1" ht="16" x14ac:dyDescent="0.3">
      <c r="A4" s="990" t="s">
        <v>1238</v>
      </c>
      <c r="B4" s="991"/>
      <c r="C4" s="991"/>
      <c r="D4" s="991"/>
      <c r="E4" s="992" t="s">
        <v>215</v>
      </c>
      <c r="F4" s="993"/>
      <c r="G4" s="1102">
        <f>Rechnungen!D12</f>
        <v>1000</v>
      </c>
      <c r="H4" s="987"/>
      <c r="I4" s="987" t="s">
        <v>67</v>
      </c>
      <c r="J4" s="994"/>
      <c r="K4" s="959"/>
      <c r="L4" s="960"/>
      <c r="M4" s="547">
        <f>'Allgemeines (01)'!B6</f>
        <v>0</v>
      </c>
      <c r="N4" s="547"/>
      <c r="O4" s="547"/>
      <c r="P4" s="989"/>
      <c r="Q4" s="547"/>
      <c r="R4" s="547"/>
      <c r="S4" s="547"/>
      <c r="T4" s="547"/>
    </row>
    <row r="5" spans="1:21" s="983" customFormat="1" ht="14" x14ac:dyDescent="0.3">
      <c r="A5" s="995" t="s">
        <v>1029</v>
      </c>
      <c r="B5" s="996"/>
      <c r="C5" s="996"/>
      <c r="D5" s="996"/>
      <c r="E5" s="997" t="s">
        <v>542</v>
      </c>
      <c r="F5" s="998"/>
      <c r="G5" s="1004">
        <f>IF(Rechnungen!$D$4=TRUE,"---",Rechnungen!B107)</f>
        <v>760</v>
      </c>
      <c r="H5" s="964"/>
      <c r="I5" s="964" t="s">
        <v>67</v>
      </c>
      <c r="J5" s="999"/>
      <c r="K5" s="959"/>
      <c r="L5" s="960"/>
      <c r="M5" s="547">
        <f>'Allgemeines (01)'!B7</f>
        <v>0</v>
      </c>
      <c r="N5" s="547"/>
      <c r="O5" s="547"/>
      <c r="P5" s="989"/>
      <c r="Q5" s="547"/>
      <c r="R5" s="547"/>
      <c r="S5" s="547"/>
      <c r="T5" s="547"/>
    </row>
    <row r="6" spans="1:21" s="983" customFormat="1" ht="16.5" x14ac:dyDescent="0.3">
      <c r="A6" s="1000" t="s">
        <v>68</v>
      </c>
      <c r="B6" s="1001"/>
      <c r="C6" s="1001"/>
      <c r="D6" s="1001"/>
      <c r="E6" s="1002" t="s">
        <v>1101</v>
      </c>
      <c r="F6" s="1003"/>
      <c r="G6" s="1327">
        <f>IF(Rechnungen!$D$4=TRUE,"---",G3/G4)</f>
        <v>1</v>
      </c>
      <c r="H6" s="1004"/>
      <c r="I6" s="1004" t="s">
        <v>1102</v>
      </c>
      <c r="J6" s="999"/>
      <c r="K6" s="959"/>
      <c r="L6" s="960"/>
      <c r="N6" s="547"/>
      <c r="O6" s="547"/>
      <c r="P6" s="989"/>
      <c r="Q6" s="547"/>
      <c r="R6" s="547"/>
      <c r="S6" s="547"/>
      <c r="T6" s="547"/>
    </row>
    <row r="7" spans="1:21" s="983" customFormat="1" ht="16.5" thickBot="1" x14ac:dyDescent="0.35">
      <c r="A7" s="1587" t="s">
        <v>1416</v>
      </c>
      <c r="B7" s="1588"/>
      <c r="C7" s="1588"/>
      <c r="D7" s="1588"/>
      <c r="E7" s="1589" t="s">
        <v>1417</v>
      </c>
      <c r="F7" s="1589"/>
      <c r="G7" s="1590">
        <f>IF(Rechnungen!$D$4=TRUE,"---",'Übersicht (11)'!F9)</f>
        <v>0.25</v>
      </c>
      <c r="H7" s="1589"/>
      <c r="I7" s="1589" t="s">
        <v>179</v>
      </c>
      <c r="J7" s="1591"/>
      <c r="K7" s="961" t="s">
        <v>312</v>
      </c>
      <c r="L7" s="962"/>
      <c r="M7" s="963" t="str">
        <f>'Allgemeines (01)'!E9</f>
        <v>FREE (V7.3)</v>
      </c>
      <c r="N7" s="963"/>
      <c r="O7" s="963"/>
      <c r="P7" s="1005"/>
      <c r="Q7" s="547"/>
      <c r="R7" s="547"/>
      <c r="S7" s="547"/>
      <c r="T7" s="547"/>
    </row>
    <row r="8" spans="1:21" s="1010" customFormat="1" ht="28.5" thickBot="1" x14ac:dyDescent="0.35">
      <c r="A8" s="971" t="s">
        <v>181</v>
      </c>
      <c r="B8" s="972"/>
      <c r="C8" s="972"/>
      <c r="D8" s="972"/>
      <c r="E8" s="1006"/>
      <c r="F8" s="1006"/>
      <c r="G8" s="970"/>
      <c r="H8" s="970"/>
      <c r="I8" s="970"/>
      <c r="J8" s="1006"/>
      <c r="K8" s="1007"/>
      <c r="L8" s="1007"/>
      <c r="M8" s="970"/>
      <c r="N8" s="970"/>
      <c r="O8" s="970"/>
      <c r="P8" s="1008" t="s">
        <v>705</v>
      </c>
      <c r="Q8" s="1009"/>
      <c r="R8" s="1009"/>
      <c r="S8" s="1009"/>
      <c r="T8" s="1009"/>
    </row>
    <row r="9" spans="1:21" x14ac:dyDescent="0.3">
      <c r="A9" s="1011"/>
      <c r="C9" s="1013" t="s">
        <v>1163</v>
      </c>
      <c r="D9" s="1013" t="s">
        <v>1162</v>
      </c>
      <c r="E9" s="1014" t="s">
        <v>972</v>
      </c>
      <c r="F9" s="1015" t="s">
        <v>973</v>
      </c>
      <c r="G9" s="1016" t="s">
        <v>974</v>
      </c>
      <c r="H9" s="1014" t="s">
        <v>975</v>
      </c>
      <c r="I9" s="1015" t="s">
        <v>960</v>
      </c>
      <c r="J9" s="1016" t="s">
        <v>976</v>
      </c>
      <c r="K9" s="1014" t="s">
        <v>977</v>
      </c>
      <c r="L9" s="1015" t="s">
        <v>978</v>
      </c>
      <c r="M9" s="1016" t="s">
        <v>979</v>
      </c>
      <c r="N9" s="1015" t="s">
        <v>980</v>
      </c>
      <c r="O9" s="1015" t="s">
        <v>981</v>
      </c>
      <c r="P9" s="1017" t="s">
        <v>982</v>
      </c>
    </row>
    <row r="10" spans="1:21" x14ac:dyDescent="0.3">
      <c r="A10" s="1347" t="s">
        <v>1184</v>
      </c>
      <c r="B10" s="1019"/>
      <c r="C10" s="1019"/>
      <c r="D10" s="1019"/>
      <c r="E10" s="1020"/>
      <c r="F10" s="1021"/>
      <c r="G10" s="1022"/>
      <c r="H10" s="1023"/>
      <c r="I10" s="1024"/>
      <c r="J10" s="1025"/>
      <c r="K10" s="1020"/>
      <c r="L10" s="1021"/>
      <c r="M10" s="1022"/>
      <c r="N10" s="1024"/>
      <c r="O10" s="1024"/>
      <c r="P10" s="1026"/>
    </row>
    <row r="11" spans="1:21" ht="16" x14ac:dyDescent="0.3">
      <c r="A11" s="1069" t="s">
        <v>1351</v>
      </c>
      <c r="C11" s="983" t="s">
        <v>83</v>
      </c>
      <c r="D11" s="1351" t="s">
        <v>930</v>
      </c>
      <c r="E11" s="1028">
        <f>Rechnungen!C101</f>
        <v>1</v>
      </c>
      <c r="F11" s="1029">
        <f>Rechnungen!D101</f>
        <v>1.9</v>
      </c>
      <c r="G11" s="1030">
        <f>Rechnungen!E101</f>
        <v>4.7</v>
      </c>
      <c r="H11" s="1028">
        <f>Rechnungen!F101</f>
        <v>9.1999999999999993</v>
      </c>
      <c r="I11" s="1029">
        <f>Rechnungen!G101</f>
        <v>14.1</v>
      </c>
      <c r="J11" s="1030">
        <f>Rechnungen!H101</f>
        <v>16.7</v>
      </c>
      <c r="K11" s="1028">
        <f>Rechnungen!I101</f>
        <v>19</v>
      </c>
      <c r="L11" s="1029">
        <f>Rechnungen!J101</f>
        <v>18.600000000000001</v>
      </c>
      <c r="M11" s="1030">
        <f>Rechnungen!K101</f>
        <v>14.3</v>
      </c>
      <c r="N11" s="1029">
        <f>Rechnungen!L101</f>
        <v>9.5</v>
      </c>
      <c r="O11" s="1029">
        <f>Rechnungen!M101</f>
        <v>4.0999999999999996</v>
      </c>
      <c r="P11" s="1031">
        <f>Rechnungen!N101</f>
        <v>0.9</v>
      </c>
    </row>
    <row r="12" spans="1:21" ht="20" x14ac:dyDescent="0.3">
      <c r="A12" s="816" t="s">
        <v>1352</v>
      </c>
      <c r="B12" s="1032" t="s">
        <v>1169</v>
      </c>
      <c r="C12" s="951" t="s">
        <v>83</v>
      </c>
      <c r="D12" s="1352" t="s">
        <v>930</v>
      </c>
      <c r="E12" s="1033">
        <f>Rechnungen!G225</f>
        <v>19</v>
      </c>
      <c r="F12" s="1029">
        <f t="shared" ref="F12:P12" si="0">E12</f>
        <v>19</v>
      </c>
      <c r="G12" s="1030">
        <f t="shared" si="0"/>
        <v>19</v>
      </c>
      <c r="H12" s="1028">
        <f t="shared" si="0"/>
        <v>19</v>
      </c>
      <c r="I12" s="1029">
        <f t="shared" si="0"/>
        <v>19</v>
      </c>
      <c r="J12" s="1030">
        <f t="shared" si="0"/>
        <v>19</v>
      </c>
      <c r="K12" s="1028">
        <f t="shared" si="0"/>
        <v>19</v>
      </c>
      <c r="L12" s="1029">
        <f t="shared" si="0"/>
        <v>19</v>
      </c>
      <c r="M12" s="1030">
        <f t="shared" si="0"/>
        <v>19</v>
      </c>
      <c r="N12" s="1029">
        <f t="shared" si="0"/>
        <v>19</v>
      </c>
      <c r="O12" s="1029">
        <f t="shared" si="0"/>
        <v>19</v>
      </c>
      <c r="P12" s="1031">
        <f t="shared" si="0"/>
        <v>19</v>
      </c>
    </row>
    <row r="13" spans="1:21" x14ac:dyDescent="0.3">
      <c r="A13" s="1347" t="s">
        <v>924</v>
      </c>
      <c r="B13" s="1019"/>
      <c r="C13" s="1353"/>
      <c r="D13" s="1353"/>
      <c r="E13" s="1020"/>
      <c r="F13" s="1021"/>
      <c r="G13" s="1022"/>
      <c r="H13" s="1023"/>
      <c r="I13" s="1024"/>
      <c r="J13" s="1025"/>
      <c r="K13" s="1020"/>
      <c r="L13" s="1021"/>
      <c r="M13" s="1022"/>
      <c r="N13" s="1024"/>
      <c r="O13" s="1024"/>
      <c r="P13" s="1026"/>
    </row>
    <row r="14" spans="1:21" s="1034" customFormat="1" ht="16" x14ac:dyDescent="0.3">
      <c r="A14" s="1348" t="s">
        <v>1103</v>
      </c>
      <c r="C14" s="1086" t="s">
        <v>71</v>
      </c>
      <c r="D14" s="1354">
        <f>Rechnungen!D53+Rechnungen!V142</f>
        <v>250</v>
      </c>
      <c r="E14" s="1035">
        <f>IF(Rechnungen!$D$4=TRUE,"---",D14)</f>
        <v>250</v>
      </c>
      <c r="F14" s="1036">
        <f>IF(Rechnungen!$D$4=TRUE,"---",E14)</f>
        <v>250</v>
      </c>
      <c r="G14" s="1037">
        <f>IF(Rechnungen!$D$4=TRUE,"---",F14)</f>
        <v>250</v>
      </c>
      <c r="H14" s="1035">
        <f>IF(Rechnungen!$D$4=TRUE,"---",G14)</f>
        <v>250</v>
      </c>
      <c r="I14" s="1036">
        <f>IF(Rechnungen!$D$4=TRUE,"---",H14)</f>
        <v>250</v>
      </c>
      <c r="J14" s="1037">
        <f>IF(Rechnungen!$D$4=TRUE,"---",I14)</f>
        <v>250</v>
      </c>
      <c r="K14" s="1035">
        <f>IF(Rechnungen!$D$4=TRUE,"---",J14)</f>
        <v>250</v>
      </c>
      <c r="L14" s="1036">
        <f>IF(Rechnungen!$D$4=TRUE,"---",K14)</f>
        <v>250</v>
      </c>
      <c r="M14" s="1037">
        <f>IF(Rechnungen!$D$4=TRUE,"---",L14)</f>
        <v>250</v>
      </c>
      <c r="N14" s="1036">
        <f>IF(Rechnungen!$D$4=TRUE,"---",M14)</f>
        <v>250</v>
      </c>
      <c r="O14" s="1036">
        <f>IF(Rechnungen!$D$4=TRUE,"---",N14)</f>
        <v>250</v>
      </c>
      <c r="P14" s="1038">
        <f>IF(Rechnungen!$D$4=TRUE,"---",O14)</f>
        <v>250</v>
      </c>
      <c r="Q14" s="1039"/>
      <c r="R14" s="1039"/>
      <c r="S14" s="1039"/>
      <c r="T14" s="1039"/>
      <c r="U14" s="1039"/>
    </row>
    <row r="15" spans="1:21" s="1034" customFormat="1" ht="20" x14ac:dyDescent="0.3">
      <c r="A15" s="1640" t="s">
        <v>1104</v>
      </c>
      <c r="B15" s="1032" t="s">
        <v>1169</v>
      </c>
      <c r="C15" s="1355" t="s">
        <v>1164</v>
      </c>
      <c r="D15" s="1356">
        <f>IF(Rechnungen!$D$4=TRUE,"---",SUM(E15:P15))</f>
        <v>20706</v>
      </c>
      <c r="E15" s="1040">
        <f>IF(Rechnungen!$D$4=TRUE,"---",Rechnungen!D252)</f>
        <v>3348</v>
      </c>
      <c r="F15" s="1041">
        <f>IF(Rechnungen!$D$4=TRUE,"---",Rechnungen!E252)</f>
        <v>2872.8</v>
      </c>
      <c r="G15" s="1042">
        <f>IF(Rechnungen!$D$4=TRUE,"---",Rechnungen!F252)</f>
        <v>2659.8</v>
      </c>
      <c r="H15" s="1040">
        <f>IF(Rechnungen!$D$4=TRUE,"---",Rechnungen!G252)</f>
        <v>1764</v>
      </c>
      <c r="I15" s="1041">
        <f>IF(Rechnungen!$D$4=TRUE,"---",Rechnungen!H252)</f>
        <v>911.4</v>
      </c>
      <c r="J15" s="1042">
        <f>IF(Rechnungen!$D$4=TRUE,"---",Rechnungen!I252)</f>
        <v>414.00000000000017</v>
      </c>
      <c r="K15" s="1040">
        <f>IF(Rechnungen!$D$4=TRUE,"---",Rechnungen!J252)</f>
        <v>0</v>
      </c>
      <c r="L15" s="1041">
        <f>IF(Rechnungen!$D$4=TRUE,"---",Rechnungen!K252)</f>
        <v>74.399999999999736</v>
      </c>
      <c r="M15" s="1042">
        <f>IF(Rechnungen!$D$4=TRUE,"---",Rechnungen!L252)</f>
        <v>845.99999999999989</v>
      </c>
      <c r="N15" s="1041">
        <f>IF(Rechnungen!$D$4=TRUE,"---",Rechnungen!M252)</f>
        <v>1767</v>
      </c>
      <c r="O15" s="1041">
        <f>IF(Rechnungen!$D$4=TRUE,"---",Rechnungen!N252)</f>
        <v>2682</v>
      </c>
      <c r="P15" s="1043">
        <f>IF(Rechnungen!$D$4=TRUE,"---",Rechnungen!O252)</f>
        <v>3366.6</v>
      </c>
      <c r="Q15" s="1039"/>
      <c r="R15" s="1039"/>
      <c r="S15" s="1039"/>
      <c r="T15" s="1039"/>
      <c r="U15" s="1039"/>
    </row>
    <row r="16" spans="1:21" s="1034" customFormat="1" ht="20" x14ac:dyDescent="0.3">
      <c r="A16" s="1641"/>
      <c r="B16" s="949" t="s">
        <v>1170</v>
      </c>
      <c r="C16" s="1086" t="s">
        <v>1164</v>
      </c>
      <c r="D16" s="1357">
        <f>IF(Rechnungen!$D$4=TRUE,"---",SUM(E16:P16))</f>
        <v>19246.536909397037</v>
      </c>
      <c r="E16" s="1044">
        <f>IF(Rechnungen!$D$4=TRUE,"---",Rechnungen!D253)</f>
        <v>3098.8309806751558</v>
      </c>
      <c r="F16" s="1045">
        <f>IF(Rechnungen!$D$4=TRUE,"---",Rechnungen!E253)</f>
        <v>2663.0120296021805</v>
      </c>
      <c r="G16" s="1046">
        <f>IF(Rechnungen!$D$4=TRUE,"---",Rechnungen!F253)</f>
        <v>2475.4787026051767</v>
      </c>
      <c r="H16" s="1044">
        <f>IF(Rechnungen!$D$4=TRUE,"---",Rechnungen!G253)</f>
        <v>1648.433608986905</v>
      </c>
      <c r="I16" s="1045">
        <f>IF(Rechnungen!$D$4=TRUE,"---",Rechnungen!H253)</f>
        <v>852.07018364711359</v>
      </c>
      <c r="J16" s="1046">
        <f>IF(Rechnungen!$D$4=TRUE,"---",Rechnungen!I253)</f>
        <v>387.04965550790598</v>
      </c>
      <c r="K16" s="1044">
        <f>IF(Rechnungen!$D$4=TRUE,"---",Rechnungen!J253)</f>
        <v>0</v>
      </c>
      <c r="L16" s="1045">
        <f>IF(Rechnungen!$D$4=TRUE,"---",Rechnungen!K253)</f>
        <v>69.556749685477982</v>
      </c>
      <c r="M16" s="1046">
        <f>IF(Rechnungen!$D$4=TRUE,"---",Rechnungen!L253)</f>
        <v>790.92755690745878</v>
      </c>
      <c r="N16" s="1045">
        <f>IF(Rechnungen!$D$4=TRUE,"---",Rechnungen!M253)</f>
        <v>1651.4614611903282</v>
      </c>
      <c r="O16" s="1045">
        <f>IF(Rechnungen!$D$4=TRUE,"---",Rechnungen!N253)</f>
        <v>2494.2124673141766</v>
      </c>
      <c r="P16" s="1047">
        <f>IF(Rechnungen!$D$4=TRUE,"---",Rechnungen!O253)</f>
        <v>3115.5035132751573</v>
      </c>
      <c r="Q16" s="1039"/>
      <c r="R16" s="1039"/>
      <c r="S16" s="1039"/>
      <c r="T16" s="1039"/>
      <c r="U16" s="1039"/>
    </row>
    <row r="17" spans="1:21" x14ac:dyDescent="0.3">
      <c r="A17" s="1347" t="s">
        <v>519</v>
      </c>
      <c r="B17" s="1019"/>
      <c r="C17" s="1353"/>
      <c r="D17" s="1353"/>
      <c r="E17" s="1020"/>
      <c r="F17" s="1021"/>
      <c r="G17" s="1022"/>
      <c r="H17" s="1023"/>
      <c r="I17" s="1024"/>
      <c r="J17" s="1025"/>
      <c r="K17" s="1020"/>
      <c r="L17" s="1021"/>
      <c r="M17" s="1022"/>
      <c r="N17" s="1024"/>
      <c r="O17" s="1024"/>
      <c r="P17" s="1026"/>
    </row>
    <row r="18" spans="1:21" ht="16" x14ac:dyDescent="0.3">
      <c r="A18" s="1349" t="s">
        <v>1105</v>
      </c>
      <c r="B18" s="1048"/>
      <c r="C18" s="1086" t="s">
        <v>71</v>
      </c>
      <c r="D18" s="1358">
        <f>Rechnungen!E107</f>
        <v>142.12000000000003</v>
      </c>
      <c r="E18" s="1035">
        <f>IF(Rechnungen!$D$4=TRUE,"---",D18)</f>
        <v>142.12000000000003</v>
      </c>
      <c r="F18" s="1036">
        <f>IF(Rechnungen!$D$4=TRUE,"---",E18)</f>
        <v>142.12000000000003</v>
      </c>
      <c r="G18" s="1037">
        <f>IF(Rechnungen!$D$4=TRUE,"---",F18)</f>
        <v>142.12000000000003</v>
      </c>
      <c r="H18" s="1035">
        <f>IF(Rechnungen!$D$4=TRUE,"---",G18)</f>
        <v>142.12000000000003</v>
      </c>
      <c r="I18" s="1036">
        <f>IF(Rechnungen!$D$4=TRUE,"---",H18)</f>
        <v>142.12000000000003</v>
      </c>
      <c r="J18" s="1037">
        <f>IF(Rechnungen!$D$4=TRUE,"---",I18)</f>
        <v>142.12000000000003</v>
      </c>
      <c r="K18" s="1035">
        <f>IF(Rechnungen!$D$4=TRUE,"---",J18)</f>
        <v>142.12000000000003</v>
      </c>
      <c r="L18" s="1036">
        <f>IF(Rechnungen!$D$4=TRUE,"---",K18)</f>
        <v>142.12000000000003</v>
      </c>
      <c r="M18" s="1037">
        <f>IF(Rechnungen!$D$4=TRUE,"---",L18)</f>
        <v>142.12000000000003</v>
      </c>
      <c r="N18" s="1036">
        <f>IF(Rechnungen!$D$4=TRUE,"---",M18)</f>
        <v>142.12000000000003</v>
      </c>
      <c r="O18" s="1036">
        <f>IF(Rechnungen!$D$4=TRUE,"---",N18)</f>
        <v>142.12000000000003</v>
      </c>
      <c r="P18" s="1038">
        <f>IF(Rechnungen!$D$4=TRUE,"---",O18)</f>
        <v>142.12000000000003</v>
      </c>
      <c r="Q18" s="1048"/>
      <c r="R18" s="1048"/>
      <c r="S18" s="1048"/>
      <c r="T18" s="1048"/>
      <c r="U18" s="1048"/>
    </row>
    <row r="19" spans="1:21" ht="16" x14ac:dyDescent="0.3">
      <c r="A19" s="1349" t="s">
        <v>1106</v>
      </c>
      <c r="B19" s="1048"/>
      <c r="C19" s="1086" t="s">
        <v>1164</v>
      </c>
      <c r="D19" s="1357">
        <f>IF(Rechnungen!$D$4=TRUE,"---",SUM(E19:P19))</f>
        <v>11770.946880000005</v>
      </c>
      <c r="E19" s="1044">
        <f>IF(Rechnungen!$D$4=TRUE,"---",Rechnungen!D254)</f>
        <v>1903.2710400000005</v>
      </c>
      <c r="F19" s="1045">
        <f>IF(Rechnungen!$D$4=TRUE,"---",Rechnungen!E254)</f>
        <v>1633.1293440000006</v>
      </c>
      <c r="G19" s="1046">
        <f>IF(Rechnungen!$D$4=TRUE,"---",Rechnungen!F254)</f>
        <v>1512.0431040000005</v>
      </c>
      <c r="H19" s="1044">
        <f>IF(Rechnungen!$D$4=TRUE,"---",Rechnungen!G254)</f>
        <v>1002.7987200000003</v>
      </c>
      <c r="I19" s="1045">
        <f>IF(Rechnungen!$D$4=TRUE,"---",Rechnungen!H254)</f>
        <v>518.1126720000002</v>
      </c>
      <c r="J19" s="1046">
        <f>IF(Rechnungen!$D$4=TRUE,"---",Rechnungen!I254)</f>
        <v>235.35072000000014</v>
      </c>
      <c r="K19" s="1044">
        <f>IF(Rechnungen!$D$4=TRUE,"---",Rechnungen!J254)</f>
        <v>0</v>
      </c>
      <c r="L19" s="1045">
        <f>IF(Rechnungen!$D$4=TRUE,"---",Rechnungen!K254)</f>
        <v>42.294911999999862</v>
      </c>
      <c r="M19" s="1046">
        <f>IF(Rechnungen!$D$4=TRUE,"---",Rechnungen!L254)</f>
        <v>480.93408000000005</v>
      </c>
      <c r="N19" s="1045">
        <f>IF(Rechnungen!$D$4=TRUE,"---",Rechnungen!M254)</f>
        <v>1004.5041600000003</v>
      </c>
      <c r="O19" s="1045">
        <f>IF(Rechnungen!$D$4=TRUE,"---",Rechnungen!N254)</f>
        <v>1524.6633600000005</v>
      </c>
      <c r="P19" s="1047">
        <f>IF(Rechnungen!$D$4=TRUE,"---",Rechnungen!O254)</f>
        <v>1913.8447680000006</v>
      </c>
      <c r="Q19" s="1048"/>
      <c r="R19" s="1048"/>
      <c r="S19" s="1048"/>
      <c r="T19" s="1048"/>
      <c r="U19" s="1048"/>
    </row>
    <row r="20" spans="1:21" x14ac:dyDescent="0.3">
      <c r="A20" s="1347" t="s">
        <v>1185</v>
      </c>
      <c r="B20" s="1019"/>
      <c r="C20" s="1353"/>
      <c r="D20" s="1353"/>
      <c r="E20" s="1020"/>
      <c r="F20" s="1021"/>
      <c r="G20" s="1022"/>
      <c r="H20" s="1023"/>
      <c r="I20" s="1024"/>
      <c r="J20" s="1025"/>
      <c r="K20" s="1020"/>
      <c r="L20" s="1021"/>
      <c r="M20" s="1022"/>
      <c r="N20" s="1024"/>
      <c r="O20" s="1024"/>
      <c r="P20" s="1026"/>
    </row>
    <row r="21" spans="1:21" ht="16.5" x14ac:dyDescent="0.3">
      <c r="A21" s="1069" t="s">
        <v>1353</v>
      </c>
      <c r="C21" s="983" t="s">
        <v>558</v>
      </c>
      <c r="D21" s="547"/>
      <c r="E21" s="1044">
        <f>IF(Rechnungen!$D$4=TRUE,"---",Rechnungen!E222)</f>
        <v>1600</v>
      </c>
      <c r="F21" s="1045">
        <f>IF(Rechnungen!$D$4=TRUE,"---",Rechnungen!F222)</f>
        <v>1600</v>
      </c>
      <c r="G21" s="1046">
        <f>IF(Rechnungen!$D$4=TRUE,"---",Rechnungen!G222)</f>
        <v>1600</v>
      </c>
      <c r="H21" s="1044">
        <f>IF(Rechnungen!$D$4=TRUE,"---",Rechnungen!H222)</f>
        <v>1600</v>
      </c>
      <c r="I21" s="1045">
        <f>IF(Rechnungen!$D$4=TRUE,"---",Rechnungen!I222)</f>
        <v>1600</v>
      </c>
      <c r="J21" s="1046">
        <f>IF(Rechnungen!$D$4=TRUE,"---",Rechnungen!J222)</f>
        <v>1600</v>
      </c>
      <c r="K21" s="1044">
        <f>IF(Rechnungen!$D$4=TRUE,"---",Rechnungen!K222)</f>
        <v>1600</v>
      </c>
      <c r="L21" s="1045">
        <f>IF(Rechnungen!$D$4=TRUE,"---",Rechnungen!L222)</f>
        <v>1600</v>
      </c>
      <c r="M21" s="1046">
        <f>IF(Rechnungen!$D$4=TRUE,"---",Rechnungen!M222)</f>
        <v>1600</v>
      </c>
      <c r="N21" s="1045">
        <f>IF(Rechnungen!$D$4=TRUE,"---",Rechnungen!N222)</f>
        <v>1600</v>
      </c>
      <c r="O21" s="1045">
        <f>IF(Rechnungen!$D$4=TRUE,"---",Rechnungen!O222)</f>
        <v>1600</v>
      </c>
      <c r="P21" s="1047">
        <f>IF(Rechnungen!$D$4=TRUE,"---",Rechnungen!P222)</f>
        <v>1600</v>
      </c>
      <c r="Q21" s="1012"/>
      <c r="R21" s="1012"/>
      <c r="S21" s="1012"/>
      <c r="T21" s="1012"/>
    </row>
    <row r="22" spans="1:21" ht="16" x14ac:dyDescent="0.3">
      <c r="A22" s="1069" t="s">
        <v>1107</v>
      </c>
      <c r="C22" s="983" t="s">
        <v>1164</v>
      </c>
      <c r="D22" s="1357">
        <f>IF(Rechnungen!$D$4=TRUE,"---",SUM(E22:P22))</f>
        <v>14015.999999999998</v>
      </c>
      <c r="E22" s="1044">
        <f>IF(Rechnungen!$D$4=TRUE,"---",Rechnungen!E223)</f>
        <v>1190.3999999999999</v>
      </c>
      <c r="F22" s="1045">
        <f>IF(Rechnungen!$D$4=TRUE,"---",Rechnungen!F223)</f>
        <v>1075.2</v>
      </c>
      <c r="G22" s="1046">
        <f>IF(Rechnungen!$D$4=TRUE,"---",Rechnungen!G223)</f>
        <v>1190.3999999999999</v>
      </c>
      <c r="H22" s="1044">
        <f>IF(Rechnungen!$D$4=TRUE,"---",Rechnungen!H223)</f>
        <v>1152</v>
      </c>
      <c r="I22" s="1045">
        <f>IF(Rechnungen!$D$4=TRUE,"---",Rechnungen!I223)</f>
        <v>1190.3999999999999</v>
      </c>
      <c r="J22" s="1046">
        <f>IF(Rechnungen!$D$4=TRUE,"---",Rechnungen!J223)</f>
        <v>1152</v>
      </c>
      <c r="K22" s="1044">
        <f>IF(Rechnungen!$D$4=TRUE,"---",Rechnungen!K223)</f>
        <v>1190.3999999999999</v>
      </c>
      <c r="L22" s="1045">
        <f>IF(Rechnungen!$D$4=TRUE,"---",Rechnungen!L223)</f>
        <v>1190.3999999999999</v>
      </c>
      <c r="M22" s="1046">
        <f>IF(Rechnungen!$D$4=TRUE,"---",Rechnungen!M223)</f>
        <v>1152</v>
      </c>
      <c r="N22" s="1045">
        <f>IF(Rechnungen!$D$4=TRUE,"---",Rechnungen!N223)</f>
        <v>1190.3999999999999</v>
      </c>
      <c r="O22" s="1045">
        <f>IF(Rechnungen!$D$4=TRUE,"---",Rechnungen!O223)</f>
        <v>1152</v>
      </c>
      <c r="P22" s="1047">
        <f>IF(Rechnungen!$D$4=TRUE,"---",Rechnungen!P223)</f>
        <v>1190.3999999999999</v>
      </c>
      <c r="Q22" s="1012"/>
      <c r="R22" s="1012"/>
      <c r="S22" s="1012"/>
      <c r="T22" s="1012"/>
    </row>
    <row r="23" spans="1:21" x14ac:dyDescent="0.3">
      <c r="A23" s="1347" t="s">
        <v>1186</v>
      </c>
      <c r="B23" s="1019"/>
      <c r="C23" s="1353"/>
      <c r="D23" s="1353"/>
      <c r="E23" s="1020"/>
      <c r="F23" s="1021"/>
      <c r="G23" s="1022"/>
      <c r="H23" s="1023"/>
      <c r="I23" s="1024"/>
      <c r="J23" s="1025"/>
      <c r="K23" s="1020"/>
      <c r="L23" s="1021"/>
      <c r="M23" s="1022"/>
      <c r="N23" s="1024"/>
      <c r="O23" s="1024"/>
      <c r="P23" s="1026"/>
    </row>
    <row r="24" spans="1:21" ht="16.5" x14ac:dyDescent="0.3">
      <c r="A24" s="1069" t="s">
        <v>1354</v>
      </c>
      <c r="B24" s="1642" t="s">
        <v>1188</v>
      </c>
      <c r="C24" s="983" t="s">
        <v>558</v>
      </c>
      <c r="D24" s="1359"/>
      <c r="E24" s="1044">
        <f>IF(Rechnungen!$D$4=TRUE,"---",Rechnungen!E181)</f>
        <v>0</v>
      </c>
      <c r="F24" s="1045">
        <f>IF(Rechnungen!$D$4=TRUE,"---",Rechnungen!F181)</f>
        <v>0</v>
      </c>
      <c r="G24" s="1046">
        <f>IF(Rechnungen!$D$4=TRUE,"---",Rechnungen!G181)</f>
        <v>0</v>
      </c>
      <c r="H24" s="1044">
        <f>IF(Rechnungen!$D$4=TRUE,"---",Rechnungen!H181)</f>
        <v>0</v>
      </c>
      <c r="I24" s="1045">
        <f>IF(Rechnungen!$D$4=TRUE,"---",Rechnungen!I181)</f>
        <v>0</v>
      </c>
      <c r="J24" s="1046">
        <f>IF(Rechnungen!$D$4=TRUE,"---",Rechnungen!J181)</f>
        <v>0</v>
      </c>
      <c r="K24" s="1044">
        <f>IF(Rechnungen!$D$4=TRUE,"---",Rechnungen!K181)</f>
        <v>0</v>
      </c>
      <c r="L24" s="1045">
        <f>IF(Rechnungen!$D$4=TRUE,"---",Rechnungen!L181)</f>
        <v>0</v>
      </c>
      <c r="M24" s="1046">
        <f>IF(Rechnungen!$D$4=TRUE,"---",Rechnungen!M181)</f>
        <v>0</v>
      </c>
      <c r="N24" s="1045">
        <f>IF(Rechnungen!$D$4=TRUE,"---",Rechnungen!N181)</f>
        <v>0</v>
      </c>
      <c r="O24" s="1045">
        <f>IF(Rechnungen!$D$4=TRUE,"---",Rechnungen!O181)</f>
        <v>0</v>
      </c>
      <c r="P24" s="1047">
        <f>IF(Rechnungen!$D$4=TRUE,"---",Rechnungen!P181)</f>
        <v>0</v>
      </c>
      <c r="Q24" s="1012"/>
      <c r="R24" s="1012"/>
      <c r="S24" s="1012"/>
      <c r="T24" s="1012"/>
    </row>
    <row r="25" spans="1:21" ht="16" x14ac:dyDescent="0.3">
      <c r="A25" s="1069" t="s">
        <v>1355</v>
      </c>
      <c r="B25" s="1643"/>
      <c r="C25" s="983" t="s">
        <v>1164</v>
      </c>
      <c r="D25" s="1357">
        <f>IF(Rechnungen!$D$4=TRUE,"---",SUM(E25:P25))</f>
        <v>0</v>
      </c>
      <c r="E25" s="1044">
        <f>IF(Rechnungen!$D$4=TRUE,"---",Rechnungen!E182)</f>
        <v>0</v>
      </c>
      <c r="F25" s="1045">
        <f>IF(Rechnungen!$D$4=TRUE,"---",Rechnungen!F182)</f>
        <v>0</v>
      </c>
      <c r="G25" s="1046">
        <f>IF(Rechnungen!$D$4=TRUE,"---",Rechnungen!G182)</f>
        <v>0</v>
      </c>
      <c r="H25" s="1044">
        <f>IF(Rechnungen!$D$4=TRUE,"---",Rechnungen!H182)</f>
        <v>0</v>
      </c>
      <c r="I25" s="1045">
        <f>IF(Rechnungen!$D$4=TRUE,"---",Rechnungen!I182)</f>
        <v>0</v>
      </c>
      <c r="J25" s="1046">
        <f>IF(Rechnungen!$D$4=TRUE,"---",Rechnungen!J182)</f>
        <v>0</v>
      </c>
      <c r="K25" s="1044">
        <f>IF(Rechnungen!$D$4=TRUE,"---",Rechnungen!K182)</f>
        <v>0</v>
      </c>
      <c r="L25" s="1045">
        <f>IF(Rechnungen!$D$4=TRUE,"---",Rechnungen!L182)</f>
        <v>0</v>
      </c>
      <c r="M25" s="1046">
        <f>IF(Rechnungen!$D$4=TRUE,"---",Rechnungen!M182)</f>
        <v>0</v>
      </c>
      <c r="N25" s="1045">
        <f>IF(Rechnungen!$D$4=TRUE,"---",Rechnungen!N182)</f>
        <v>0</v>
      </c>
      <c r="O25" s="1045">
        <f>IF(Rechnungen!$D$4=TRUE,"---",Rechnungen!O182)</f>
        <v>0</v>
      </c>
      <c r="P25" s="1047">
        <f>IF(Rechnungen!$D$4=TRUE,"---",Rechnungen!P182)</f>
        <v>0</v>
      </c>
      <c r="Q25" s="1012"/>
      <c r="R25" s="1012"/>
      <c r="S25" s="1012"/>
      <c r="T25" s="1012"/>
    </row>
    <row r="26" spans="1:21" ht="16.5" x14ac:dyDescent="0.3">
      <c r="A26" s="1069" t="s">
        <v>1356</v>
      </c>
      <c r="B26" s="1643" t="s">
        <v>1189</v>
      </c>
      <c r="C26" s="983" t="s">
        <v>558</v>
      </c>
      <c r="D26" s="1359"/>
      <c r="E26" s="1044">
        <f>IF(Rechnungen!$D$4=TRUE,"---",Rechnungen!E217)</f>
        <v>0</v>
      </c>
      <c r="F26" s="1045">
        <f>IF(Rechnungen!$D$4=TRUE,"---",Rechnungen!F217)</f>
        <v>0</v>
      </c>
      <c r="G26" s="1046">
        <f>IF(Rechnungen!$D$4=TRUE,"---",Rechnungen!G217)</f>
        <v>0</v>
      </c>
      <c r="H26" s="1044">
        <f>IF(Rechnungen!$D$4=TRUE,"---",Rechnungen!H217)</f>
        <v>0</v>
      </c>
      <c r="I26" s="1045">
        <f>IF(Rechnungen!$D$4=TRUE,"---",Rechnungen!I217)</f>
        <v>0</v>
      </c>
      <c r="J26" s="1046">
        <f>IF(Rechnungen!$D$4=TRUE,"---",Rechnungen!J217)</f>
        <v>0</v>
      </c>
      <c r="K26" s="1044">
        <f>IF(Rechnungen!$D$4=TRUE,"---",Rechnungen!K217)</f>
        <v>0</v>
      </c>
      <c r="L26" s="1045">
        <f>IF(Rechnungen!$D$4=TRUE,"---",Rechnungen!L217)</f>
        <v>0</v>
      </c>
      <c r="M26" s="1046">
        <f>IF(Rechnungen!$D$4=TRUE,"---",Rechnungen!M217)</f>
        <v>0</v>
      </c>
      <c r="N26" s="1045">
        <f>IF(Rechnungen!$D$4=TRUE,"---",Rechnungen!N217)</f>
        <v>0</v>
      </c>
      <c r="O26" s="1045">
        <f>IF(Rechnungen!$D$4=TRUE,"---",Rechnungen!O217)</f>
        <v>0</v>
      </c>
      <c r="P26" s="1047">
        <f>IF(Rechnungen!$D$4=TRUE,"---",Rechnungen!P217)</f>
        <v>0</v>
      </c>
      <c r="Q26" s="1012"/>
      <c r="R26" s="1012"/>
      <c r="S26" s="1012"/>
      <c r="T26" s="1012"/>
    </row>
    <row r="27" spans="1:21" ht="16" x14ac:dyDescent="0.3">
      <c r="A27" s="1069" t="s">
        <v>1357</v>
      </c>
      <c r="B27" s="1643" t="s">
        <v>1189</v>
      </c>
      <c r="C27" s="983" t="s">
        <v>1164</v>
      </c>
      <c r="D27" s="1357">
        <f>IF(Rechnungen!$D$4=TRUE,"---",SUM(E27:P27))</f>
        <v>0</v>
      </c>
      <c r="E27" s="1044">
        <f>IF(Rechnungen!$D$4=TRUE,"---",Rechnungen!E218)</f>
        <v>0</v>
      </c>
      <c r="F27" s="1045">
        <f>IF(Rechnungen!$D$4=TRUE,"---",Rechnungen!F218)</f>
        <v>0</v>
      </c>
      <c r="G27" s="1046">
        <f>IF(Rechnungen!$D$4=TRUE,"---",Rechnungen!G218)</f>
        <v>0</v>
      </c>
      <c r="H27" s="1044">
        <f>IF(Rechnungen!$D$4=TRUE,"---",Rechnungen!H218)</f>
        <v>0</v>
      </c>
      <c r="I27" s="1045">
        <f>IF(Rechnungen!$D$4=TRUE,"---",Rechnungen!I218)</f>
        <v>0</v>
      </c>
      <c r="J27" s="1046">
        <f>IF(Rechnungen!$D$4=TRUE,"---",Rechnungen!J218)</f>
        <v>0</v>
      </c>
      <c r="K27" s="1044">
        <f>IF(Rechnungen!$D$4=TRUE,"---",Rechnungen!K218)</f>
        <v>0</v>
      </c>
      <c r="L27" s="1045">
        <f>IF(Rechnungen!$D$4=TRUE,"---",Rechnungen!L218)</f>
        <v>0</v>
      </c>
      <c r="M27" s="1046">
        <f>IF(Rechnungen!$D$4=TRUE,"---",Rechnungen!M218)</f>
        <v>0</v>
      </c>
      <c r="N27" s="1045">
        <f>IF(Rechnungen!$D$4=TRUE,"---",Rechnungen!N218)</f>
        <v>0</v>
      </c>
      <c r="O27" s="1045">
        <f>IF(Rechnungen!$D$4=TRUE,"---",Rechnungen!O218)</f>
        <v>0</v>
      </c>
      <c r="P27" s="1047">
        <f>IF(Rechnungen!$D$4=TRUE,"---",Rechnungen!P218)</f>
        <v>0</v>
      </c>
      <c r="Q27" s="1012"/>
      <c r="R27" s="1012"/>
      <c r="S27" s="1012"/>
      <c r="T27" s="1012"/>
    </row>
    <row r="28" spans="1:21" ht="16" x14ac:dyDescent="0.3">
      <c r="A28" s="1069" t="s">
        <v>1358</v>
      </c>
      <c r="B28" s="949" t="s">
        <v>615</v>
      </c>
      <c r="C28" s="983" t="s">
        <v>1164</v>
      </c>
      <c r="D28" s="1357">
        <f>IF(Rechnungen!$D$4=TRUE,"---",D25+D27)</f>
        <v>0</v>
      </c>
      <c r="E28" s="1044">
        <f>IF(Rechnungen!$D$4=TRUE,"---",E25+E27)</f>
        <v>0</v>
      </c>
      <c r="F28" s="1045">
        <f>IF(Rechnungen!$D$4=TRUE,"---",F25+F27)</f>
        <v>0</v>
      </c>
      <c r="G28" s="1046">
        <f>IF(Rechnungen!$D$4=TRUE,"---",G25+G27)</f>
        <v>0</v>
      </c>
      <c r="H28" s="1044">
        <f>IF(Rechnungen!$D$4=TRUE,"---",H25+H27)</f>
        <v>0</v>
      </c>
      <c r="I28" s="1045">
        <f>IF(Rechnungen!$D$4=TRUE,"---",I25+I27)</f>
        <v>0</v>
      </c>
      <c r="J28" s="1046">
        <f>IF(Rechnungen!$D$4=TRUE,"---",J25+J27)</f>
        <v>0</v>
      </c>
      <c r="K28" s="1044">
        <f>IF(Rechnungen!$D$4=TRUE,"---",K25+K27)</f>
        <v>0</v>
      </c>
      <c r="L28" s="1045">
        <f>IF(Rechnungen!$D$4=TRUE,"---",L25+L27)</f>
        <v>0</v>
      </c>
      <c r="M28" s="1046">
        <f>IF(Rechnungen!$D$4=TRUE,"---",M25+M27)</f>
        <v>0</v>
      </c>
      <c r="N28" s="1045">
        <f>IF(Rechnungen!$D$4=TRUE,"---",N25+N27)</f>
        <v>0</v>
      </c>
      <c r="O28" s="1045">
        <f>IF(Rechnungen!$D$4=TRUE,"---",O25+O27)</f>
        <v>0</v>
      </c>
      <c r="P28" s="1047">
        <f>IF(Rechnungen!$D$4=TRUE,"---",P25+P27)</f>
        <v>0</v>
      </c>
    </row>
    <row r="29" spans="1:21" x14ac:dyDescent="0.3">
      <c r="A29" s="1347" t="s">
        <v>1176</v>
      </c>
      <c r="B29" s="1019"/>
      <c r="C29" s="1353"/>
      <c r="D29" s="1353"/>
      <c r="E29" s="1020"/>
      <c r="F29" s="1021"/>
      <c r="G29" s="1022"/>
      <c r="H29" s="1023"/>
      <c r="I29" s="1024"/>
      <c r="J29" s="1025"/>
      <c r="K29" s="1020"/>
      <c r="L29" s="1021"/>
      <c r="M29" s="1022"/>
      <c r="N29" s="1024"/>
      <c r="O29" s="1024"/>
      <c r="P29" s="1026"/>
    </row>
    <row r="30" spans="1:21" ht="16" x14ac:dyDescent="0.3">
      <c r="A30" s="1069" t="s">
        <v>1359</v>
      </c>
      <c r="C30" s="983" t="s">
        <v>1164</v>
      </c>
      <c r="D30" s="1357">
        <f>IF(Rechnungen!$D$4=TRUE,"---",SUM(E30:P30))</f>
        <v>31017.48378939704</v>
      </c>
      <c r="E30" s="1044">
        <f>IF(Rechnungen!$D$4=TRUE,"---",Rechnungen!D255)</f>
        <v>5002.1020206751564</v>
      </c>
      <c r="F30" s="1045">
        <f>IF(Rechnungen!$D$4=TRUE,"---",Rechnungen!E255)</f>
        <v>4296.1413736021814</v>
      </c>
      <c r="G30" s="1046">
        <f>IF(Rechnungen!$D$4=TRUE,"---",Rechnungen!F255)</f>
        <v>3987.5218066051775</v>
      </c>
      <c r="H30" s="1044">
        <f>IF(Rechnungen!$D$4=TRUE,"---",Rechnungen!G255)</f>
        <v>2651.2323289869055</v>
      </c>
      <c r="I30" s="1045">
        <f>IF(Rechnungen!$D$4=TRUE,"---",Rechnungen!H255)</f>
        <v>1370.1828556471137</v>
      </c>
      <c r="J30" s="1046">
        <f>IF(Rechnungen!$D$4=TRUE,"---",Rechnungen!I255)</f>
        <v>622.40037550790612</v>
      </c>
      <c r="K30" s="1044">
        <f>IF(Rechnungen!$D$4=TRUE,"---",Rechnungen!J255)</f>
        <v>0</v>
      </c>
      <c r="L30" s="1045">
        <f>IF(Rechnungen!$D$4=TRUE,"---",Rechnungen!K255)</f>
        <v>111.85166168547784</v>
      </c>
      <c r="M30" s="1046">
        <f>IF(Rechnungen!$D$4=TRUE,"---",Rechnungen!L255)</f>
        <v>1271.8616369074589</v>
      </c>
      <c r="N30" s="1045">
        <f>IF(Rechnungen!$D$4=TRUE,"---",Rechnungen!M255)</f>
        <v>2655.9656211903284</v>
      </c>
      <c r="O30" s="1045">
        <f>IF(Rechnungen!$D$4=TRUE,"---",Rechnungen!N255)</f>
        <v>4018.8758273141771</v>
      </c>
      <c r="P30" s="1047">
        <f>IF(Rechnungen!$D$4=TRUE,"---",Rechnungen!O255)</f>
        <v>5029.3482812751581</v>
      </c>
    </row>
    <row r="31" spans="1:21" ht="16" x14ac:dyDescent="0.3">
      <c r="A31" s="1069" t="s">
        <v>1360</v>
      </c>
      <c r="C31" s="983" t="s">
        <v>1164</v>
      </c>
      <c r="D31" s="1357">
        <f>IF(Rechnungen!$D$4=TRUE,"---",SUM(E31:P31))</f>
        <v>14015.999999999998</v>
      </c>
      <c r="E31" s="1044">
        <f>IF(Rechnungen!$D$4=TRUE,"---",Rechnungen!D260)</f>
        <v>1190.3999999999999</v>
      </c>
      <c r="F31" s="1045">
        <f>IF(Rechnungen!$D$4=TRUE,"---",Rechnungen!E260)</f>
        <v>1075.2</v>
      </c>
      <c r="G31" s="1046">
        <f>IF(Rechnungen!$D$4=TRUE,"---",Rechnungen!F260)</f>
        <v>1190.3999999999999</v>
      </c>
      <c r="H31" s="1044">
        <f>IF(Rechnungen!$D$4=TRUE,"---",Rechnungen!G260)</f>
        <v>1152</v>
      </c>
      <c r="I31" s="1045">
        <f>IF(Rechnungen!$D$4=TRUE,"---",Rechnungen!H260)</f>
        <v>1190.3999999999999</v>
      </c>
      <c r="J31" s="1046">
        <f>IF(Rechnungen!$D$4=TRUE,"---",Rechnungen!I260)</f>
        <v>1152</v>
      </c>
      <c r="K31" s="1044">
        <f>IF(Rechnungen!$D$4=TRUE,"---",Rechnungen!J260)</f>
        <v>1190.3999999999999</v>
      </c>
      <c r="L31" s="1045">
        <f>IF(Rechnungen!$D$4=TRUE,"---",Rechnungen!K260)</f>
        <v>1190.3999999999999</v>
      </c>
      <c r="M31" s="1046">
        <f>IF(Rechnungen!$D$4=TRUE,"---",Rechnungen!L260)</f>
        <v>1152</v>
      </c>
      <c r="N31" s="1045">
        <f>IF(Rechnungen!$D$4=TRUE,"---",Rechnungen!M260)</f>
        <v>1190.3999999999999</v>
      </c>
      <c r="O31" s="1045">
        <f>IF(Rechnungen!$D$4=TRUE,"---",Rechnungen!N260)</f>
        <v>1152</v>
      </c>
      <c r="P31" s="1047">
        <f>IF(Rechnungen!$D$4=TRUE,"---",Rechnungen!O260)</f>
        <v>1190.3999999999999</v>
      </c>
    </row>
    <row r="32" spans="1:21" x14ac:dyDescent="0.3">
      <c r="A32" s="1069" t="s">
        <v>1165</v>
      </c>
      <c r="C32" s="983" t="s">
        <v>443</v>
      </c>
      <c r="D32" s="1359"/>
      <c r="E32" s="1051">
        <f>IF(Rechnungen!$D$4=TRUE,"---",E31/E30)</f>
        <v>0.23797995224402205</v>
      </c>
      <c r="F32" s="1052">
        <f>IF(Rechnungen!$D$4=TRUE,"---",F31/F30)</f>
        <v>0.25027109363919237</v>
      </c>
      <c r="G32" s="1053">
        <f>IF(Rechnungen!$D$4=TRUE,"---",G31/G30)</f>
        <v>0.29853128277020274</v>
      </c>
      <c r="H32" s="1051">
        <f>IF(Rechnungen!$D$4=TRUE,"---",H31/H30)</f>
        <v>0.4345149187435432</v>
      </c>
      <c r="I32" s="1052">
        <f>IF(Rechnungen!$D$4=TRUE,"---",I31/I30)</f>
        <v>0.86878915109311783</v>
      </c>
      <c r="J32" s="1053">
        <f>IF(Rechnungen!$D$4=TRUE,"---",J31/J30)</f>
        <v>1.8508986262418581</v>
      </c>
      <c r="K32" s="1051" t="e">
        <f>IF(Rechnungen!$D$4=TRUE,"---",K31/K30)</f>
        <v>#DIV/0!</v>
      </c>
      <c r="L32" s="1052">
        <f>IF(Rechnungen!$D$4=TRUE,"---",L31/L30)</f>
        <v>10.642667100890773</v>
      </c>
      <c r="M32" s="1053">
        <f>IF(Rechnungen!$D$4=TRUE,"---",M31/M30)</f>
        <v>0.90575890220346345</v>
      </c>
      <c r="N32" s="1052">
        <f>IF(Rechnungen!$D$4=TRUE,"---",N31/N30)</f>
        <v>0.44819857248999195</v>
      </c>
      <c r="O32" s="1052">
        <f>IF(Rechnungen!$D$4=TRUE,"---",O31/O30)</f>
        <v>0.28664732365465595</v>
      </c>
      <c r="P32" s="1054">
        <f>IF(Rechnungen!$D$4=TRUE,"---",P31/P30)</f>
        <v>0.23669070691166805</v>
      </c>
    </row>
    <row r="33" spans="1:20" x14ac:dyDescent="0.3">
      <c r="A33" s="1069" t="s">
        <v>1171</v>
      </c>
      <c r="C33" s="1360" t="s">
        <v>443</v>
      </c>
      <c r="D33" s="1119">
        <f>IF(Rechnungen!$D$4=TRUE,"---",Rechnungen!P262)</f>
        <v>0.75753404591200746</v>
      </c>
      <c r="E33" s="1051">
        <f>IF(Rechnungen!$D$4=TRUE,"---",Rechnungen!D262)</f>
        <v>0.99412910885741368</v>
      </c>
      <c r="F33" s="1052">
        <f>IF(Rechnungen!$D$4=TRUE,"---",Rechnungen!E262)</f>
        <v>0.99314515015059179</v>
      </c>
      <c r="G33" s="1053">
        <f>IF(Rechnungen!$D$4=TRUE,"---",Rechnungen!F262)</f>
        <v>0.98830679320467341</v>
      </c>
      <c r="H33" s="1051">
        <f>IF(Rechnungen!$D$4=TRUE,"---",Rechnungen!G262)</f>
        <v>0.96562263473518706</v>
      </c>
      <c r="I33" s="1052">
        <f>IF(Rechnungen!$D$4=TRUE,"---",Rechnungen!H262)</f>
        <v>0.82324852920626146</v>
      </c>
      <c r="J33" s="1053">
        <f>IF(Rechnungen!$D$4=TRUE,"---",Rechnungen!I262)</f>
        <v>0.50727395348202031</v>
      </c>
      <c r="K33" s="1051">
        <f>IF(Rechnungen!$D$4=TRUE,"---",Rechnungen!J262)</f>
        <v>0</v>
      </c>
      <c r="L33" s="1052">
        <f>IF(Rechnungen!$D$4=TRUE,"---",Rechnungen!K262)</f>
        <v>9.3933384979404552E-2</v>
      </c>
      <c r="M33" s="1053">
        <f>IF(Rechnungen!$D$4=TRUE,"---",Rechnungen!L262)</f>
        <v>0.80886770017687359</v>
      </c>
      <c r="N33" s="1052">
        <f>IF(Rechnungen!$D$4=TRUE,"---",Rechnungen!M262)</f>
        <v>0.96259143385441337</v>
      </c>
      <c r="O33" s="1052">
        <f>IF(Rechnungen!$D$4=TRUE,"---",Rechnungen!N262)</f>
        <v>0.98964725601255499</v>
      </c>
      <c r="P33" s="1054">
        <f>IF(Rechnungen!$D$4=TRUE,"---",Rechnungen!O262)</f>
        <v>0.99422675704193153</v>
      </c>
    </row>
    <row r="34" spans="1:20" x14ac:dyDescent="0.3">
      <c r="A34" s="1347" t="s">
        <v>66</v>
      </c>
      <c r="B34" s="1019"/>
      <c r="C34" s="1353"/>
      <c r="D34" s="1353"/>
      <c r="E34" s="1020"/>
      <c r="F34" s="1021"/>
      <c r="G34" s="1022"/>
      <c r="H34" s="1023"/>
      <c r="I34" s="1024"/>
      <c r="J34" s="1025"/>
      <c r="K34" s="1020"/>
      <c r="L34" s="1021"/>
      <c r="M34" s="1022"/>
      <c r="N34" s="1024"/>
      <c r="O34" s="1024"/>
      <c r="P34" s="1026"/>
    </row>
    <row r="35" spans="1:20" ht="16.5" thickBot="1" x14ac:dyDescent="0.35">
      <c r="A35" s="1350" t="s">
        <v>1112</v>
      </c>
      <c r="B35" s="1055"/>
      <c r="C35" s="1100" t="s">
        <v>1164</v>
      </c>
      <c r="D35" s="1361">
        <f>IF(Rechnungen!$D$4=TRUE,"---",SUM(E35:P35))</f>
        <v>20399.886601894344</v>
      </c>
      <c r="E35" s="1056">
        <f>IF(Rechnungen!$D$4=TRUE,"---",Rechnungen!D263)</f>
        <v>3818.6907294912912</v>
      </c>
      <c r="F35" s="1057">
        <f>IF(Rechnungen!$D$4=TRUE,"---",Rechnungen!E263)</f>
        <v>3228.311708160265</v>
      </c>
      <c r="G35" s="1058">
        <f>IF(Rechnungen!$D$4=TRUE,"---",Rechnungen!F263)</f>
        <v>2811.0413999743341</v>
      </c>
      <c r="H35" s="1056">
        <f>IF(Rechnungen!$D$4=TRUE,"---",Rechnungen!G263)</f>
        <v>1538.83505377197</v>
      </c>
      <c r="I35" s="1057">
        <f>IF(Rechnungen!$D$4=TRUE,"---",Rechnungen!H263)</f>
        <v>390.18780647998017</v>
      </c>
      <c r="J35" s="1058">
        <f>IF(Rechnungen!$D$4=TRUE,"---",Rechnungen!I263)</f>
        <v>38.020781096618748</v>
      </c>
      <c r="K35" s="1056">
        <f>IF(Rechnungen!$D$4=TRUE,"---",Rechnungen!J263)</f>
        <v>0</v>
      </c>
      <c r="L35" s="1057">
        <f>IF(Rechnungen!$D$4=TRUE,"---",Rechnungen!K263)</f>
        <v>3.336020599466849E-2</v>
      </c>
      <c r="M35" s="1058">
        <f>IF(Rechnungen!$D$4=TRUE,"---",Rechnungen!L263)</f>
        <v>340.04604630370045</v>
      </c>
      <c r="N35" s="1057">
        <f>IF(Rechnungen!$D$4=TRUE,"---",Rechnungen!M263)</f>
        <v>1510.0967783300348</v>
      </c>
      <c r="O35" s="1057">
        <f>IF(Rechnungen!$D$4=TRUE,"---",Rechnungen!N263)</f>
        <v>2878.8021883877136</v>
      </c>
      <c r="P35" s="1059">
        <f>IF(Rechnungen!$D$4=TRUE,"---",Rechnungen!O263)</f>
        <v>3845.8207496924429</v>
      </c>
    </row>
    <row r="36" spans="1:20" s="976" customFormat="1" ht="28.5" thickBot="1" x14ac:dyDescent="0.35">
      <c r="A36" s="1087" t="s">
        <v>1187</v>
      </c>
      <c r="B36" s="1088"/>
      <c r="C36" s="1088"/>
      <c r="D36" s="1088"/>
      <c r="E36" s="1089"/>
      <c r="F36" s="1089"/>
      <c r="G36" s="1090"/>
      <c r="H36" s="1090"/>
      <c r="I36" s="1090"/>
      <c r="J36" s="1091"/>
      <c r="K36" s="1092"/>
      <c r="L36" s="1092"/>
      <c r="M36" s="970"/>
      <c r="N36" s="970"/>
      <c r="O36" s="970"/>
      <c r="P36" s="1062" t="s">
        <v>705</v>
      </c>
      <c r="Q36" s="1093"/>
      <c r="R36" s="1093"/>
      <c r="S36" s="1093"/>
      <c r="T36" s="1093"/>
    </row>
    <row r="37" spans="1:20" s="983" customFormat="1" ht="14" x14ac:dyDescent="0.3">
      <c r="A37" s="1064"/>
      <c r="B37" s="1065"/>
      <c r="C37" s="1065"/>
      <c r="D37" s="1065"/>
      <c r="E37" s="955"/>
      <c r="F37" s="955"/>
      <c r="G37" s="1066"/>
      <c r="H37" s="1066"/>
      <c r="I37" s="1066"/>
      <c r="J37" s="955"/>
      <c r="K37" s="955"/>
      <c r="L37" s="955"/>
      <c r="M37" s="1066"/>
      <c r="N37" s="1066"/>
      <c r="O37" s="1066"/>
      <c r="P37" s="1067"/>
      <c r="Q37" s="958"/>
      <c r="R37" s="958"/>
      <c r="S37" s="958"/>
      <c r="T37" s="958"/>
    </row>
    <row r="38" spans="1:20" s="983" customFormat="1" ht="14" x14ac:dyDescent="0.3">
      <c r="A38" s="1069"/>
      <c r="E38" s="958"/>
      <c r="F38" s="958"/>
      <c r="G38" s="1070"/>
      <c r="H38" s="1070"/>
      <c r="I38" s="1070"/>
      <c r="J38" s="958"/>
      <c r="M38" s="1070"/>
      <c r="N38" s="1070"/>
      <c r="O38" s="1070"/>
      <c r="P38" s="1072"/>
      <c r="Q38" s="958"/>
      <c r="R38" s="958"/>
      <c r="S38" s="958"/>
      <c r="T38" s="958"/>
    </row>
    <row r="39" spans="1:20" s="983" customFormat="1" ht="14" x14ac:dyDescent="0.3">
      <c r="A39" s="1069"/>
      <c r="E39" s="958"/>
      <c r="F39" s="958"/>
      <c r="G39" s="1070"/>
      <c r="H39" s="1070"/>
      <c r="I39" s="1070"/>
      <c r="J39" s="958"/>
      <c r="M39" s="1070"/>
      <c r="N39" s="1070"/>
      <c r="O39" s="1070"/>
      <c r="P39" s="1072"/>
      <c r="Q39" s="958"/>
      <c r="R39" s="958"/>
      <c r="S39" s="958"/>
      <c r="T39" s="958"/>
    </row>
    <row r="40" spans="1:20" s="983" customFormat="1" ht="14" x14ac:dyDescent="0.3">
      <c r="A40" s="1069"/>
      <c r="E40" s="958"/>
      <c r="F40" s="958"/>
      <c r="G40" s="1070"/>
      <c r="H40" s="1070"/>
      <c r="I40" s="1070"/>
      <c r="J40" s="958"/>
      <c r="M40" s="1070"/>
      <c r="N40" s="1070"/>
      <c r="O40" s="1070"/>
      <c r="P40" s="1072"/>
      <c r="Q40" s="958"/>
      <c r="R40" s="958"/>
      <c r="S40" s="958"/>
      <c r="T40" s="958"/>
    </row>
    <row r="41" spans="1:20" s="983" customFormat="1" ht="14" x14ac:dyDescent="0.3">
      <c r="A41" s="1069"/>
      <c r="E41" s="958"/>
      <c r="F41" s="958"/>
      <c r="G41" s="1070"/>
      <c r="H41" s="1070"/>
      <c r="I41" s="1070"/>
      <c r="J41" s="958"/>
      <c r="K41" s="958"/>
      <c r="L41" s="958"/>
      <c r="M41" s="1070"/>
      <c r="N41" s="1070"/>
      <c r="O41" s="1070"/>
      <c r="P41" s="1072"/>
      <c r="Q41" s="958"/>
      <c r="R41" s="958"/>
      <c r="S41" s="958"/>
      <c r="T41" s="958"/>
    </row>
    <row r="42" spans="1:20" s="983" customFormat="1" ht="14" x14ac:dyDescent="0.3">
      <c r="A42" s="1069"/>
      <c r="E42" s="958"/>
      <c r="F42" s="958"/>
      <c r="G42" s="1070"/>
      <c r="H42" s="1070"/>
      <c r="I42" s="1070"/>
      <c r="J42" s="958"/>
      <c r="K42" s="958"/>
      <c r="L42" s="958"/>
      <c r="M42" s="1070"/>
      <c r="N42" s="1070"/>
      <c r="O42" s="1070"/>
      <c r="P42" s="1072"/>
      <c r="Q42" s="958"/>
      <c r="R42" s="958"/>
      <c r="S42" s="958"/>
      <c r="T42" s="958"/>
    </row>
    <row r="43" spans="1:20" s="983" customFormat="1" ht="14" x14ac:dyDescent="0.3">
      <c r="A43" s="1069"/>
      <c r="E43" s="958"/>
      <c r="F43" s="958"/>
      <c r="G43" s="1070"/>
      <c r="H43" s="1070"/>
      <c r="I43" s="1070"/>
      <c r="J43" s="958"/>
      <c r="M43" s="1070"/>
      <c r="N43" s="1070"/>
      <c r="O43" s="1070"/>
      <c r="P43" s="1072"/>
      <c r="Q43" s="958"/>
      <c r="R43" s="958"/>
      <c r="S43" s="958"/>
      <c r="T43" s="958"/>
    </row>
    <row r="44" spans="1:20" s="983" customFormat="1" ht="14" x14ac:dyDescent="0.3">
      <c r="A44" s="1069"/>
      <c r="E44" s="958"/>
      <c r="F44" s="958"/>
      <c r="G44" s="1070"/>
      <c r="H44" s="1070"/>
      <c r="I44" s="1070"/>
      <c r="J44" s="958"/>
      <c r="K44" s="958"/>
      <c r="L44" s="958"/>
      <c r="M44" s="1070"/>
      <c r="N44" s="1070"/>
      <c r="O44" s="1070"/>
      <c r="P44" s="1072"/>
      <c r="Q44" s="958"/>
      <c r="R44" s="958"/>
      <c r="S44" s="958"/>
      <c r="T44" s="958"/>
    </row>
    <row r="45" spans="1:20" s="983" customFormat="1" ht="14" x14ac:dyDescent="0.3">
      <c r="A45" s="1069"/>
      <c r="E45" s="958"/>
      <c r="F45" s="958"/>
      <c r="G45" s="1070"/>
      <c r="H45" s="1070"/>
      <c r="I45" s="1070"/>
      <c r="J45" s="958"/>
      <c r="K45" s="958"/>
      <c r="L45" s="958"/>
      <c r="M45" s="1070"/>
      <c r="N45" s="1070"/>
      <c r="O45" s="1070"/>
      <c r="P45" s="1072"/>
      <c r="Q45" s="958"/>
      <c r="R45" s="958"/>
      <c r="S45" s="958"/>
      <c r="T45" s="958"/>
    </row>
    <row r="46" spans="1:20" s="983" customFormat="1" ht="25" x14ac:dyDescent="0.3">
      <c r="A46" s="1069"/>
      <c r="E46" s="958"/>
      <c r="F46" s="1281" t="str">
        <f>IF(Rechnungen!D4=TRUE,"keine Grafik möglich","")</f>
        <v/>
      </c>
      <c r="G46" s="1070"/>
      <c r="H46" s="1070"/>
      <c r="I46" s="1070"/>
      <c r="J46" s="958"/>
      <c r="K46" s="958"/>
      <c r="L46" s="958"/>
      <c r="M46" s="1070"/>
      <c r="N46" s="1070"/>
      <c r="O46" s="1070"/>
      <c r="P46" s="1072"/>
      <c r="Q46" s="958"/>
      <c r="R46" s="958"/>
      <c r="S46" s="958"/>
      <c r="T46" s="958"/>
    </row>
    <row r="47" spans="1:20" s="983" customFormat="1" ht="14" x14ac:dyDescent="0.3">
      <c r="A47" s="1069"/>
      <c r="E47" s="958"/>
      <c r="F47" s="958"/>
      <c r="G47" s="1070"/>
      <c r="H47" s="1070"/>
      <c r="I47" s="1070"/>
      <c r="J47" s="958"/>
      <c r="K47" s="958"/>
      <c r="L47" s="958"/>
      <c r="M47" s="1070"/>
      <c r="N47" s="1070"/>
      <c r="O47" s="1070"/>
      <c r="P47" s="1072"/>
      <c r="Q47" s="958"/>
      <c r="R47" s="958"/>
      <c r="S47" s="958"/>
      <c r="T47" s="958"/>
    </row>
    <row r="48" spans="1:20" s="983" customFormat="1" ht="14" x14ac:dyDescent="0.3">
      <c r="A48" s="1069"/>
      <c r="E48" s="958"/>
      <c r="F48" s="958"/>
      <c r="G48" s="1070"/>
      <c r="H48" s="1070"/>
      <c r="I48" s="1070"/>
      <c r="J48" s="958"/>
      <c r="M48" s="1070"/>
      <c r="N48" s="1070"/>
      <c r="O48" s="1070"/>
      <c r="P48" s="1072"/>
      <c r="Q48" s="958"/>
      <c r="R48" s="958"/>
      <c r="S48" s="958"/>
      <c r="T48" s="958"/>
    </row>
    <row r="49" spans="1:20" s="983" customFormat="1" ht="14" x14ac:dyDescent="0.3">
      <c r="A49" s="1069"/>
      <c r="E49" s="958"/>
      <c r="F49" s="958"/>
      <c r="G49" s="1070"/>
      <c r="H49" s="1070"/>
      <c r="I49" s="1070"/>
      <c r="J49" s="958"/>
      <c r="K49" s="958"/>
      <c r="L49" s="958"/>
      <c r="M49" s="1070"/>
      <c r="N49" s="1070"/>
      <c r="O49" s="1070"/>
      <c r="P49" s="1072"/>
      <c r="Q49" s="958"/>
      <c r="R49" s="958"/>
      <c r="S49" s="958"/>
      <c r="T49" s="958"/>
    </row>
    <row r="50" spans="1:20" s="983" customFormat="1" ht="14" x14ac:dyDescent="0.3">
      <c r="A50" s="1069"/>
      <c r="E50" s="958"/>
      <c r="F50" s="958"/>
      <c r="G50" s="1070"/>
      <c r="H50" s="1070"/>
      <c r="I50" s="1070"/>
      <c r="J50" s="958"/>
      <c r="K50" s="958"/>
      <c r="L50" s="958"/>
      <c r="M50" s="1070"/>
      <c r="N50" s="1070"/>
      <c r="O50" s="1070"/>
      <c r="P50" s="1072"/>
      <c r="Q50" s="958"/>
      <c r="R50" s="958"/>
      <c r="S50" s="958"/>
      <c r="T50" s="958"/>
    </row>
    <row r="51" spans="1:20" s="983" customFormat="1" ht="14" x14ac:dyDescent="0.3">
      <c r="A51" s="1069"/>
      <c r="E51" s="958"/>
      <c r="F51" s="958"/>
      <c r="G51" s="1070"/>
      <c r="H51" s="1070"/>
      <c r="I51" s="1070"/>
      <c r="J51" s="958"/>
      <c r="M51" s="1070"/>
      <c r="N51" s="1070"/>
      <c r="O51" s="1070"/>
      <c r="P51" s="1072"/>
      <c r="Q51" s="958"/>
      <c r="R51" s="958"/>
      <c r="S51" s="958"/>
      <c r="T51" s="958"/>
    </row>
    <row r="52" spans="1:20" s="983" customFormat="1" ht="14" x14ac:dyDescent="0.3">
      <c r="A52" s="1069"/>
      <c r="E52" s="958"/>
      <c r="F52" s="958"/>
      <c r="G52" s="1070"/>
      <c r="H52" s="1070"/>
      <c r="I52" s="1070"/>
      <c r="J52" s="958"/>
      <c r="K52" s="958"/>
      <c r="L52" s="958"/>
      <c r="M52" s="1070"/>
      <c r="N52" s="1070"/>
      <c r="O52" s="1070"/>
      <c r="P52" s="1072"/>
      <c r="Q52" s="958"/>
      <c r="R52" s="958"/>
      <c r="S52" s="958"/>
      <c r="T52" s="958"/>
    </row>
    <row r="53" spans="1:20" s="983" customFormat="1" ht="14" x14ac:dyDescent="0.3">
      <c r="A53" s="1069"/>
      <c r="E53" s="958"/>
      <c r="F53" s="958"/>
      <c r="G53" s="1070"/>
      <c r="H53" s="1070"/>
      <c r="I53" s="1070"/>
      <c r="J53" s="958"/>
      <c r="K53" s="958"/>
      <c r="L53" s="958"/>
      <c r="M53" s="1070"/>
      <c r="N53" s="1070"/>
      <c r="O53" s="1070"/>
      <c r="P53" s="1072"/>
      <c r="Q53" s="958"/>
      <c r="R53" s="958"/>
      <c r="S53" s="958"/>
      <c r="T53" s="958"/>
    </row>
    <row r="54" spans="1:20" s="983" customFormat="1" ht="14" x14ac:dyDescent="0.3">
      <c r="A54" s="1069"/>
      <c r="E54" s="958"/>
      <c r="F54" s="958"/>
      <c r="G54" s="1070"/>
      <c r="H54" s="1070"/>
      <c r="I54" s="1070"/>
      <c r="J54" s="958"/>
      <c r="M54" s="1070"/>
      <c r="N54" s="1070"/>
      <c r="O54" s="1070"/>
      <c r="P54" s="1072"/>
      <c r="Q54" s="958"/>
      <c r="R54" s="958"/>
      <c r="S54" s="958"/>
      <c r="T54" s="958"/>
    </row>
    <row r="55" spans="1:20" s="983" customFormat="1" ht="14" x14ac:dyDescent="0.3">
      <c r="A55" s="1069"/>
      <c r="E55" s="958"/>
      <c r="F55" s="958"/>
      <c r="G55" s="1070"/>
      <c r="H55" s="1070"/>
      <c r="I55" s="1070"/>
      <c r="J55" s="958"/>
      <c r="M55" s="1070"/>
      <c r="N55" s="1070"/>
      <c r="O55" s="1070"/>
      <c r="P55" s="1072"/>
      <c r="Q55" s="958"/>
      <c r="R55" s="958"/>
      <c r="S55" s="958"/>
      <c r="T55" s="958"/>
    </row>
    <row r="56" spans="1:20" s="983" customFormat="1" ht="14.5" thickBot="1" x14ac:dyDescent="0.35">
      <c r="A56" s="1079"/>
      <c r="B56" s="1080"/>
      <c r="C56" s="1080"/>
      <c r="D56" s="1080"/>
      <c r="E56" s="1081"/>
      <c r="F56" s="1081"/>
      <c r="G56" s="1082"/>
      <c r="H56" s="1082"/>
      <c r="I56" s="1082"/>
      <c r="J56" s="1081"/>
      <c r="K56" s="1080"/>
      <c r="L56" s="1080"/>
      <c r="M56" s="1082"/>
      <c r="N56" s="1082"/>
      <c r="O56" s="1082"/>
      <c r="P56" s="1085"/>
      <c r="Q56" s="958"/>
      <c r="R56" s="958"/>
      <c r="S56" s="958"/>
      <c r="T56" s="958"/>
    </row>
    <row r="57" spans="1:20" s="1010" customFormat="1" ht="28.5" thickBot="1" x14ac:dyDescent="0.35">
      <c r="A57" s="971" t="s">
        <v>1099</v>
      </c>
      <c r="B57" s="972"/>
      <c r="C57" s="972"/>
      <c r="D57" s="972"/>
      <c r="E57" s="1060"/>
      <c r="F57" s="1060"/>
      <c r="G57" s="544"/>
      <c r="H57" s="544"/>
      <c r="I57" s="544"/>
      <c r="J57" s="1060"/>
      <c r="K57" s="1061"/>
      <c r="L57" s="1061"/>
      <c r="M57" s="544"/>
      <c r="N57" s="544"/>
      <c r="O57" s="544"/>
      <c r="P57" s="1062" t="s">
        <v>705</v>
      </c>
      <c r="Q57" s="1063"/>
      <c r="R57" s="1063"/>
      <c r="S57" s="1063"/>
      <c r="T57" s="1063"/>
    </row>
    <row r="58" spans="1:20" s="983" customFormat="1" ht="16" x14ac:dyDescent="0.3">
      <c r="A58" s="1064" t="s">
        <v>64</v>
      </c>
      <c r="B58" s="1065"/>
      <c r="C58" s="1065"/>
      <c r="D58" s="1065"/>
      <c r="E58" s="955" t="s">
        <v>1103</v>
      </c>
      <c r="F58" s="955"/>
      <c r="G58" s="1066">
        <f>IF(Rechnungen!$D$4=TRUE,"---",Rechnungen!D53+Rechnungen!V142)</f>
        <v>250</v>
      </c>
      <c r="H58" s="1066"/>
      <c r="I58" s="1066" t="s">
        <v>71</v>
      </c>
      <c r="J58" s="1067"/>
      <c r="K58" s="954" t="s">
        <v>1104</v>
      </c>
      <c r="L58" s="955"/>
      <c r="M58" s="1068">
        <f>IF(Rechnungen!$D$4=TRUE,"---",Rechnungen!P253)</f>
        <v>19246.536909397037</v>
      </c>
      <c r="N58" s="1068"/>
      <c r="O58" s="1068" t="s">
        <v>523</v>
      </c>
      <c r="P58" s="1067"/>
      <c r="Q58" s="958"/>
      <c r="R58" s="958"/>
      <c r="S58" s="958"/>
      <c r="T58" s="958"/>
    </row>
    <row r="59" spans="1:20" s="983" customFormat="1" ht="16" x14ac:dyDescent="0.3">
      <c r="A59" s="1069" t="s">
        <v>65</v>
      </c>
      <c r="E59" s="958" t="s">
        <v>1105</v>
      </c>
      <c r="F59" s="958"/>
      <c r="G59" s="1070">
        <f>IF(Rechnungen!$D$4=TRUE,"---",Rechnungen!E107)</f>
        <v>142.12000000000003</v>
      </c>
      <c r="H59" s="1070"/>
      <c r="I59" s="1070" t="s">
        <v>71</v>
      </c>
      <c r="J59" s="958"/>
      <c r="K59" s="957" t="s">
        <v>1106</v>
      </c>
      <c r="L59" s="958"/>
      <c r="M59" s="1071">
        <f>IF(Rechnungen!$D$4=TRUE,"---",Rechnungen!P254)</f>
        <v>11770.946880000005</v>
      </c>
      <c r="N59" s="1071"/>
      <c r="O59" s="1071" t="s">
        <v>523</v>
      </c>
      <c r="P59" s="1072"/>
      <c r="Q59" s="958"/>
      <c r="R59" s="958"/>
      <c r="S59" s="958"/>
      <c r="T59" s="958"/>
    </row>
    <row r="60" spans="1:20" s="983" customFormat="1" ht="16" x14ac:dyDescent="0.3">
      <c r="A60" s="1073" t="s">
        <v>72</v>
      </c>
      <c r="B60" s="1074"/>
      <c r="C60" s="1074"/>
      <c r="D60" s="1074"/>
      <c r="E60" s="997" t="s">
        <v>1107</v>
      </c>
      <c r="F60" s="997"/>
      <c r="G60" s="964">
        <f>IF(Rechnungen!$D$4=TRUE,"---",Rechnungen!P256)</f>
        <v>14015.999999999998</v>
      </c>
      <c r="H60" s="964"/>
      <c r="I60" s="964" t="s">
        <v>523</v>
      </c>
      <c r="J60" s="997"/>
      <c r="K60" s="1075" t="s">
        <v>1108</v>
      </c>
      <c r="L60" s="997"/>
      <c r="M60" s="964">
        <f>IF(Rechnungen!$D$4=TRUE,"---",SUMPRODUCT(Rechnungen!D262:O262,Rechnungen!D256:O256))</f>
        <v>10617.597187502693</v>
      </c>
      <c r="N60" s="964"/>
      <c r="O60" s="964" t="s">
        <v>523</v>
      </c>
      <c r="P60" s="1076"/>
      <c r="Q60" s="958"/>
      <c r="R60" s="958"/>
      <c r="S60" s="958"/>
      <c r="T60" s="958"/>
    </row>
    <row r="61" spans="1:20" s="983" customFormat="1" ht="16" x14ac:dyDescent="0.3">
      <c r="A61" s="816" t="s">
        <v>73</v>
      </c>
      <c r="B61" s="951"/>
      <c r="C61" s="951"/>
      <c r="D61" s="951"/>
      <c r="E61" s="953" t="s">
        <v>1109</v>
      </c>
      <c r="F61" s="953"/>
      <c r="G61" s="965">
        <f>IF(Rechnungen!$D$4=TRUE,"---",Rechnungen!P259)</f>
        <v>0</v>
      </c>
      <c r="H61" s="965"/>
      <c r="I61" s="965" t="s">
        <v>523</v>
      </c>
      <c r="J61" s="953"/>
      <c r="K61" s="1077" t="s">
        <v>1110</v>
      </c>
      <c r="L61" s="953"/>
      <c r="M61" s="965">
        <f>IF(Rechnungen!$D$4=TRUE,"---",SUMPRODUCT(Rechnungen!D262:O262,Rechnungen!D259:O259))</f>
        <v>0</v>
      </c>
      <c r="N61" s="965"/>
      <c r="O61" s="965" t="s">
        <v>523</v>
      </c>
      <c r="P61" s="1078"/>
      <c r="Q61" s="958"/>
      <c r="R61" s="958"/>
      <c r="S61" s="958"/>
      <c r="T61" s="958"/>
    </row>
    <row r="62" spans="1:20" s="983" customFormat="1" ht="16.5" thickBot="1" x14ac:dyDescent="0.35">
      <c r="A62" s="1079" t="s">
        <v>66</v>
      </c>
      <c r="B62" s="1080"/>
      <c r="C62" s="1080"/>
      <c r="D62" s="1080"/>
      <c r="E62" s="1081" t="s">
        <v>1111</v>
      </c>
      <c r="F62" s="1081"/>
      <c r="G62" s="1082">
        <f>Rechnungen!H3</f>
        <v>63.749645630919829</v>
      </c>
      <c r="H62" s="1082"/>
      <c r="I62" s="1082" t="s">
        <v>365</v>
      </c>
      <c r="J62" s="1081"/>
      <c r="K62" s="1083" t="s">
        <v>1112</v>
      </c>
      <c r="L62" s="1081"/>
      <c r="M62" s="1084">
        <f>G62*G2</f>
        <v>20399.886601894344</v>
      </c>
      <c r="N62" s="1084"/>
      <c r="O62" s="1084" t="s">
        <v>523</v>
      </c>
      <c r="P62" s="1085"/>
      <c r="Q62" s="1086"/>
      <c r="R62" s="958"/>
      <c r="S62" s="958"/>
      <c r="T62" s="958"/>
    </row>
    <row r="63" spans="1:20" s="1027" customFormat="1" ht="18.5" thickBot="1" x14ac:dyDescent="0.35">
      <c r="A63" s="1120" t="str">
        <f>A138</f>
        <v>Primärenergieaufwand für Wohngebäude; Programm erstellt von K. Jagnow, 2001-2023</v>
      </c>
      <c r="B63" s="1121"/>
      <c r="C63" s="1121"/>
      <c r="D63" s="1121"/>
      <c r="E63" s="1122"/>
      <c r="F63" s="1122"/>
      <c r="G63" s="1123"/>
      <c r="H63" s="1123"/>
      <c r="I63" s="1123"/>
      <c r="J63" s="1124"/>
      <c r="K63" s="1122"/>
      <c r="L63" s="1122"/>
      <c r="M63" s="1122"/>
      <c r="N63" s="1122"/>
      <c r="O63" s="1122"/>
      <c r="P63" s="1125"/>
      <c r="Q63" s="958"/>
      <c r="R63" s="958"/>
      <c r="S63" s="958"/>
      <c r="T63" s="958"/>
    </row>
    <row r="64" spans="1:20" s="1010" customFormat="1" ht="28.5" thickBot="1" x14ac:dyDescent="0.35">
      <c r="A64" s="1196" t="s">
        <v>1159</v>
      </c>
      <c r="B64" s="1197"/>
      <c r="C64" s="1197"/>
      <c r="D64" s="1197"/>
      <c r="E64" s="1187"/>
      <c r="F64" s="1187"/>
      <c r="G64" s="1188"/>
      <c r="H64" s="1188"/>
      <c r="I64" s="1188"/>
      <c r="J64" s="1187"/>
      <c r="K64" s="1189"/>
      <c r="L64" s="1189"/>
      <c r="M64" s="1188"/>
      <c r="N64" s="1188"/>
      <c r="O64" s="1188"/>
      <c r="P64" s="1208" t="str">
        <f>"6/" &amp;Rechnungen!D647</f>
        <v>6/11</v>
      </c>
      <c r="Q64" s="1009"/>
      <c r="R64" s="1009"/>
      <c r="S64" s="1009"/>
      <c r="T64" s="1009"/>
    </row>
    <row r="65" spans="1:20" s="983" customFormat="1" ht="14" x14ac:dyDescent="0.3">
      <c r="A65" s="1644" t="s">
        <v>1180</v>
      </c>
      <c r="B65" s="1645"/>
      <c r="C65" s="1645"/>
      <c r="D65" s="1645"/>
      <c r="E65" s="1656" t="s">
        <v>1194</v>
      </c>
      <c r="F65" s="1645"/>
      <c r="G65" s="1650" t="str">
        <f>Rechnungen!K270</f>
        <v>gebäudezentral; mit Zirkulation; Verteilleitungen im beheizten Bereich</v>
      </c>
      <c r="H65" s="1650"/>
      <c r="I65" s="1650"/>
      <c r="J65" s="1650"/>
      <c r="K65" s="1650"/>
      <c r="L65" s="1650"/>
      <c r="M65" s="1650"/>
      <c r="N65" s="1650"/>
      <c r="O65" s="1650"/>
      <c r="P65" s="1651"/>
      <c r="Q65" s="958"/>
      <c r="R65" s="958"/>
      <c r="S65" s="958"/>
      <c r="T65" s="958"/>
    </row>
    <row r="66" spans="1:20" s="983" customFormat="1" ht="14" x14ac:dyDescent="0.3">
      <c r="A66" s="1646"/>
      <c r="B66" s="1647"/>
      <c r="C66" s="1647"/>
      <c r="D66" s="1647"/>
      <c r="E66" s="1657" t="s">
        <v>1195</v>
      </c>
      <c r="F66" s="1658"/>
      <c r="G66" s="1652" t="str">
        <f>Rechnungen!K284</f>
        <v>kein Speicher vorhanden</v>
      </c>
      <c r="H66" s="1652"/>
      <c r="I66" s="1652"/>
      <c r="J66" s="1652"/>
      <c r="K66" s="1652"/>
      <c r="L66" s="1652"/>
      <c r="M66" s="1652"/>
      <c r="N66" s="1652"/>
      <c r="O66" s="1652"/>
      <c r="P66" s="1653"/>
      <c r="Q66" s="958"/>
      <c r="R66" s="958"/>
      <c r="S66" s="958"/>
      <c r="T66" s="958"/>
    </row>
    <row r="67" spans="1:20" s="983" customFormat="1" ht="14" x14ac:dyDescent="0.3">
      <c r="A67" s="1646"/>
      <c r="B67" s="1647"/>
      <c r="C67" s="1647"/>
      <c r="D67" s="1647"/>
      <c r="E67" s="1657" t="s">
        <v>1196</v>
      </c>
      <c r="F67" s="1658"/>
      <c r="G67" s="1652" t="str">
        <f>Rechnungen!K301</f>
        <v>keine Solaranlage vorhanden</v>
      </c>
      <c r="H67" s="1652"/>
      <c r="I67" s="1652"/>
      <c r="J67" s="1652"/>
      <c r="K67" s="1652"/>
      <c r="L67" s="1652"/>
      <c r="M67" s="1652"/>
      <c r="N67" s="1652"/>
      <c r="O67" s="1652"/>
      <c r="P67" s="1653"/>
      <c r="Q67" s="958"/>
      <c r="R67" s="958"/>
      <c r="S67" s="958"/>
      <c r="T67" s="958"/>
    </row>
    <row r="68" spans="1:20" s="983" customFormat="1" ht="14" x14ac:dyDescent="0.3">
      <c r="A68" s="1646"/>
      <c r="B68" s="1647"/>
      <c r="C68" s="1647"/>
      <c r="D68" s="1647"/>
      <c r="E68" s="1657" t="s">
        <v>1197</v>
      </c>
      <c r="F68" s="1658"/>
      <c r="G68" s="1652" t="str">
        <f>Rechnungen!K331&amp;", "&amp;Rechnungen!K311</f>
        <v>Kessel Kostanttemperatur, Heizöl EL</v>
      </c>
      <c r="H68" s="1652"/>
      <c r="I68" s="1652"/>
      <c r="J68" s="1652"/>
      <c r="K68" s="1652"/>
      <c r="L68" s="1652"/>
      <c r="M68" s="1652"/>
      <c r="N68" s="1652"/>
      <c r="O68" s="1652"/>
      <c r="P68" s="1653"/>
      <c r="Q68" s="958"/>
      <c r="R68" s="958"/>
      <c r="S68" s="958"/>
      <c r="T68" s="958"/>
    </row>
    <row r="69" spans="1:20" s="983" customFormat="1" ht="14.5" thickBot="1" x14ac:dyDescent="0.35">
      <c r="A69" s="1648"/>
      <c r="B69" s="1649"/>
      <c r="C69" s="1649"/>
      <c r="D69" s="1649"/>
      <c r="E69" s="1659" t="s">
        <v>1198</v>
      </c>
      <c r="F69" s="1660"/>
      <c r="G69" s="1654" t="str">
        <f>IF(Rechnungen!K362=Rechnungen!K326,Rechnungen!K326,Rechnungen!K362&amp;", "&amp;Rechnungen!K326)</f>
        <v>kein weiterer Erzeuger vorhanden</v>
      </c>
      <c r="H69" s="1654"/>
      <c r="I69" s="1654"/>
      <c r="J69" s="1654"/>
      <c r="K69" s="1654"/>
      <c r="L69" s="1654"/>
      <c r="M69" s="1654"/>
      <c r="N69" s="1654"/>
      <c r="O69" s="1654"/>
      <c r="P69" s="1655"/>
      <c r="Q69" s="958"/>
      <c r="R69" s="958"/>
      <c r="S69" s="958"/>
      <c r="T69" s="958"/>
    </row>
    <row r="70" spans="1:20" s="1027" customFormat="1" x14ac:dyDescent="0.3">
      <c r="A70" s="1198"/>
      <c r="B70" s="1199"/>
      <c r="C70" s="1199"/>
      <c r="D70" s="1200"/>
      <c r="E70" s="1190" t="s">
        <v>403</v>
      </c>
      <c r="F70" s="1191"/>
      <c r="G70" s="1192"/>
      <c r="H70" s="1192"/>
      <c r="I70" s="1192"/>
      <c r="J70" s="1193"/>
      <c r="K70" s="1194" t="s">
        <v>400</v>
      </c>
      <c r="L70" s="1195"/>
      <c r="M70" s="1192"/>
      <c r="N70" s="1192"/>
      <c r="O70" s="1192"/>
      <c r="P70" s="1193"/>
      <c r="Q70" s="1097"/>
      <c r="R70" s="1097"/>
      <c r="S70" s="1097"/>
      <c r="T70" s="1097"/>
    </row>
    <row r="71" spans="1:20" s="983" customFormat="1" ht="16" x14ac:dyDescent="0.3">
      <c r="A71" s="816" t="s">
        <v>438</v>
      </c>
      <c r="B71" s="951"/>
      <c r="C71" s="951"/>
      <c r="D71" s="951"/>
      <c r="E71" s="1077" t="s">
        <v>1113</v>
      </c>
      <c r="F71" s="953"/>
      <c r="G71" s="1098">
        <f>IF(Rechnungen!B644="FEHLER","k.A.",12.5)</f>
        <v>12.5</v>
      </c>
      <c r="H71" s="1098"/>
      <c r="I71" s="1098" t="s">
        <v>365</v>
      </c>
      <c r="J71" s="1078"/>
      <c r="K71" s="1077" t="s">
        <v>443</v>
      </c>
      <c r="L71" s="953"/>
      <c r="M71" s="1098" t="s">
        <v>443</v>
      </c>
      <c r="N71" s="1098"/>
      <c r="O71" s="1098"/>
      <c r="P71" s="1078" t="s">
        <v>443</v>
      </c>
      <c r="Q71" s="958"/>
      <c r="R71" s="958"/>
      <c r="S71" s="958"/>
      <c r="T71" s="958"/>
    </row>
    <row r="72" spans="1:20" s="983" customFormat="1" ht="16" x14ac:dyDescent="0.3">
      <c r="A72" s="1099" t="s">
        <v>439</v>
      </c>
      <c r="B72" s="1100"/>
      <c r="C72" s="1100"/>
      <c r="D72" s="1100"/>
      <c r="E72" s="1101" t="s">
        <v>1114</v>
      </c>
      <c r="F72" s="992"/>
      <c r="G72" s="1102">
        <f>IF(Rechnungen!B644="FEHLER","k.A.",0)</f>
        <v>0</v>
      </c>
      <c r="H72" s="1102"/>
      <c r="I72" s="1102" t="s">
        <v>365</v>
      </c>
      <c r="J72" s="988"/>
      <c r="K72" s="1099" t="s">
        <v>1115</v>
      </c>
      <c r="L72" s="1100"/>
      <c r="M72" s="1102">
        <f>IF(Rechnungen!B644="FEHLER","k.A.",0)</f>
        <v>0</v>
      </c>
      <c r="N72" s="1102"/>
      <c r="O72" s="1102" t="s">
        <v>365</v>
      </c>
      <c r="P72" s="988"/>
      <c r="Q72" s="958"/>
      <c r="R72" s="958"/>
      <c r="S72" s="958"/>
      <c r="T72" s="958"/>
    </row>
    <row r="73" spans="1:20" s="983" customFormat="1" ht="16" x14ac:dyDescent="0.3">
      <c r="A73" s="1099" t="s">
        <v>367</v>
      </c>
      <c r="B73" s="1100"/>
      <c r="C73" s="1100"/>
      <c r="D73" s="1100"/>
      <c r="E73" s="1101" t="s">
        <v>1116</v>
      </c>
      <c r="F73" s="992"/>
      <c r="G73" s="1102">
        <f>IF(Rechnungen!B644="FEHLER","k.A.",Rechnungen!F281)</f>
        <v>7.56</v>
      </c>
      <c r="H73" s="1102"/>
      <c r="I73" s="1102" t="s">
        <v>365</v>
      </c>
      <c r="J73" s="988"/>
      <c r="K73" s="1099" t="s">
        <v>1117</v>
      </c>
      <c r="L73" s="1100"/>
      <c r="M73" s="1102">
        <f>IF(Rechnungen!B644="FEHLER","k.A.",Rechnungen!H281)</f>
        <v>0.47</v>
      </c>
      <c r="N73" s="1102"/>
      <c r="O73" s="1102" t="s">
        <v>365</v>
      </c>
      <c r="P73" s="988"/>
      <c r="Q73" s="958"/>
      <c r="R73" s="958"/>
      <c r="S73" s="958"/>
      <c r="T73" s="958"/>
    </row>
    <row r="74" spans="1:20" s="983" customFormat="1" ht="16" x14ac:dyDescent="0.3">
      <c r="A74" s="1099" t="s">
        <v>399</v>
      </c>
      <c r="B74" s="1100"/>
      <c r="C74" s="1100"/>
      <c r="D74" s="1100"/>
      <c r="E74" s="1101" t="s">
        <v>1118</v>
      </c>
      <c r="F74" s="992"/>
      <c r="G74" s="1102">
        <f>IF(Rechnungen!B644="FEHLER","k.A.",Rechnungen!F298)</f>
        <v>0</v>
      </c>
      <c r="H74" s="1102"/>
      <c r="I74" s="1102" t="s">
        <v>365</v>
      </c>
      <c r="J74" s="988"/>
      <c r="K74" s="1099" t="s">
        <v>1119</v>
      </c>
      <c r="L74" s="1100"/>
      <c r="M74" s="1102">
        <f>IF(Rechnungen!B644="FEHLER","k.A.",Rechnungen!H298)</f>
        <v>0</v>
      </c>
      <c r="N74" s="1102"/>
      <c r="O74" s="1102" t="s">
        <v>365</v>
      </c>
      <c r="P74" s="988"/>
      <c r="Q74" s="958"/>
      <c r="R74" s="958"/>
      <c r="S74" s="958"/>
      <c r="T74" s="958"/>
    </row>
    <row r="75" spans="1:20" s="983" customFormat="1" ht="16" x14ac:dyDescent="0.3">
      <c r="A75" s="1073" t="s">
        <v>424</v>
      </c>
      <c r="B75" s="1074"/>
      <c r="C75" s="1074"/>
      <c r="D75" s="1074"/>
      <c r="E75" s="1075" t="s">
        <v>1120</v>
      </c>
      <c r="F75" s="997"/>
      <c r="G75" s="1004">
        <f>IF(Rechnungen!B644="FEHLER","k.A.",Rechnungen!F305)</f>
        <v>0</v>
      </c>
      <c r="H75" s="1004"/>
      <c r="I75" s="1004" t="s">
        <v>443</v>
      </c>
      <c r="J75" s="1076"/>
      <c r="K75" s="1075" t="s">
        <v>1120</v>
      </c>
      <c r="L75" s="997"/>
      <c r="M75" s="1004">
        <f>IF(Rechnungen!B644="FEHLER","k.A.",G75)</f>
        <v>0</v>
      </c>
      <c r="N75" s="1004"/>
      <c r="O75" s="1004" t="s">
        <v>443</v>
      </c>
      <c r="P75" s="1076"/>
      <c r="Q75" s="958"/>
      <c r="R75" s="958"/>
      <c r="S75" s="958"/>
      <c r="T75" s="958"/>
    </row>
    <row r="76" spans="1:20" s="983" customFormat="1" ht="16" x14ac:dyDescent="0.3">
      <c r="A76" s="1069" t="s">
        <v>707</v>
      </c>
      <c r="E76" s="957" t="s">
        <v>1121</v>
      </c>
      <c r="F76" s="958"/>
      <c r="G76" s="1070">
        <f>IF(Rechnungen!B644="FEHLER","k.A.",Rechnungen!F307)</f>
        <v>0</v>
      </c>
      <c r="H76" s="1070"/>
      <c r="I76" s="1070" t="s">
        <v>443</v>
      </c>
      <c r="J76" s="1072"/>
      <c r="K76" s="957" t="s">
        <v>1121</v>
      </c>
      <c r="L76" s="958"/>
      <c r="M76" s="1070">
        <f>IF(Rechnungen!B644="FEHLER","k.A.",IF(M75=0,0,FP!B12))</f>
        <v>0</v>
      </c>
      <c r="N76" s="1070"/>
      <c r="O76" s="1070" t="s">
        <v>443</v>
      </c>
      <c r="P76" s="1072"/>
      <c r="Q76" s="958"/>
      <c r="R76" s="958"/>
      <c r="S76" s="958"/>
      <c r="T76" s="958"/>
    </row>
    <row r="77" spans="1:20" s="983" customFormat="1" ht="16" x14ac:dyDescent="0.3">
      <c r="A77" s="816"/>
      <c r="B77" s="951"/>
      <c r="C77" s="951"/>
      <c r="D77" s="951"/>
      <c r="E77" s="1077" t="s">
        <v>1122</v>
      </c>
      <c r="F77" s="953"/>
      <c r="G77" s="1098">
        <f>IF(Rechnungen!B644="FEHLER","k.A.",Rechnungen!F306)</f>
        <v>0</v>
      </c>
      <c r="H77" s="1098"/>
      <c r="I77" s="1098" t="s">
        <v>443</v>
      </c>
      <c r="J77" s="1078"/>
      <c r="K77" s="816" t="s">
        <v>1123</v>
      </c>
      <c r="L77" s="951"/>
      <c r="M77" s="1098">
        <f>IF(Rechnungen!B644="FEHLER","k.A.",IF(M75=0,0,Rechnungen!F308))</f>
        <v>0</v>
      </c>
      <c r="N77" s="1098"/>
      <c r="O77" s="1098" t="s">
        <v>365</v>
      </c>
      <c r="P77" s="1078"/>
      <c r="Q77" s="958"/>
      <c r="R77" s="958"/>
      <c r="S77" s="958"/>
      <c r="T77" s="958"/>
    </row>
    <row r="78" spans="1:20" s="983" customFormat="1" ht="16" x14ac:dyDescent="0.3">
      <c r="A78" s="1073" t="s">
        <v>424</v>
      </c>
      <c r="B78" s="1074"/>
      <c r="C78" s="1074"/>
      <c r="D78" s="1074"/>
      <c r="E78" s="1075" t="s">
        <v>1120</v>
      </c>
      <c r="F78" s="997"/>
      <c r="G78" s="1004">
        <f>IF(Rechnungen!B644="FEHLER","k.A.",Rechnungen!G377)</f>
        <v>1</v>
      </c>
      <c r="H78" s="1004"/>
      <c r="I78" s="1004" t="s">
        <v>443</v>
      </c>
      <c r="J78" s="1076"/>
      <c r="K78" s="1075" t="s">
        <v>1120</v>
      </c>
      <c r="L78" s="997"/>
      <c r="M78" s="1004">
        <f>IF(Rechnungen!B644="FEHLER","k.A.",G78)</f>
        <v>1</v>
      </c>
      <c r="N78" s="1004"/>
      <c r="O78" s="1004" t="s">
        <v>443</v>
      </c>
      <c r="P78" s="1076"/>
      <c r="Q78" s="958"/>
      <c r="R78" s="958"/>
      <c r="S78" s="958"/>
      <c r="T78" s="958"/>
    </row>
    <row r="79" spans="1:20" s="983" customFormat="1" ht="16" x14ac:dyDescent="0.3">
      <c r="A79" s="1069" t="s">
        <v>708</v>
      </c>
      <c r="E79" s="957" t="s">
        <v>1121</v>
      </c>
      <c r="F79" s="958"/>
      <c r="G79" s="1070">
        <f>IF(Rechnungen!B644="FEHLER","k.A.",Rechnungen!F323)</f>
        <v>1.1000000000000001</v>
      </c>
      <c r="H79" s="1070"/>
      <c r="I79" s="1070" t="s">
        <v>443</v>
      </c>
      <c r="J79" s="1072"/>
      <c r="K79" s="957" t="s">
        <v>1121</v>
      </c>
      <c r="L79" s="958"/>
      <c r="M79" s="1070">
        <f>IF(Rechnungen!B644="FEHLER","k.A.",IF(M78=0,0,FP!B12))</f>
        <v>1.8</v>
      </c>
      <c r="N79" s="1070"/>
      <c r="O79" s="1070" t="s">
        <v>443</v>
      </c>
      <c r="P79" s="1072"/>
      <c r="Q79" s="958"/>
      <c r="R79" s="958"/>
      <c r="S79" s="958"/>
      <c r="T79" s="958"/>
    </row>
    <row r="80" spans="1:20" s="983" customFormat="1" ht="16" x14ac:dyDescent="0.3">
      <c r="A80" s="816"/>
      <c r="B80" s="951"/>
      <c r="C80" s="951"/>
      <c r="D80" s="951"/>
      <c r="E80" s="1077" t="s">
        <v>1122</v>
      </c>
      <c r="F80" s="953"/>
      <c r="G80" s="1098">
        <f>IF(Rechnungen!B644="FEHLER","k.A.",Rechnungen!E359)</f>
        <v>1.54</v>
      </c>
      <c r="H80" s="1098"/>
      <c r="I80" s="1098" t="s">
        <v>443</v>
      </c>
      <c r="J80" s="1078"/>
      <c r="K80" s="816" t="s">
        <v>1123</v>
      </c>
      <c r="L80" s="951"/>
      <c r="M80" s="1098">
        <f>IF(Rechnungen!B644="FEHLER","k.A.",Rechnungen!F359)</f>
        <v>0.17</v>
      </c>
      <c r="N80" s="1098"/>
      <c r="O80" s="1098" t="s">
        <v>365</v>
      </c>
      <c r="P80" s="1078"/>
      <c r="Q80" s="958"/>
      <c r="R80" s="958"/>
      <c r="S80" s="958"/>
      <c r="T80" s="958"/>
    </row>
    <row r="81" spans="1:20" s="983" customFormat="1" ht="16" x14ac:dyDescent="0.3">
      <c r="A81" s="1069" t="s">
        <v>424</v>
      </c>
      <c r="E81" s="1075" t="s">
        <v>1120</v>
      </c>
      <c r="F81" s="958"/>
      <c r="G81" s="1070">
        <f>IF(Rechnungen!B644="FEHLER","k.A.",Rechnungen!G378)</f>
        <v>0</v>
      </c>
      <c r="H81" s="1070"/>
      <c r="I81" s="1070" t="s">
        <v>443</v>
      </c>
      <c r="J81" s="1072"/>
      <c r="K81" s="1075" t="s">
        <v>1120</v>
      </c>
      <c r="L81" s="958"/>
      <c r="M81" s="1070">
        <f>IF(Rechnungen!B644="FEHLER","k.A.",G81)</f>
        <v>0</v>
      </c>
      <c r="N81" s="1070"/>
      <c r="O81" s="1070" t="s">
        <v>443</v>
      </c>
      <c r="P81" s="1072"/>
      <c r="Q81" s="958"/>
      <c r="R81" s="958"/>
      <c r="S81" s="958"/>
      <c r="T81" s="958"/>
    </row>
    <row r="82" spans="1:20" s="983" customFormat="1" ht="16" x14ac:dyDescent="0.3">
      <c r="A82" s="1069" t="s">
        <v>709</v>
      </c>
      <c r="E82" s="957" t="s">
        <v>1121</v>
      </c>
      <c r="F82" s="958"/>
      <c r="G82" s="1070">
        <f>IF(Rechnungen!B644="FEHLER","k.A.",Rechnungen!F328)</f>
        <v>0</v>
      </c>
      <c r="H82" s="1070"/>
      <c r="I82" s="1070" t="s">
        <v>443</v>
      </c>
      <c r="J82" s="1072"/>
      <c r="K82" s="957" t="s">
        <v>1121</v>
      </c>
      <c r="L82" s="958"/>
      <c r="M82" s="1070">
        <f>IF(Rechnungen!B644="FEHLER","k.A.",IF(M81=0,0,FP!B12))</f>
        <v>0</v>
      </c>
      <c r="N82" s="1070"/>
      <c r="O82" s="1070" t="s">
        <v>443</v>
      </c>
      <c r="P82" s="1072"/>
      <c r="Q82" s="958"/>
      <c r="R82" s="958"/>
      <c r="S82" s="958"/>
      <c r="T82" s="958"/>
    </row>
    <row r="83" spans="1:20" s="983" customFormat="1" ht="16" x14ac:dyDescent="0.3">
      <c r="A83" s="1069"/>
      <c r="E83" s="1077" t="s">
        <v>1122</v>
      </c>
      <c r="F83" s="958"/>
      <c r="G83" s="1070">
        <f>IF(Rechnungen!B644="FEHLER","k.A.",Rechnungen!E376)</f>
        <v>0</v>
      </c>
      <c r="H83" s="1070"/>
      <c r="I83" s="1070" t="s">
        <v>443</v>
      </c>
      <c r="J83" s="1072"/>
      <c r="K83" s="816" t="s">
        <v>1123</v>
      </c>
      <c r="M83" s="1070">
        <f>IF(Rechnungen!B644="FEHLER","k.A.",Rechnungen!F376)</f>
        <v>0</v>
      </c>
      <c r="N83" s="1070"/>
      <c r="O83" s="1070" t="s">
        <v>365</v>
      </c>
      <c r="P83" s="1072"/>
      <c r="Q83" s="958"/>
      <c r="R83" s="958"/>
      <c r="S83" s="958"/>
      <c r="T83" s="958"/>
    </row>
    <row r="84" spans="1:20" s="983" customFormat="1" ht="16" x14ac:dyDescent="0.3">
      <c r="A84" s="1073" t="s">
        <v>521</v>
      </c>
      <c r="B84" s="1074"/>
      <c r="C84" s="1074"/>
      <c r="D84" s="1074"/>
      <c r="E84" s="1075" t="s">
        <v>1124</v>
      </c>
      <c r="F84" s="997"/>
      <c r="G84" s="1004">
        <f>IF(Rechnungen!B644="FEHLER","k.A.",(G71+G72+G73+G74)*(G75*G77+G78*G80+G81*G83))</f>
        <v>30.892399999999999</v>
      </c>
      <c r="H84" s="1004"/>
      <c r="I84" s="1004" t="s">
        <v>365</v>
      </c>
      <c r="J84" s="1076"/>
      <c r="K84" s="1073" t="s">
        <v>1125</v>
      </c>
      <c r="L84" s="1074"/>
      <c r="M84" s="1004">
        <f>IF(Rechnungen!B644="FEHLER","k.A.",(M72+M73+M74+M75*M77+M78*M80+M81*M83))</f>
        <v>0.64</v>
      </c>
      <c r="N84" s="1004"/>
      <c r="O84" s="1004" t="s">
        <v>365</v>
      </c>
      <c r="P84" s="1076"/>
      <c r="Q84" s="958"/>
      <c r="R84" s="958"/>
      <c r="S84" s="958"/>
      <c r="T84" s="958"/>
    </row>
    <row r="85" spans="1:20" s="983" customFormat="1" ht="16.5" thickBot="1" x14ac:dyDescent="0.35">
      <c r="A85" s="1079" t="s">
        <v>522</v>
      </c>
      <c r="B85" s="1080"/>
      <c r="C85" s="1080"/>
      <c r="D85" s="1080"/>
      <c r="E85" s="1083" t="s">
        <v>1126</v>
      </c>
      <c r="F85" s="1081"/>
      <c r="G85" s="1082">
        <f>IF(Rechnungen!B644="FEHLER","k.A.",(G71+G72+G73+G74)*(G75*G76*G77+G78*G79*G80+G81*G82*G83))</f>
        <v>33.981639999999999</v>
      </c>
      <c r="H85" s="1082"/>
      <c r="I85" s="1082" t="s">
        <v>365</v>
      </c>
      <c r="J85" s="1085"/>
      <c r="K85" s="1079" t="s">
        <v>1127</v>
      </c>
      <c r="L85" s="1080"/>
      <c r="M85" s="1082">
        <f>IF(Rechnungen!B644="FEHLER","k.A.",(M72+M73+M74+M75*M77+M78*M80+M81*M83)*M79)</f>
        <v>1.1520000000000001</v>
      </c>
      <c r="N85" s="1082"/>
      <c r="O85" s="1082" t="s">
        <v>365</v>
      </c>
      <c r="P85" s="1085"/>
      <c r="Q85" s="958"/>
      <c r="R85" s="958"/>
      <c r="S85" s="958"/>
      <c r="T85" s="958"/>
    </row>
    <row r="86" spans="1:20" s="1105" customFormat="1" ht="28.5" thickBot="1" x14ac:dyDescent="0.35">
      <c r="A86" s="971" t="s">
        <v>1160</v>
      </c>
      <c r="B86" s="972"/>
      <c r="C86" s="972"/>
      <c r="D86" s="972"/>
      <c r="E86" s="1103"/>
      <c r="F86" s="1103"/>
      <c r="G86" s="1104"/>
      <c r="H86" s="1104"/>
      <c r="I86" s="1104"/>
      <c r="J86" s="1103"/>
      <c r="K86" s="972"/>
      <c r="L86" s="972"/>
      <c r="M86" s="1104"/>
      <c r="N86" s="1104"/>
      <c r="O86" s="1104"/>
      <c r="P86" s="1062" t="s">
        <v>705</v>
      </c>
      <c r="Q86" s="1093"/>
      <c r="R86" s="1093"/>
      <c r="S86" s="1093"/>
      <c r="T86" s="1093"/>
    </row>
    <row r="87" spans="1:20" s="983" customFormat="1" ht="14" x14ac:dyDescent="0.3">
      <c r="A87" s="1644" t="s">
        <v>1180</v>
      </c>
      <c r="B87" s="1645"/>
      <c r="C87" s="1645"/>
      <c r="D87" s="1645"/>
      <c r="E87" s="1656" t="s">
        <v>1199</v>
      </c>
      <c r="F87" s="1645"/>
      <c r="G87" s="1650" t="str">
        <f>Rechnungen!K392</f>
        <v>Anlagenluftwechsel nA=0,4 h-1 (Standardfall)</v>
      </c>
      <c r="H87" s="1650"/>
      <c r="I87" s="1650"/>
      <c r="J87" s="1650"/>
      <c r="K87" s="1650"/>
      <c r="L87" s="1650"/>
      <c r="M87" s="1650"/>
      <c r="N87" s="1650"/>
      <c r="O87" s="1650"/>
      <c r="P87" s="1651"/>
      <c r="Q87" s="958"/>
      <c r="R87" s="958"/>
      <c r="S87" s="958"/>
      <c r="T87" s="958"/>
    </row>
    <row r="88" spans="1:20" s="983" customFormat="1" ht="14" x14ac:dyDescent="0.3">
      <c r="A88" s="1646"/>
      <c r="B88" s="1647"/>
      <c r="C88" s="1647"/>
      <c r="D88" s="1647"/>
      <c r="E88" s="1657" t="s">
        <v>1200</v>
      </c>
      <c r="F88" s="1658"/>
      <c r="G88" s="1652" t="str">
        <f>IF(Rechnungen!K415=Rechnungen!K386,Rechnungen!K386,Rechnungen!K415&amp;", "&amp;Rechnungen!K386)</f>
        <v>keine Lüftungsanlage</v>
      </c>
      <c r="H88" s="1652"/>
      <c r="I88" s="1652"/>
      <c r="J88" s="1652"/>
      <c r="K88" s="1652"/>
      <c r="L88" s="1652"/>
      <c r="M88" s="1652"/>
      <c r="N88" s="1652"/>
      <c r="O88" s="1652"/>
      <c r="P88" s="1653"/>
      <c r="Q88" s="958"/>
      <c r="R88" s="958"/>
      <c r="S88" s="958"/>
      <c r="T88" s="958"/>
    </row>
    <row r="89" spans="1:20" s="983" customFormat="1" ht="14" x14ac:dyDescent="0.3">
      <c r="A89" s="1646"/>
      <c r="B89" s="1647"/>
      <c r="C89" s="1647"/>
      <c r="D89" s="1647"/>
      <c r="E89" s="968" t="s">
        <v>1201</v>
      </c>
      <c r="F89" s="969"/>
      <c r="G89" s="1652" t="str">
        <f>Rechnungen!K403</f>
        <v>keine Lüftungsanlage</v>
      </c>
      <c r="H89" s="1652"/>
      <c r="I89" s="1652"/>
      <c r="J89" s="1652"/>
      <c r="K89" s="1652"/>
      <c r="L89" s="1652"/>
      <c r="M89" s="1652"/>
      <c r="N89" s="1652"/>
      <c r="O89" s="1652"/>
      <c r="P89" s="1653"/>
      <c r="Q89" s="958"/>
      <c r="R89" s="958"/>
      <c r="S89" s="958"/>
      <c r="T89" s="958"/>
    </row>
    <row r="90" spans="1:20" s="983" customFormat="1" ht="14" x14ac:dyDescent="0.3">
      <c r="A90" s="1646"/>
      <c r="B90" s="1647"/>
      <c r="C90" s="1647"/>
      <c r="D90" s="1647"/>
      <c r="E90" s="1657" t="s">
        <v>1202</v>
      </c>
      <c r="F90" s="1658"/>
      <c r="G90" s="1652" t="str">
        <f>Rechnungen!K425</f>
        <v>keine Wärmerückgewinnung vorhanden</v>
      </c>
      <c r="H90" s="1652"/>
      <c r="I90" s="1652"/>
      <c r="J90" s="1652"/>
      <c r="K90" s="1652"/>
      <c r="L90" s="1652"/>
      <c r="M90" s="1652"/>
      <c r="N90" s="1652"/>
      <c r="O90" s="1652"/>
      <c r="P90" s="1653"/>
      <c r="Q90" s="958"/>
      <c r="R90" s="958"/>
      <c r="S90" s="958"/>
      <c r="T90" s="958"/>
    </row>
    <row r="91" spans="1:20" s="983" customFormat="1" ht="14" x14ac:dyDescent="0.3">
      <c r="A91" s="1646"/>
      <c r="B91" s="1647"/>
      <c r="C91" s="1647"/>
      <c r="D91" s="1647"/>
      <c r="E91" s="1657" t="s">
        <v>1203</v>
      </c>
      <c r="F91" s="1658"/>
      <c r="G91" s="1652" t="str">
        <f>Rechnungen!K439</f>
        <v>keine Wärmepumpe vorhanden</v>
      </c>
      <c r="H91" s="1652"/>
      <c r="I91" s="1652"/>
      <c r="J91" s="1652"/>
      <c r="K91" s="1652"/>
      <c r="L91" s="1652"/>
      <c r="M91" s="1652"/>
      <c r="N91" s="1652"/>
      <c r="O91" s="1652"/>
      <c r="P91" s="1653"/>
      <c r="Q91" s="958"/>
      <c r="R91" s="958"/>
      <c r="S91" s="958"/>
      <c r="T91" s="958"/>
    </row>
    <row r="92" spans="1:20" s="983" customFormat="1" ht="14" x14ac:dyDescent="0.3">
      <c r="A92" s="1646"/>
      <c r="B92" s="1647"/>
      <c r="C92" s="1647"/>
      <c r="D92" s="1647"/>
      <c r="E92" s="1657" t="s">
        <v>1205</v>
      </c>
      <c r="F92" s="1658"/>
      <c r="G92" s="1652" t="str">
        <f>IF(Rechnungen!K446=Rechnungen!K452,Rechnungen!K446,Rechnungen!K446&amp;", "&amp;Rechnungen!K452)</f>
        <v>kein Heizregister vorhanden</v>
      </c>
      <c r="H92" s="1652"/>
      <c r="I92" s="1652"/>
      <c r="J92" s="1652"/>
      <c r="K92" s="1652"/>
      <c r="L92" s="1652"/>
      <c r="M92" s="1652"/>
      <c r="N92" s="1652"/>
      <c r="O92" s="1652"/>
      <c r="P92" s="1653"/>
      <c r="Q92" s="958"/>
      <c r="R92" s="958"/>
      <c r="S92" s="958"/>
      <c r="T92" s="958"/>
    </row>
    <row r="93" spans="1:20" s="983" customFormat="1" ht="14.5" thickBot="1" x14ac:dyDescent="0.35">
      <c r="A93" s="1646"/>
      <c r="B93" s="1647"/>
      <c r="C93" s="1647"/>
      <c r="D93" s="1647"/>
      <c r="E93" s="1657" t="s">
        <v>1204</v>
      </c>
      <c r="F93" s="1658"/>
      <c r="G93" s="1652" t="str">
        <f>Rechnungen!K433</f>
        <v>keine Lüftungsanlage vorhanden</v>
      </c>
      <c r="H93" s="1652"/>
      <c r="I93" s="1652"/>
      <c r="J93" s="1652"/>
      <c r="K93" s="1652"/>
      <c r="L93" s="1652"/>
      <c r="M93" s="1652"/>
      <c r="N93" s="1652"/>
      <c r="O93" s="1652"/>
      <c r="P93" s="1653"/>
      <c r="Q93" s="958"/>
      <c r="R93" s="958"/>
      <c r="S93" s="958"/>
      <c r="T93" s="958"/>
    </row>
    <row r="94" spans="1:20" s="1027" customFormat="1" x14ac:dyDescent="0.3">
      <c r="A94" s="1094"/>
      <c r="B94" s="1095"/>
      <c r="C94" s="1095"/>
      <c r="D94" s="1096"/>
      <c r="E94" s="1106" t="s">
        <v>403</v>
      </c>
      <c r="F94" s="1107"/>
      <c r="G94" s="1108"/>
      <c r="H94" s="1108"/>
      <c r="I94" s="1108"/>
      <c r="J94" s="1109"/>
      <c r="K94" s="1110" t="s">
        <v>400</v>
      </c>
      <c r="L94" s="1111"/>
      <c r="M94" s="1108"/>
      <c r="N94" s="1108"/>
      <c r="O94" s="1108"/>
      <c r="P94" s="1109"/>
      <c r="Q94" s="1097"/>
      <c r="R94" s="1097"/>
      <c r="S94" s="1097"/>
      <c r="T94" s="1097"/>
    </row>
    <row r="95" spans="1:20" s="983" customFormat="1" ht="16" x14ac:dyDescent="0.3">
      <c r="A95" s="816" t="s">
        <v>438</v>
      </c>
      <c r="B95" s="951"/>
      <c r="C95" s="951"/>
      <c r="D95" s="951"/>
      <c r="E95" s="1101" t="s">
        <v>1128</v>
      </c>
      <c r="F95" s="992"/>
      <c r="G95" s="1102">
        <f>IF(Rechnungen!B644="FEHLER","k.A.",G98+G101+G104-G96-G97-Rechnungen!C400)</f>
        <v>0</v>
      </c>
      <c r="H95" s="1102"/>
      <c r="I95" s="1102" t="s">
        <v>365</v>
      </c>
      <c r="J95" s="988"/>
      <c r="K95" s="1099" t="s">
        <v>443</v>
      </c>
      <c r="L95" s="1100"/>
      <c r="M95" s="1102" t="s">
        <v>443</v>
      </c>
      <c r="N95" s="1102"/>
      <c r="O95" s="1102" t="s">
        <v>443</v>
      </c>
      <c r="P95" s="988"/>
      <c r="Q95" s="958"/>
      <c r="R95" s="958"/>
      <c r="S95" s="958"/>
      <c r="T95" s="958"/>
    </row>
    <row r="96" spans="1:20" s="983" customFormat="1" ht="16" x14ac:dyDescent="0.3">
      <c r="A96" s="1069" t="s">
        <v>439</v>
      </c>
      <c r="E96" s="957" t="s">
        <v>1129</v>
      </c>
      <c r="F96" s="958"/>
      <c r="G96" s="1070">
        <f>IF(Rechnungen!B644="FEHLER","k.A.",Rechnungen!F412)</f>
        <v>0</v>
      </c>
      <c r="H96" s="1070"/>
      <c r="I96" s="1070" t="s">
        <v>365</v>
      </c>
      <c r="J96" s="1072"/>
      <c r="K96" s="1069" t="s">
        <v>1130</v>
      </c>
      <c r="M96" s="1070">
        <f>IF(Rechnungen!B644="FEHLER","k.A.",0)</f>
        <v>0</v>
      </c>
      <c r="N96" s="1070"/>
      <c r="O96" s="1070" t="s">
        <v>365</v>
      </c>
      <c r="P96" s="1072"/>
      <c r="Q96" s="958"/>
      <c r="R96" s="958"/>
      <c r="S96" s="958"/>
      <c r="T96" s="958"/>
    </row>
    <row r="97" spans="1:20" s="983" customFormat="1" ht="16" x14ac:dyDescent="0.3">
      <c r="A97" s="1099" t="s">
        <v>367</v>
      </c>
      <c r="B97" s="1100"/>
      <c r="C97" s="1100"/>
      <c r="D97" s="1100"/>
      <c r="E97" s="1101" t="s">
        <v>1131</v>
      </c>
      <c r="F97" s="992"/>
      <c r="G97" s="1102">
        <f>IF(Rechnungen!B644="FEHLER","k.A.",Rechnungen!H421)</f>
        <v>0</v>
      </c>
      <c r="H97" s="1102"/>
      <c r="I97" s="1102" t="s">
        <v>365</v>
      </c>
      <c r="J97" s="988"/>
      <c r="K97" s="1099" t="s">
        <v>1132</v>
      </c>
      <c r="L97" s="1100"/>
      <c r="M97" s="1102">
        <f>IF(Rechnungen!B644="FEHLER","k.A.",0)</f>
        <v>0</v>
      </c>
      <c r="N97" s="1102"/>
      <c r="O97" s="1102" t="s">
        <v>365</v>
      </c>
      <c r="P97" s="988"/>
      <c r="Q97" s="958"/>
      <c r="R97" s="958"/>
      <c r="S97" s="958"/>
      <c r="T97" s="958"/>
    </row>
    <row r="98" spans="1:20" s="983" customFormat="1" ht="16" x14ac:dyDescent="0.3">
      <c r="A98" s="1069" t="s">
        <v>424</v>
      </c>
      <c r="E98" s="957" t="s">
        <v>1133</v>
      </c>
      <c r="F98" s="958"/>
      <c r="G98" s="1070">
        <f>IF(Rechnungen!B644="FEHLER","k.A.",Rechnungen!D429)</f>
        <v>0</v>
      </c>
      <c r="H98" s="1070"/>
      <c r="I98" s="1070" t="s">
        <v>365</v>
      </c>
      <c r="J98" s="1072"/>
      <c r="K98" s="1073"/>
      <c r="L98" s="1074"/>
      <c r="M98" s="1004"/>
      <c r="N98" s="1004"/>
      <c r="O98" s="1004"/>
      <c r="P98" s="1076"/>
      <c r="Q98" s="958"/>
      <c r="R98" s="958"/>
      <c r="S98" s="958"/>
      <c r="T98" s="958"/>
    </row>
    <row r="99" spans="1:20" s="983" customFormat="1" ht="16" x14ac:dyDescent="0.3">
      <c r="A99" s="1069" t="s">
        <v>712</v>
      </c>
      <c r="E99" s="957" t="s">
        <v>1134</v>
      </c>
      <c r="F99" s="958"/>
      <c r="G99" s="1070">
        <f>IF(Rechnungen!B644="FEHLER","k.A.",0)</f>
        <v>0</v>
      </c>
      <c r="H99" s="1070"/>
      <c r="I99" s="1070" t="s">
        <v>443</v>
      </c>
      <c r="J99" s="1072"/>
      <c r="K99" s="1069"/>
      <c r="M99" s="1070"/>
      <c r="N99" s="1070"/>
      <c r="O99" s="1070"/>
      <c r="P99" s="1072"/>
      <c r="Q99" s="958"/>
      <c r="R99" s="958"/>
      <c r="S99" s="958"/>
      <c r="T99" s="958"/>
    </row>
    <row r="100" spans="1:20" s="983" customFormat="1" ht="16" x14ac:dyDescent="0.3">
      <c r="A100" s="1069"/>
      <c r="E100" s="957" t="s">
        <v>1121</v>
      </c>
      <c r="F100" s="958"/>
      <c r="G100" s="1070">
        <f>IF(Rechnungen!B644="FEHLER","k.A.",0)</f>
        <v>0</v>
      </c>
      <c r="H100" s="1070"/>
      <c r="I100" s="1070" t="s">
        <v>443</v>
      </c>
      <c r="J100" s="1072"/>
      <c r="K100" s="1069"/>
      <c r="M100" s="1070"/>
      <c r="N100" s="1070"/>
      <c r="O100" s="1070"/>
      <c r="P100" s="1072"/>
      <c r="Q100" s="958"/>
      <c r="R100" s="958"/>
      <c r="S100" s="958"/>
      <c r="T100" s="958"/>
    </row>
    <row r="101" spans="1:20" s="983" customFormat="1" ht="16" x14ac:dyDescent="0.3">
      <c r="A101" s="1073" t="s">
        <v>424</v>
      </c>
      <c r="B101" s="1074"/>
      <c r="C101" s="1074"/>
      <c r="D101" s="1074"/>
      <c r="E101" s="1075" t="s">
        <v>1135</v>
      </c>
      <c r="F101" s="997"/>
      <c r="G101" s="1004">
        <f>IF(Rechnungen!B644="FEHLER","k.A.",Rechnungen!F442)</f>
        <v>0</v>
      </c>
      <c r="H101" s="1004"/>
      <c r="I101" s="1004" t="s">
        <v>365</v>
      </c>
      <c r="J101" s="1076"/>
      <c r="K101" s="1069" t="s">
        <v>1136</v>
      </c>
      <c r="M101" s="1070">
        <f>IF(Rechnungen!B644="FEHLER","k.A.",Rechnungen!F436)</f>
        <v>0</v>
      </c>
      <c r="N101" s="1070"/>
      <c r="O101" s="1070" t="s">
        <v>365</v>
      </c>
      <c r="P101" s="1072"/>
      <c r="Q101" s="958"/>
      <c r="R101" s="958"/>
      <c r="S101" s="958"/>
      <c r="T101" s="958"/>
    </row>
    <row r="102" spans="1:20" s="983" customFormat="1" ht="16" x14ac:dyDescent="0.3">
      <c r="A102" s="1069" t="s">
        <v>713</v>
      </c>
      <c r="E102" s="957" t="s">
        <v>1137</v>
      </c>
      <c r="F102" s="958"/>
      <c r="G102" s="1070">
        <f>IF(Rechnungen!B644="FEHLER","k.A.",IF(G101=0,0,Rechnungen!G442))</f>
        <v>0</v>
      </c>
      <c r="H102" s="1070"/>
      <c r="I102" s="1070" t="s">
        <v>443</v>
      </c>
      <c r="J102" s="1072"/>
      <c r="K102" s="1069" t="s">
        <v>443</v>
      </c>
      <c r="M102" s="1070" t="s">
        <v>443</v>
      </c>
      <c r="N102" s="1070"/>
      <c r="O102" s="1070" t="s">
        <v>443</v>
      </c>
      <c r="P102" s="1072"/>
      <c r="Q102" s="958"/>
      <c r="R102" s="958"/>
      <c r="S102" s="958"/>
      <c r="T102" s="958"/>
    </row>
    <row r="103" spans="1:20" s="983" customFormat="1" ht="16" x14ac:dyDescent="0.3">
      <c r="A103" s="816"/>
      <c r="B103" s="951"/>
      <c r="C103" s="951"/>
      <c r="D103" s="951"/>
      <c r="E103" s="1077" t="s">
        <v>1121</v>
      </c>
      <c r="F103" s="953"/>
      <c r="G103" s="1098">
        <f>IF(Rechnungen!B644="FEHLER","k.A.",IF(G101=0,0,IF(M101=0,0,FP!B12)))</f>
        <v>0</v>
      </c>
      <c r="H103" s="1098"/>
      <c r="I103" s="1098" t="s">
        <v>443</v>
      </c>
      <c r="J103" s="1078"/>
      <c r="K103" s="1069" t="s">
        <v>1121</v>
      </c>
      <c r="M103" s="1070">
        <f>IF(Rechnungen!B644="FEHLER","k.A.",IF(M101=0,0,FP!B12))</f>
        <v>0</v>
      </c>
      <c r="N103" s="1070"/>
      <c r="O103" s="1070" t="s">
        <v>443</v>
      </c>
      <c r="P103" s="1072"/>
      <c r="Q103" s="958"/>
      <c r="R103" s="958"/>
      <c r="S103" s="958"/>
      <c r="T103" s="958"/>
    </row>
    <row r="104" spans="1:20" s="983" customFormat="1" ht="16" x14ac:dyDescent="0.3">
      <c r="A104" s="1069" t="s">
        <v>424</v>
      </c>
      <c r="E104" s="957" t="s">
        <v>1138</v>
      </c>
      <c r="F104" s="958"/>
      <c r="G104" s="1070">
        <f>IF(Rechnungen!B644="FEHLER","k.A.",Rechnungen!F449)</f>
        <v>0</v>
      </c>
      <c r="H104" s="1070"/>
      <c r="I104" s="1070" t="s">
        <v>365</v>
      </c>
      <c r="J104" s="1072"/>
      <c r="K104" s="1069"/>
      <c r="M104" s="1070"/>
      <c r="N104" s="1070"/>
      <c r="O104" s="1070"/>
      <c r="P104" s="1072"/>
      <c r="Q104" s="958"/>
      <c r="R104" s="958"/>
      <c r="S104" s="958"/>
      <c r="T104" s="958"/>
    </row>
    <row r="105" spans="1:20" s="983" customFormat="1" ht="16" x14ac:dyDescent="0.3">
      <c r="A105" s="1069" t="s">
        <v>714</v>
      </c>
      <c r="E105" s="957" t="s">
        <v>1139</v>
      </c>
      <c r="F105" s="958"/>
      <c r="G105" s="1070">
        <f>IF(Rechnungen!B644="FEHLER","k.A.",IF(G104=0,0,Rechnungen!F455))</f>
        <v>0</v>
      </c>
      <c r="H105" s="1070"/>
      <c r="I105" s="1070" t="s">
        <v>443</v>
      </c>
      <c r="J105" s="1072"/>
      <c r="K105" s="1069"/>
      <c r="M105" s="1070"/>
      <c r="N105" s="1070"/>
      <c r="O105" s="1070"/>
      <c r="P105" s="1072"/>
      <c r="Q105" s="958"/>
      <c r="R105" s="958"/>
      <c r="S105" s="958"/>
      <c r="T105" s="958"/>
    </row>
    <row r="106" spans="1:20" s="983" customFormat="1" ht="16" x14ac:dyDescent="0.3">
      <c r="A106" s="1069"/>
      <c r="E106" s="957" t="s">
        <v>1121</v>
      </c>
      <c r="F106" s="958"/>
      <c r="G106" s="1070">
        <f>IF(Rechnungen!B644="FEHLER","k.A.",IF(G104=0,0,Rechnungen!E455))</f>
        <v>0</v>
      </c>
      <c r="H106" s="1070"/>
      <c r="I106" s="1070" t="s">
        <v>443</v>
      </c>
      <c r="J106" s="1072"/>
      <c r="K106" s="816"/>
      <c r="L106" s="951"/>
      <c r="M106" s="1098"/>
      <c r="N106" s="1098"/>
      <c r="O106" s="1098"/>
      <c r="P106" s="1078"/>
      <c r="Q106" s="958"/>
      <c r="R106" s="958"/>
      <c r="S106" s="958"/>
      <c r="T106" s="958"/>
    </row>
    <row r="107" spans="1:20" s="983" customFormat="1" ht="16" x14ac:dyDescent="0.3">
      <c r="A107" s="1073" t="s">
        <v>521</v>
      </c>
      <c r="B107" s="1074"/>
      <c r="C107" s="1074"/>
      <c r="D107" s="1074"/>
      <c r="E107" s="1075" t="s">
        <v>1140</v>
      </c>
      <c r="F107" s="997"/>
      <c r="G107" s="1004">
        <f>IF(Rechnungen!B644="FEHLER","k.A.",G98*G99+G101*G102+G104*G105)</f>
        <v>0</v>
      </c>
      <c r="H107" s="1004"/>
      <c r="I107" s="1004" t="s">
        <v>365</v>
      </c>
      <c r="J107" s="1076"/>
      <c r="K107" s="1073" t="s">
        <v>1141</v>
      </c>
      <c r="L107" s="1074"/>
      <c r="M107" s="1004">
        <f>IF(Rechnungen!B644="FEHLER","k.A.",M101+M97+M96)</f>
        <v>0</v>
      </c>
      <c r="N107" s="1004"/>
      <c r="O107" s="1004" t="s">
        <v>365</v>
      </c>
      <c r="P107" s="1076"/>
      <c r="Q107" s="958"/>
      <c r="R107" s="958"/>
      <c r="S107" s="958"/>
      <c r="T107" s="958"/>
    </row>
    <row r="108" spans="1:20" s="983" customFormat="1" ht="16.5" thickBot="1" x14ac:dyDescent="0.35">
      <c r="A108" s="1079" t="s">
        <v>522</v>
      </c>
      <c r="B108" s="1080"/>
      <c r="C108" s="1080"/>
      <c r="D108" s="1080"/>
      <c r="E108" s="1083" t="s">
        <v>1142</v>
      </c>
      <c r="F108" s="1081"/>
      <c r="G108" s="1082">
        <f>IF(Rechnungen!B644="FEHLER","k.A.",G98*G99*G100+G101*G102*G103+G104*G105*G106)</f>
        <v>0</v>
      </c>
      <c r="H108" s="1082"/>
      <c r="I108" s="1082" t="s">
        <v>365</v>
      </c>
      <c r="J108" s="1085"/>
      <c r="K108" s="1079" t="s">
        <v>1143</v>
      </c>
      <c r="L108" s="1080"/>
      <c r="M108" s="1082">
        <f>IF(Rechnungen!B644="FEHLER","k.A.",(M96+M97+M101)*M103)</f>
        <v>0</v>
      </c>
      <c r="N108" s="1082"/>
      <c r="O108" s="1082" t="s">
        <v>365</v>
      </c>
      <c r="P108" s="1085"/>
      <c r="Q108" s="958"/>
      <c r="R108" s="958"/>
      <c r="S108" s="958"/>
      <c r="T108" s="958"/>
    </row>
    <row r="109" spans="1:20" s="1010" customFormat="1" ht="28.5" thickBot="1" x14ac:dyDescent="0.35">
      <c r="A109" s="1087" t="s">
        <v>1161</v>
      </c>
      <c r="B109" s="1088"/>
      <c r="C109" s="1088"/>
      <c r="D109" s="1088"/>
      <c r="E109" s="1006"/>
      <c r="F109" s="1006"/>
      <c r="G109" s="970"/>
      <c r="H109" s="970"/>
      <c r="I109" s="970"/>
      <c r="J109" s="1006"/>
      <c r="K109" s="1007"/>
      <c r="L109" s="1007"/>
      <c r="M109" s="970"/>
      <c r="N109" s="970"/>
      <c r="O109" s="970"/>
      <c r="P109" s="1207" t="s">
        <v>705</v>
      </c>
      <c r="Q109" s="1009"/>
      <c r="R109" s="1009"/>
      <c r="S109" s="1009"/>
      <c r="T109" s="1009"/>
    </row>
    <row r="110" spans="1:20" s="983" customFormat="1" ht="14" x14ac:dyDescent="0.3">
      <c r="A110" s="1644" t="s">
        <v>1180</v>
      </c>
      <c r="B110" s="1645"/>
      <c r="C110" s="1645"/>
      <c r="D110" s="1645"/>
      <c r="E110" s="1656" t="s">
        <v>1201</v>
      </c>
      <c r="F110" s="1656"/>
      <c r="G110" s="1650" t="str">
        <f>Rechnungen!K464</f>
        <v>Wasserheizung; freie Heizflächen; Anordnung Außenwandbereich; Xp=2K</v>
      </c>
      <c r="H110" s="1650"/>
      <c r="I110" s="1650"/>
      <c r="J110" s="1650"/>
      <c r="K110" s="1650"/>
      <c r="L110" s="1650"/>
      <c r="M110" s="1650"/>
      <c r="N110" s="1650"/>
      <c r="O110" s="1650"/>
      <c r="P110" s="1651"/>
      <c r="Q110" s="958"/>
      <c r="R110" s="958"/>
      <c r="S110" s="958"/>
      <c r="T110" s="958"/>
    </row>
    <row r="111" spans="1:20" s="983" customFormat="1" ht="14" x14ac:dyDescent="0.3">
      <c r="A111" s="1646"/>
      <c r="B111" s="1647"/>
      <c r="C111" s="1647"/>
      <c r="D111" s="1647"/>
      <c r="E111" s="1657" t="s">
        <v>1194</v>
      </c>
      <c r="F111" s="1657"/>
      <c r="G111" s="1652" t="str">
        <f>Rechnungen!K493</f>
        <v>Verteilung im unbeheizten Keller; Steigestränge außenliegend</v>
      </c>
      <c r="H111" s="1652"/>
      <c r="I111" s="1652"/>
      <c r="J111" s="1652"/>
      <c r="K111" s="1652"/>
      <c r="L111" s="1652"/>
      <c r="M111" s="1652"/>
      <c r="N111" s="1652"/>
      <c r="O111" s="1652"/>
      <c r="P111" s="1653"/>
      <c r="Q111" s="958"/>
      <c r="R111" s="958"/>
      <c r="S111" s="958"/>
      <c r="T111" s="958"/>
    </row>
    <row r="112" spans="1:20" s="983" customFormat="1" ht="14" x14ac:dyDescent="0.3">
      <c r="A112" s="1646"/>
      <c r="B112" s="1647"/>
      <c r="C112" s="1647"/>
      <c r="D112" s="1647"/>
      <c r="E112" s="1657" t="s">
        <v>1206</v>
      </c>
      <c r="F112" s="1657"/>
      <c r="G112" s="1652" t="str">
        <f>Rechnungen!K486</f>
        <v>90/70°C</v>
      </c>
      <c r="H112" s="1652"/>
      <c r="I112" s="1652"/>
      <c r="J112" s="1652"/>
      <c r="K112" s="1652"/>
      <c r="L112" s="1652"/>
      <c r="M112" s="1652"/>
      <c r="N112" s="1652"/>
      <c r="O112" s="1652"/>
      <c r="P112" s="1653"/>
      <c r="Q112" s="958"/>
      <c r="R112" s="958"/>
      <c r="S112" s="958"/>
      <c r="T112" s="958"/>
    </row>
    <row r="113" spans="1:20" s="983" customFormat="1" ht="14" x14ac:dyDescent="0.3">
      <c r="A113" s="1646"/>
      <c r="B113" s="1647"/>
      <c r="C113" s="1647"/>
      <c r="D113" s="1647"/>
      <c r="E113" s="1657" t="s">
        <v>1207</v>
      </c>
      <c r="F113" s="1657"/>
      <c r="G113" s="1652" t="str">
        <f>Rechnungen!K505</f>
        <v>ungeregelte Pumpe</v>
      </c>
      <c r="H113" s="1652"/>
      <c r="I113" s="1652"/>
      <c r="J113" s="1652"/>
      <c r="K113" s="1652"/>
      <c r="L113" s="1652"/>
      <c r="M113" s="1652"/>
      <c r="N113" s="1652"/>
      <c r="O113" s="1652"/>
      <c r="P113" s="1653"/>
      <c r="Q113" s="958"/>
      <c r="R113" s="958"/>
      <c r="S113" s="958"/>
      <c r="T113" s="958"/>
    </row>
    <row r="114" spans="1:20" s="983" customFormat="1" ht="14" x14ac:dyDescent="0.3">
      <c r="A114" s="1646"/>
      <c r="B114" s="1647"/>
      <c r="C114" s="1647"/>
      <c r="D114" s="1647"/>
      <c r="E114" s="1657" t="s">
        <v>1195</v>
      </c>
      <c r="F114" s="1657"/>
      <c r="G114" s="1652" t="str">
        <f>Rechnungen!K511</f>
        <v>kein Pufferspeicher vorhanden</v>
      </c>
      <c r="H114" s="1652"/>
      <c r="I114" s="1652"/>
      <c r="J114" s="1652"/>
      <c r="K114" s="1652"/>
      <c r="L114" s="1652"/>
      <c r="M114" s="1652"/>
      <c r="N114" s="1652"/>
      <c r="O114" s="1652"/>
      <c r="P114" s="1653"/>
      <c r="Q114" s="958"/>
      <c r="R114" s="958"/>
      <c r="S114" s="958"/>
      <c r="T114" s="958"/>
    </row>
    <row r="115" spans="1:20" s="983" customFormat="1" ht="14" x14ac:dyDescent="0.3">
      <c r="A115" s="1646"/>
      <c r="B115" s="1647"/>
      <c r="C115" s="1647"/>
      <c r="D115" s="1647"/>
      <c r="E115" s="1657" t="s">
        <v>1196</v>
      </c>
      <c r="F115" s="1657"/>
      <c r="G115" s="1652" t="str">
        <f>Rechnungen!K521</f>
        <v>keine Solaranlage vorhanden</v>
      </c>
      <c r="H115" s="1652"/>
      <c r="I115" s="1652"/>
      <c r="J115" s="1652"/>
      <c r="K115" s="1652"/>
      <c r="L115" s="1652"/>
      <c r="M115" s="1652"/>
      <c r="N115" s="1652"/>
      <c r="O115" s="1652"/>
      <c r="P115" s="1653"/>
      <c r="Q115" s="958"/>
      <c r="R115" s="958"/>
      <c r="S115" s="958"/>
      <c r="T115" s="958"/>
    </row>
    <row r="116" spans="1:20" s="983" customFormat="1" ht="14" x14ac:dyDescent="0.3">
      <c r="A116" s="1646"/>
      <c r="B116" s="1647"/>
      <c r="C116" s="1647"/>
      <c r="D116" s="1647"/>
      <c r="E116" s="1657" t="s">
        <v>1197</v>
      </c>
      <c r="F116" s="1658"/>
      <c r="G116" s="1652" t="str">
        <f>Rechnungen!K537&amp;", "&amp;Rechnungen!K564</f>
        <v>Konstanttemperaturkessel; Aufstellung im beheizten Bereich, Erdgas</v>
      </c>
      <c r="H116" s="1652"/>
      <c r="I116" s="1652"/>
      <c r="J116" s="1652"/>
      <c r="K116" s="1652"/>
      <c r="L116" s="1652"/>
      <c r="M116" s="1652"/>
      <c r="N116" s="1652"/>
      <c r="O116" s="1652"/>
      <c r="P116" s="1653"/>
      <c r="Q116" s="958"/>
      <c r="R116" s="958"/>
      <c r="S116" s="958"/>
      <c r="T116" s="958"/>
    </row>
    <row r="117" spans="1:20" s="983" customFormat="1" ht="14.5" thickBot="1" x14ac:dyDescent="0.35">
      <c r="A117" s="1648"/>
      <c r="B117" s="1649"/>
      <c r="C117" s="1649"/>
      <c r="D117" s="1649"/>
      <c r="E117" s="1659" t="s">
        <v>1198</v>
      </c>
      <c r="F117" s="1660"/>
      <c r="G117" s="1654" t="str">
        <f>Rechnungen!K580</f>
        <v>kein weiterer Erzeuger vorhanden</v>
      </c>
      <c r="H117" s="1654"/>
      <c r="I117" s="1654"/>
      <c r="J117" s="1654"/>
      <c r="K117" s="1654"/>
      <c r="L117" s="1654"/>
      <c r="M117" s="1654"/>
      <c r="N117" s="1654"/>
      <c r="O117" s="1654"/>
      <c r="P117" s="1655"/>
      <c r="Q117" s="958"/>
      <c r="R117" s="958"/>
      <c r="S117" s="958"/>
      <c r="T117" s="958"/>
    </row>
    <row r="118" spans="1:20" s="1027" customFormat="1" x14ac:dyDescent="0.3">
      <c r="A118" s="1112"/>
      <c r="B118" s="1113"/>
      <c r="C118" s="1113"/>
      <c r="D118" s="1114"/>
      <c r="E118" s="1201" t="s">
        <v>403</v>
      </c>
      <c r="F118" s="1202"/>
      <c r="G118" s="1203"/>
      <c r="H118" s="1203"/>
      <c r="I118" s="1203"/>
      <c r="J118" s="1204"/>
      <c r="K118" s="1205" t="s">
        <v>400</v>
      </c>
      <c r="L118" s="1206"/>
      <c r="M118" s="1203"/>
      <c r="N118" s="1203"/>
      <c r="O118" s="1203"/>
      <c r="P118" s="1204"/>
      <c r="Q118" s="1097"/>
      <c r="R118" s="1097"/>
      <c r="S118" s="1097"/>
      <c r="T118" s="1097"/>
    </row>
    <row r="119" spans="1:20" s="983" customFormat="1" ht="16" x14ac:dyDescent="0.3">
      <c r="A119" s="816" t="s">
        <v>438</v>
      </c>
      <c r="B119" s="951"/>
      <c r="C119" s="951"/>
      <c r="D119" s="951"/>
      <c r="E119" s="1101" t="s">
        <v>1111</v>
      </c>
      <c r="F119" s="992"/>
      <c r="G119" s="1102">
        <f>IF(Rechnungen!B644="FEHLER","k.A.",Rechnungen!H3)</f>
        <v>63.749645630919829</v>
      </c>
      <c r="H119" s="1102"/>
      <c r="I119" s="1102" t="s">
        <v>365</v>
      </c>
      <c r="J119" s="988"/>
      <c r="K119" s="1115" t="s">
        <v>443</v>
      </c>
      <c r="L119" s="1116"/>
      <c r="M119" s="1117" t="s">
        <v>443</v>
      </c>
      <c r="N119" s="1117"/>
      <c r="O119" s="1117" t="s">
        <v>443</v>
      </c>
      <c r="P119" s="988"/>
      <c r="Q119" s="958"/>
      <c r="R119" s="958"/>
      <c r="S119" s="958"/>
      <c r="T119" s="958"/>
    </row>
    <row r="120" spans="1:20" s="983" customFormat="1" ht="16" x14ac:dyDescent="0.3">
      <c r="A120" s="1069" t="s">
        <v>518</v>
      </c>
      <c r="E120" s="957" t="s">
        <v>1144</v>
      </c>
      <c r="F120" s="958"/>
      <c r="G120" s="1070">
        <f>IF(Rechnungen!B644="FEHLER","k.A.",Rechnungen!G281)</f>
        <v>3.4</v>
      </c>
      <c r="H120" s="1070"/>
      <c r="I120" s="1070" t="s">
        <v>365</v>
      </c>
      <c r="J120" s="1072"/>
      <c r="K120" s="1118" t="s">
        <v>443</v>
      </c>
      <c r="L120" s="547"/>
      <c r="M120" s="1119" t="s">
        <v>443</v>
      </c>
      <c r="N120" s="1119"/>
      <c r="O120" s="1119" t="s">
        <v>443</v>
      </c>
      <c r="P120" s="1072"/>
      <c r="Q120" s="958"/>
      <c r="R120" s="958"/>
      <c r="S120" s="958"/>
      <c r="T120" s="958"/>
    </row>
    <row r="121" spans="1:20" s="983" customFormat="1" ht="16" x14ac:dyDescent="0.3">
      <c r="A121" s="1069"/>
      <c r="E121" s="957" t="s">
        <v>1145</v>
      </c>
      <c r="F121" s="958"/>
      <c r="G121" s="1070">
        <f>IF(Rechnungen!B644="FEHLER","k.A.",Rechnungen!G298+Rechnungen!G359)</f>
        <v>0</v>
      </c>
      <c r="H121" s="1070"/>
      <c r="I121" s="1070" t="s">
        <v>365</v>
      </c>
      <c r="J121" s="1072"/>
      <c r="K121" s="1118" t="s">
        <v>443</v>
      </c>
      <c r="L121" s="547"/>
      <c r="M121" s="1119" t="s">
        <v>443</v>
      </c>
      <c r="N121" s="1119"/>
      <c r="O121" s="1119" t="s">
        <v>443</v>
      </c>
      <c r="P121" s="1072"/>
      <c r="Q121" s="958"/>
      <c r="R121" s="958"/>
      <c r="S121" s="958"/>
      <c r="T121" s="958"/>
    </row>
    <row r="122" spans="1:20" s="983" customFormat="1" ht="16" x14ac:dyDescent="0.3">
      <c r="A122" s="1069"/>
      <c r="E122" s="957" t="s">
        <v>1128</v>
      </c>
      <c r="F122" s="958"/>
      <c r="G122" s="1070">
        <f>IF(Rechnungen!B644="FEHLER","k.A.",G95)</f>
        <v>0</v>
      </c>
      <c r="H122" s="1070"/>
      <c r="I122" s="1070" t="s">
        <v>365</v>
      </c>
      <c r="J122" s="1072"/>
      <c r="K122" s="1118" t="s">
        <v>443</v>
      </c>
      <c r="L122" s="547"/>
      <c r="M122" s="1119" t="s">
        <v>443</v>
      </c>
      <c r="N122" s="1119"/>
      <c r="O122" s="1119" t="s">
        <v>443</v>
      </c>
      <c r="P122" s="1072"/>
      <c r="Q122" s="958"/>
      <c r="R122" s="958"/>
      <c r="S122" s="958"/>
      <c r="T122" s="958"/>
    </row>
    <row r="123" spans="1:20" s="983" customFormat="1" ht="16" x14ac:dyDescent="0.3">
      <c r="A123" s="1069"/>
      <c r="E123" s="957" t="s">
        <v>1255</v>
      </c>
      <c r="F123" s="958"/>
      <c r="G123" s="1070">
        <f>IF(Rechnungen!B644="FEHLER","k.A.",G119-G120-G121-G122)</f>
        <v>60.349645630919831</v>
      </c>
      <c r="H123" s="1070"/>
      <c r="I123" s="1070" t="s">
        <v>365</v>
      </c>
      <c r="J123" s="1072"/>
      <c r="K123" s="1118" t="s">
        <v>443</v>
      </c>
      <c r="L123" s="547"/>
      <c r="M123" s="1119" t="s">
        <v>443</v>
      </c>
      <c r="N123" s="1119"/>
      <c r="O123" s="1119" t="s">
        <v>443</v>
      </c>
      <c r="P123" s="1072"/>
      <c r="Q123" s="958"/>
      <c r="R123" s="958"/>
      <c r="S123" s="958"/>
      <c r="T123" s="958"/>
    </row>
    <row r="124" spans="1:20" s="983" customFormat="1" ht="16" x14ac:dyDescent="0.3">
      <c r="A124" s="1099" t="s">
        <v>439</v>
      </c>
      <c r="B124" s="1100"/>
      <c r="C124" s="1100"/>
      <c r="D124" s="1100"/>
      <c r="E124" s="1101" t="s">
        <v>1146</v>
      </c>
      <c r="F124" s="992"/>
      <c r="G124" s="1102">
        <f>IF(Rechnungen!B644="FEHLER","k.A.",Rechnungen!F483)</f>
        <v>3.3</v>
      </c>
      <c r="H124" s="1102"/>
      <c r="I124" s="1102" t="s">
        <v>365</v>
      </c>
      <c r="J124" s="988"/>
      <c r="K124" s="1099" t="s">
        <v>1147</v>
      </c>
      <c r="L124" s="1100"/>
      <c r="M124" s="1102">
        <f>IF(Rechnungen!B644="FEHLER","k.A.",0)</f>
        <v>0</v>
      </c>
      <c r="N124" s="1102"/>
      <c r="O124" s="1102" t="s">
        <v>365</v>
      </c>
      <c r="P124" s="988"/>
      <c r="Q124" s="958"/>
      <c r="R124" s="958"/>
      <c r="S124" s="958"/>
      <c r="T124" s="958"/>
    </row>
    <row r="125" spans="1:20" s="983" customFormat="1" ht="16" x14ac:dyDescent="0.3">
      <c r="A125" s="1069" t="s">
        <v>367</v>
      </c>
      <c r="E125" s="957" t="s">
        <v>1148</v>
      </c>
      <c r="F125" s="958"/>
      <c r="G125" s="1070">
        <f>IF(Rechnungen!B644="FEHLER","k.A.",Rechnungen!F501)</f>
        <v>7.63</v>
      </c>
      <c r="H125" s="1070"/>
      <c r="I125" s="1070" t="s">
        <v>365</v>
      </c>
      <c r="J125" s="1072"/>
      <c r="K125" s="1069" t="s">
        <v>1149</v>
      </c>
      <c r="M125" s="1070">
        <f>IF(Rechnungen!B644="FEHLER","k.A.",Rechnungen!F508)</f>
        <v>0.77</v>
      </c>
      <c r="N125" s="1070"/>
      <c r="O125" s="1070" t="s">
        <v>365</v>
      </c>
      <c r="P125" s="1072"/>
      <c r="Q125" s="958"/>
      <c r="R125" s="958"/>
      <c r="S125" s="958"/>
      <c r="T125" s="958"/>
    </row>
    <row r="126" spans="1:20" s="983" customFormat="1" ht="16" x14ac:dyDescent="0.3">
      <c r="A126" s="1099" t="s">
        <v>399</v>
      </c>
      <c r="B126" s="1100"/>
      <c r="C126" s="1100"/>
      <c r="D126" s="1100"/>
      <c r="E126" s="1101" t="s">
        <v>1150</v>
      </c>
      <c r="F126" s="992"/>
      <c r="G126" s="1102">
        <f>IF(Rechnungen!B644="FEHLER","k.A.",Rechnungen!E517)</f>
        <v>0</v>
      </c>
      <c r="H126" s="1102"/>
      <c r="I126" s="1102" t="s">
        <v>365</v>
      </c>
      <c r="J126" s="988"/>
      <c r="K126" s="1099" t="s">
        <v>1151</v>
      </c>
      <c r="L126" s="1100"/>
      <c r="M126" s="1102">
        <f>IF(Rechnungen!B644="FEHLER","k.A.",Rechnungen!F517)</f>
        <v>0</v>
      </c>
      <c r="N126" s="1102"/>
      <c r="O126" s="1102" t="s">
        <v>365</v>
      </c>
      <c r="P126" s="988"/>
      <c r="Q126" s="958"/>
      <c r="R126" s="958"/>
      <c r="S126" s="958"/>
      <c r="T126" s="958"/>
    </row>
    <row r="127" spans="1:20" s="983" customFormat="1" ht="16" x14ac:dyDescent="0.3">
      <c r="A127" s="1069" t="s">
        <v>424</v>
      </c>
      <c r="E127" s="1075" t="s">
        <v>1152</v>
      </c>
      <c r="F127" s="958"/>
      <c r="G127" s="1070">
        <f>IF(Rechnungen!B644="FEHLER","k.A.",Rechnungen!D533)</f>
        <v>0</v>
      </c>
      <c r="H127" s="1070"/>
      <c r="I127" s="1070" t="s">
        <v>443</v>
      </c>
      <c r="J127" s="1072"/>
      <c r="K127" s="1075" t="s">
        <v>1152</v>
      </c>
      <c r="L127" s="958"/>
      <c r="M127" s="1070">
        <f>IF(Rechnungen!B644="FEHLER","k.A.",G127)</f>
        <v>0</v>
      </c>
      <c r="N127" s="1070"/>
      <c r="O127" s="1070" t="s">
        <v>443</v>
      </c>
      <c r="P127" s="1072"/>
      <c r="Q127" s="958"/>
      <c r="R127" s="958"/>
      <c r="S127" s="958"/>
      <c r="T127" s="958"/>
    </row>
    <row r="128" spans="1:20" s="983" customFormat="1" ht="16" x14ac:dyDescent="0.3">
      <c r="A128" s="1069" t="s">
        <v>707</v>
      </c>
      <c r="E128" s="957" t="s">
        <v>1121</v>
      </c>
      <c r="F128" s="958"/>
      <c r="G128" s="1070">
        <f>IF(Rechnungen!B644="FEHLER","k.A.",Rechnungen!G533)</f>
        <v>0</v>
      </c>
      <c r="H128" s="1070"/>
      <c r="I128" s="1070" t="s">
        <v>443</v>
      </c>
      <c r="J128" s="1072"/>
      <c r="K128" s="957" t="s">
        <v>1121</v>
      </c>
      <c r="L128" s="958"/>
      <c r="M128" s="1070">
        <f>IF(Rechnungen!B644="FEHLER","k.A.",IF(M127=0,0,FP!B12))</f>
        <v>0</v>
      </c>
      <c r="N128" s="1070"/>
      <c r="O128" s="1070" t="s">
        <v>443</v>
      </c>
      <c r="P128" s="1072"/>
      <c r="Q128" s="958"/>
      <c r="R128" s="958"/>
      <c r="S128" s="958"/>
      <c r="T128" s="958"/>
    </row>
    <row r="129" spans="1:20" s="983" customFormat="1" ht="16" x14ac:dyDescent="0.3">
      <c r="A129" s="1069"/>
      <c r="E129" s="1077" t="s">
        <v>1153</v>
      </c>
      <c r="F129" s="958"/>
      <c r="G129" s="1070">
        <f>IF(Rechnungen!B644="FEHLER","k.A.",0)</f>
        <v>0</v>
      </c>
      <c r="H129" s="1070"/>
      <c r="I129" s="1070" t="s">
        <v>443</v>
      </c>
      <c r="J129" s="1072"/>
      <c r="K129" s="1069" t="s">
        <v>1154</v>
      </c>
      <c r="M129" s="1070">
        <f>IF(Rechnungen!B644="FEHLER","k.A.",0)</f>
        <v>0</v>
      </c>
      <c r="N129" s="1070"/>
      <c r="O129" s="1070" t="s">
        <v>365</v>
      </c>
      <c r="P129" s="1072"/>
      <c r="Q129" s="958"/>
      <c r="R129" s="958"/>
      <c r="S129" s="958"/>
      <c r="T129" s="958"/>
    </row>
    <row r="130" spans="1:20" s="983" customFormat="1" ht="16" x14ac:dyDescent="0.3">
      <c r="A130" s="1073" t="s">
        <v>424</v>
      </c>
      <c r="B130" s="1074"/>
      <c r="C130" s="1074"/>
      <c r="D130" s="1074"/>
      <c r="E130" s="1075" t="s">
        <v>1152</v>
      </c>
      <c r="F130" s="997"/>
      <c r="G130" s="1004">
        <f>IF(Rechnungen!B644="FEHLER","k.A.",Rechnungen!E533)</f>
        <v>1</v>
      </c>
      <c r="H130" s="1004"/>
      <c r="I130" s="1004" t="s">
        <v>443</v>
      </c>
      <c r="J130" s="1076"/>
      <c r="K130" s="1075" t="s">
        <v>1152</v>
      </c>
      <c r="L130" s="997"/>
      <c r="M130" s="1004">
        <f>IF(Rechnungen!B644="FEHLER","k.A.",G130)</f>
        <v>1</v>
      </c>
      <c r="N130" s="1004"/>
      <c r="O130" s="1004" t="s">
        <v>443</v>
      </c>
      <c r="P130" s="1076"/>
      <c r="Q130" s="958"/>
      <c r="R130" s="958"/>
      <c r="S130" s="958"/>
      <c r="T130" s="958"/>
    </row>
    <row r="131" spans="1:20" s="983" customFormat="1" ht="16" x14ac:dyDescent="0.3">
      <c r="A131" s="1069" t="s">
        <v>708</v>
      </c>
      <c r="E131" s="957" t="s">
        <v>1121</v>
      </c>
      <c r="F131" s="958"/>
      <c r="G131" s="1070">
        <f>IF(Rechnungen!B644="FEHLER","k.A.",Rechnungen!F577)</f>
        <v>1.1000000000000001</v>
      </c>
      <c r="H131" s="1070"/>
      <c r="I131" s="1070" t="s">
        <v>443</v>
      </c>
      <c r="J131" s="1072"/>
      <c r="K131" s="957" t="s">
        <v>1121</v>
      </c>
      <c r="L131" s="958"/>
      <c r="M131" s="1070">
        <f>IF(Rechnungen!B644="FEHLER","k.A.",IF(M130=0,0,FP!B12))</f>
        <v>1.8</v>
      </c>
      <c r="N131" s="1070"/>
      <c r="O131" s="1070" t="s">
        <v>443</v>
      </c>
      <c r="P131" s="1072"/>
      <c r="Q131" s="958"/>
      <c r="R131" s="958"/>
      <c r="S131" s="958"/>
      <c r="T131" s="958"/>
    </row>
    <row r="132" spans="1:20" s="983" customFormat="1" ht="16" x14ac:dyDescent="0.3">
      <c r="A132" s="816"/>
      <c r="B132" s="951"/>
      <c r="C132" s="951"/>
      <c r="D132" s="951"/>
      <c r="E132" s="1077" t="s">
        <v>1153</v>
      </c>
      <c r="F132" s="953"/>
      <c r="G132" s="1098">
        <f>IF(Rechnungen!B644="FEHLER","k.A.",Rechnungen!F560)</f>
        <v>1.17</v>
      </c>
      <c r="H132" s="1098"/>
      <c r="I132" s="1098" t="s">
        <v>443</v>
      </c>
      <c r="J132" s="1078"/>
      <c r="K132" s="1069" t="s">
        <v>1154</v>
      </c>
      <c r="L132" s="1098"/>
      <c r="M132" s="1098">
        <f>IF(Rechnungen!B644="FEHLER","k.A.",Rechnungen!G560)</f>
        <v>0.46</v>
      </c>
      <c r="N132" s="1098"/>
      <c r="O132" s="1098" t="s">
        <v>365</v>
      </c>
      <c r="P132" s="1078"/>
      <c r="Q132" s="958"/>
      <c r="R132" s="958"/>
      <c r="S132" s="958"/>
      <c r="T132" s="958"/>
    </row>
    <row r="133" spans="1:20" s="983" customFormat="1" ht="16" x14ac:dyDescent="0.3">
      <c r="A133" s="1069" t="s">
        <v>424</v>
      </c>
      <c r="E133" s="1075" t="s">
        <v>1152</v>
      </c>
      <c r="F133" s="958"/>
      <c r="G133" s="1070">
        <f>IF(Rechnungen!B644="FEHLER","k.A.",Rechnungen!F533)</f>
        <v>0</v>
      </c>
      <c r="H133" s="1070"/>
      <c r="I133" s="1070" t="s">
        <v>443</v>
      </c>
      <c r="J133" s="1072"/>
      <c r="K133" s="1075" t="s">
        <v>1152</v>
      </c>
      <c r="L133" s="958"/>
      <c r="M133" s="1070">
        <f>IF(Rechnungen!B644="FEHLER","k.A.",G133)</f>
        <v>0</v>
      </c>
      <c r="N133" s="1070"/>
      <c r="O133" s="1070" t="s">
        <v>443</v>
      </c>
      <c r="P133" s="1072"/>
      <c r="Q133" s="958"/>
      <c r="R133" s="958"/>
      <c r="S133" s="958"/>
      <c r="T133" s="958"/>
    </row>
    <row r="134" spans="1:20" s="983" customFormat="1" ht="16" x14ac:dyDescent="0.3">
      <c r="A134" s="1069" t="s">
        <v>709</v>
      </c>
      <c r="E134" s="957" t="s">
        <v>1121</v>
      </c>
      <c r="F134" s="958"/>
      <c r="G134" s="1070">
        <f>IF(Rechnungen!B644="FEHLER","k.A.",Rechnungen!H533)</f>
        <v>0</v>
      </c>
      <c r="H134" s="1070"/>
      <c r="I134" s="1070" t="s">
        <v>443</v>
      </c>
      <c r="J134" s="1072"/>
      <c r="K134" s="957" t="s">
        <v>1121</v>
      </c>
      <c r="L134" s="958"/>
      <c r="M134" s="1070">
        <f>IF(Rechnungen!B644="FEHLER","k.A.",IF(M133=0,0,FP!B12))</f>
        <v>0</v>
      </c>
      <c r="N134" s="1070"/>
      <c r="O134" s="1070" t="s">
        <v>443</v>
      </c>
      <c r="P134" s="1072"/>
      <c r="Q134" s="958"/>
      <c r="R134" s="958"/>
      <c r="S134" s="958"/>
      <c r="T134" s="958"/>
    </row>
    <row r="135" spans="1:20" s="983" customFormat="1" ht="16" x14ac:dyDescent="0.3">
      <c r="A135" s="1069"/>
      <c r="E135" s="1077" t="s">
        <v>1153</v>
      </c>
      <c r="F135" s="958"/>
      <c r="G135" s="1070">
        <f>IF(Rechnungen!B644="FEHLER","k.A.",Rechnungen!F590)</f>
        <v>0</v>
      </c>
      <c r="H135" s="1070"/>
      <c r="I135" s="1070" t="s">
        <v>443</v>
      </c>
      <c r="J135" s="1072"/>
      <c r="K135" s="1069" t="s">
        <v>1154</v>
      </c>
      <c r="M135" s="1070">
        <f>IF(Rechnungen!B644="FEHLER","k.A.",Rechnungen!G590)</f>
        <v>0</v>
      </c>
      <c r="N135" s="1070"/>
      <c r="O135" s="1070" t="s">
        <v>365</v>
      </c>
      <c r="P135" s="1072"/>
      <c r="Q135" s="958"/>
      <c r="R135" s="958"/>
      <c r="S135" s="958"/>
      <c r="T135" s="958"/>
    </row>
    <row r="136" spans="1:20" s="983" customFormat="1" ht="16" x14ac:dyDescent="0.3">
      <c r="A136" s="1073" t="s">
        <v>521</v>
      </c>
      <c r="B136" s="1074"/>
      <c r="C136" s="1074"/>
      <c r="D136" s="1074"/>
      <c r="E136" s="1075" t="s">
        <v>1155</v>
      </c>
      <c r="F136" s="997"/>
      <c r="G136" s="1004">
        <f>IF(Rechnungen!B644="FEHLER","k.A.",(G123+G124+G125+G126)*(G127*G129+G130*G132+G133*G135))</f>
        <v>83.397185388176197</v>
      </c>
      <c r="H136" s="1004"/>
      <c r="I136" s="1004" t="s">
        <v>365</v>
      </c>
      <c r="J136" s="1076"/>
      <c r="K136" s="1073" t="s">
        <v>1156</v>
      </c>
      <c r="L136" s="1074"/>
      <c r="M136" s="1004">
        <f>IF(Rechnungen!B644="FEHLER","k.A.",(M124+M125+M126)+(M127*M129+M130*M132+M133*M135))</f>
        <v>1.23</v>
      </c>
      <c r="N136" s="1004"/>
      <c r="O136" s="1004" t="s">
        <v>365</v>
      </c>
      <c r="P136" s="1076"/>
      <c r="Q136" s="958"/>
      <c r="R136" s="958"/>
      <c r="S136" s="958"/>
      <c r="T136" s="958"/>
    </row>
    <row r="137" spans="1:20" s="983" customFormat="1" ht="16.5" thickBot="1" x14ac:dyDescent="0.35">
      <c r="A137" s="1079" t="s">
        <v>522</v>
      </c>
      <c r="B137" s="1080"/>
      <c r="C137" s="1080"/>
      <c r="D137" s="1080"/>
      <c r="E137" s="1083" t="s">
        <v>1157</v>
      </c>
      <c r="F137" s="1081"/>
      <c r="G137" s="1082">
        <f>IF(Rechnungen!B644="FEHLER","k.A.",(G123+G124+G125+G126)*(G127*G128*G129+G130*G131*G132+G133*G134*G135))</f>
        <v>91.736903926993818</v>
      </c>
      <c r="H137" s="1082"/>
      <c r="I137" s="1082" t="s">
        <v>365</v>
      </c>
      <c r="J137" s="1085"/>
      <c r="K137" s="1079" t="s">
        <v>1158</v>
      </c>
      <c r="L137" s="1080"/>
      <c r="M137" s="1082">
        <f>IF(Rechnungen!B644="FEHLER","k.A.",(M124+M125+M126+M127*M129+M130*M132+M133*M135)*M131)</f>
        <v>2.214</v>
      </c>
      <c r="N137" s="1082"/>
      <c r="O137" s="1082" t="s">
        <v>365</v>
      </c>
      <c r="P137" s="1085"/>
      <c r="Q137" s="958"/>
      <c r="R137" s="958"/>
      <c r="S137" s="958"/>
      <c r="T137" s="958"/>
    </row>
    <row r="138" spans="1:20" s="1027" customFormat="1" ht="18.5" thickBot="1" x14ac:dyDescent="0.35">
      <c r="A138" s="1120" t="str">
        <f>'Anlage (04)'!A68</f>
        <v>Primärenergieaufwand für Wohngebäude; Programm erstellt von K. Jagnow, 2001-2023</v>
      </c>
      <c r="B138" s="1121"/>
      <c r="C138" s="1121"/>
      <c r="D138" s="1121"/>
      <c r="E138" s="1122"/>
      <c r="F138" s="1122"/>
      <c r="G138" s="1123"/>
      <c r="H138" s="1123"/>
      <c r="I138" s="1123"/>
      <c r="J138" s="1124"/>
      <c r="K138" s="1122"/>
      <c r="L138" s="1122"/>
      <c r="M138" s="1122"/>
      <c r="N138" s="1122"/>
      <c r="O138" s="1122"/>
      <c r="P138" s="1125"/>
      <c r="Q138" s="958"/>
      <c r="R138" s="958"/>
      <c r="S138" s="958"/>
      <c r="T138" s="958"/>
    </row>
    <row r="139" spans="1:20" s="976" customFormat="1" ht="28.5" thickBot="1" x14ac:dyDescent="0.35">
      <c r="A139" s="971" t="s">
        <v>1342</v>
      </c>
      <c r="B139" s="972"/>
      <c r="C139" s="972"/>
      <c r="D139" s="972"/>
      <c r="E139" s="1126"/>
      <c r="F139" s="1126"/>
      <c r="G139" s="1127"/>
      <c r="H139" s="1127"/>
      <c r="I139" s="1127"/>
      <c r="J139" s="1128"/>
      <c r="K139" s="1129"/>
      <c r="L139" s="1129"/>
      <c r="M139" s="544">
        <f>N1</f>
        <v>0</v>
      </c>
      <c r="N139" s="544"/>
      <c r="O139" s="544"/>
      <c r="P139" s="1292" t="str">
        <f>"7/" &amp;Rechnungen!D647</f>
        <v>7/11</v>
      </c>
      <c r="Q139" s="975"/>
      <c r="R139" s="975"/>
      <c r="S139" s="975"/>
      <c r="T139" s="975"/>
    </row>
    <row r="140" spans="1:20" s="983" customFormat="1" ht="14" x14ac:dyDescent="0.3">
      <c r="A140" s="1644" t="s">
        <v>1180</v>
      </c>
      <c r="B140" s="1645"/>
      <c r="C140" s="1645"/>
      <c r="D140" s="1645"/>
      <c r="E140" s="1656" t="s">
        <v>1343</v>
      </c>
      <c r="F140" s="1656"/>
      <c r="G140" s="1650" t="str">
        <f>Rechnungen!K599</f>
        <v>0 m²</v>
      </c>
      <c r="H140" s="1650"/>
      <c r="I140" s="1650"/>
      <c r="J140" s="1650"/>
      <c r="K140" s="1650"/>
      <c r="L140" s="1650"/>
      <c r="M140" s="1650"/>
      <c r="N140" s="1650"/>
      <c r="O140" s="1650"/>
      <c r="P140" s="1651"/>
      <c r="Q140" s="958"/>
      <c r="R140" s="958"/>
      <c r="S140" s="958"/>
      <c r="T140" s="958"/>
    </row>
    <row r="141" spans="1:20" s="983" customFormat="1" ht="14" x14ac:dyDescent="0.3">
      <c r="A141" s="1661"/>
      <c r="B141" s="1647"/>
      <c r="C141" s="1647"/>
      <c r="D141" s="1647"/>
      <c r="E141" s="1657" t="s">
        <v>1397</v>
      </c>
      <c r="F141" s="1657"/>
      <c r="G141" s="1652" t="str">
        <f>Rechnungen!K605</f>
        <v>0 kW</v>
      </c>
      <c r="H141" s="1652"/>
      <c r="I141" s="1652"/>
      <c r="J141" s="1652"/>
      <c r="K141" s="1652"/>
      <c r="L141" s="1652"/>
      <c r="M141" s="1652"/>
      <c r="N141" s="1652"/>
      <c r="O141" s="1652"/>
      <c r="P141" s="1653"/>
      <c r="Q141" s="958"/>
      <c r="R141" s="958"/>
      <c r="S141" s="958"/>
      <c r="T141" s="958"/>
    </row>
    <row r="142" spans="1:20" s="983" customFormat="1" ht="14" x14ac:dyDescent="0.3">
      <c r="A142" s="1646"/>
      <c r="B142" s="1647"/>
      <c r="C142" s="1647"/>
      <c r="D142" s="1647"/>
      <c r="E142" s="1657" t="s">
        <v>1344</v>
      </c>
      <c r="F142" s="1657"/>
      <c r="G142" s="1652" t="str">
        <f>Rechnungen!K602</f>
        <v>keine PV-Anlage vorhanden</v>
      </c>
      <c r="H142" s="1652"/>
      <c r="I142" s="1652"/>
      <c r="J142" s="1652"/>
      <c r="K142" s="1652"/>
      <c r="L142" s="1652"/>
      <c r="M142" s="1652"/>
      <c r="N142" s="1652"/>
      <c r="O142" s="1652"/>
      <c r="P142" s="1653"/>
      <c r="Q142" s="958"/>
      <c r="R142" s="958"/>
      <c r="S142" s="958"/>
      <c r="T142" s="958"/>
    </row>
    <row r="143" spans="1:20" s="983" customFormat="1" ht="14.5" thickBot="1" x14ac:dyDescent="0.35">
      <c r="A143" s="1648"/>
      <c r="B143" s="1649"/>
      <c r="C143" s="1649"/>
      <c r="D143" s="1649"/>
      <c r="E143" s="1659" t="s">
        <v>1345</v>
      </c>
      <c r="F143" s="1659"/>
      <c r="G143" s="1654" t="str">
        <f>Rechnungen!K608</f>
        <v>keine PV-Anlage vorhanden</v>
      </c>
      <c r="H143" s="1654"/>
      <c r="I143" s="1654"/>
      <c r="J143" s="1654"/>
      <c r="K143" s="1654"/>
      <c r="L143" s="1654"/>
      <c r="M143" s="1654"/>
      <c r="N143" s="1654"/>
      <c r="O143" s="1654"/>
      <c r="P143" s="1655"/>
      <c r="Q143" s="958"/>
      <c r="R143" s="958"/>
      <c r="S143" s="958"/>
      <c r="T143" s="958"/>
    </row>
    <row r="144" spans="1:20" s="1027" customFormat="1" x14ac:dyDescent="0.3">
      <c r="A144" s="1011"/>
      <c r="B144" s="1012"/>
      <c r="C144" s="1013" t="s">
        <v>1163</v>
      </c>
      <c r="D144" s="1013" t="s">
        <v>1162</v>
      </c>
      <c r="E144" s="1570" t="s">
        <v>972</v>
      </c>
      <c r="F144" s="1571" t="s">
        <v>973</v>
      </c>
      <c r="G144" s="1572" t="s">
        <v>974</v>
      </c>
      <c r="H144" s="1570" t="s">
        <v>975</v>
      </c>
      <c r="I144" s="1571" t="s">
        <v>960</v>
      </c>
      <c r="J144" s="1572" t="s">
        <v>976</v>
      </c>
      <c r="K144" s="1570" t="s">
        <v>977</v>
      </c>
      <c r="L144" s="1571" t="s">
        <v>978</v>
      </c>
      <c r="M144" s="1572" t="s">
        <v>979</v>
      </c>
      <c r="N144" s="1571" t="s">
        <v>980</v>
      </c>
      <c r="O144" s="1571" t="s">
        <v>981</v>
      </c>
      <c r="P144" s="1573" t="s">
        <v>982</v>
      </c>
      <c r="Q144" s="750"/>
      <c r="R144" s="750"/>
      <c r="S144" s="750"/>
      <c r="T144" s="750"/>
    </row>
    <row r="145" spans="1:20" s="1027" customFormat="1" x14ac:dyDescent="0.3">
      <c r="A145" s="1347" t="s">
        <v>1346</v>
      </c>
      <c r="B145" s="1353"/>
      <c r="C145" s="1353"/>
      <c r="D145" s="1353"/>
      <c r="E145" s="1020"/>
      <c r="F145" s="1021"/>
      <c r="G145" s="1022"/>
      <c r="H145" s="1023"/>
      <c r="I145" s="1024"/>
      <c r="J145" s="1025"/>
      <c r="K145" s="1020"/>
      <c r="L145" s="1021"/>
      <c r="M145" s="1022"/>
      <c r="N145" s="1024"/>
      <c r="O145" s="1024"/>
      <c r="P145" s="1026"/>
      <c r="Q145" s="750"/>
      <c r="R145" s="750"/>
      <c r="S145" s="750"/>
      <c r="T145" s="750"/>
    </row>
    <row r="146" spans="1:20" s="1027" customFormat="1" x14ac:dyDescent="0.3">
      <c r="A146" s="1069"/>
      <c r="B146" s="1362"/>
      <c r="C146" s="983" t="s">
        <v>1164</v>
      </c>
      <c r="D146" s="1363">
        <f>Rechnungen!O620</f>
        <v>0</v>
      </c>
      <c r="E146" s="1028">
        <f>Rechnungen!C620</f>
        <v>0</v>
      </c>
      <c r="F146" s="1029">
        <f>Rechnungen!D620</f>
        <v>0</v>
      </c>
      <c r="G146" s="1030">
        <f>Rechnungen!E620</f>
        <v>0</v>
      </c>
      <c r="H146" s="1028">
        <f>Rechnungen!F620</f>
        <v>0</v>
      </c>
      <c r="I146" s="1029">
        <f>Rechnungen!G620</f>
        <v>0</v>
      </c>
      <c r="J146" s="1030">
        <f>Rechnungen!H620</f>
        <v>0</v>
      </c>
      <c r="K146" s="1028">
        <f>Rechnungen!I620</f>
        <v>0</v>
      </c>
      <c r="L146" s="1029">
        <f>Rechnungen!J620</f>
        <v>0</v>
      </c>
      <c r="M146" s="1030">
        <f>Rechnungen!K620</f>
        <v>0</v>
      </c>
      <c r="N146" s="1029">
        <f>Rechnungen!L620</f>
        <v>0</v>
      </c>
      <c r="O146" s="1029">
        <f>Rechnungen!M620</f>
        <v>0</v>
      </c>
      <c r="P146" s="1031">
        <f>Rechnungen!N620</f>
        <v>0</v>
      </c>
      <c r="Q146" s="750"/>
      <c r="R146" s="750"/>
      <c r="S146" s="750"/>
      <c r="T146" s="750"/>
    </row>
    <row r="147" spans="1:20" s="1027" customFormat="1" x14ac:dyDescent="0.3">
      <c r="A147" s="1347" t="s">
        <v>1347</v>
      </c>
      <c r="B147" s="1353"/>
      <c r="C147" s="1353"/>
      <c r="D147" s="1353"/>
      <c r="E147" s="1020"/>
      <c r="F147" s="1021"/>
      <c r="G147" s="1022"/>
      <c r="H147" s="1023"/>
      <c r="I147" s="1024"/>
      <c r="J147" s="1025"/>
      <c r="K147" s="1020"/>
      <c r="L147" s="1021"/>
      <c r="M147" s="1022"/>
      <c r="N147" s="1024"/>
      <c r="O147" s="1024"/>
      <c r="P147" s="1026"/>
      <c r="Q147" s="750"/>
      <c r="R147" s="750"/>
      <c r="S147" s="750"/>
      <c r="T147" s="750"/>
    </row>
    <row r="148" spans="1:20" s="1027" customFormat="1" x14ac:dyDescent="0.3">
      <c r="A148" s="1069" t="s">
        <v>1348</v>
      </c>
      <c r="B148" s="1362"/>
      <c r="C148" s="983" t="s">
        <v>1164</v>
      </c>
      <c r="D148" s="1363">
        <f>Rechnungen!O634</f>
        <v>393.6</v>
      </c>
      <c r="E148" s="1028">
        <f>Rechnungen!C634</f>
        <v>73.678677752463557</v>
      </c>
      <c r="F148" s="1029">
        <f>Rechnungen!D634</f>
        <v>62.287772139570912</v>
      </c>
      <c r="G148" s="1030">
        <f>Rechnungen!E634</f>
        <v>54.23686496998247</v>
      </c>
      <c r="H148" s="1028">
        <f>Rechnungen!F634</f>
        <v>29.690629609107884</v>
      </c>
      <c r="I148" s="1029">
        <f>Rechnungen!G634</f>
        <v>7.5283712908609441</v>
      </c>
      <c r="J148" s="1030">
        <f>Rechnungen!H634</f>
        <v>0.73358150129322208</v>
      </c>
      <c r="K148" s="1028">
        <f>Rechnungen!I634</f>
        <v>0</v>
      </c>
      <c r="L148" s="1029">
        <f>Rechnungen!J634</f>
        <v>6.4365931712003757E-4</v>
      </c>
      <c r="M148" s="1030">
        <f>Rechnungen!K634</f>
        <v>6.5609248932152324</v>
      </c>
      <c r="N148" s="1029">
        <f>Rechnungen!L634</f>
        <v>29.136146859537337</v>
      </c>
      <c r="O148" s="1029">
        <f>Rechnungen!M634</f>
        <v>55.544256860927064</v>
      </c>
      <c r="P148" s="1031">
        <f>Rechnungen!N634</f>
        <v>74.202130463724302</v>
      </c>
      <c r="Q148" s="750"/>
      <c r="R148" s="750"/>
      <c r="S148" s="750"/>
      <c r="T148" s="750"/>
    </row>
    <row r="149" spans="1:20" s="1027" customFormat="1" x14ac:dyDescent="0.3">
      <c r="A149" s="1069" t="s">
        <v>1349</v>
      </c>
      <c r="B149" s="1362"/>
      <c r="C149" s="983" t="s">
        <v>1164</v>
      </c>
      <c r="D149" s="1363">
        <f>Rechnungen!O635</f>
        <v>0</v>
      </c>
      <c r="E149" s="1028">
        <f>Rechnungen!C635</f>
        <v>0</v>
      </c>
      <c r="F149" s="1029">
        <f>Rechnungen!D635</f>
        <v>0</v>
      </c>
      <c r="G149" s="1030">
        <f>Rechnungen!E635</f>
        <v>0</v>
      </c>
      <c r="H149" s="1028">
        <f>Rechnungen!F635</f>
        <v>0</v>
      </c>
      <c r="I149" s="1029">
        <f>Rechnungen!G635</f>
        <v>0</v>
      </c>
      <c r="J149" s="1030">
        <f>Rechnungen!H635</f>
        <v>0</v>
      </c>
      <c r="K149" s="1028">
        <f>Rechnungen!I635</f>
        <v>0</v>
      </c>
      <c r="L149" s="1029">
        <f>Rechnungen!J635</f>
        <v>0</v>
      </c>
      <c r="M149" s="1030">
        <f>Rechnungen!K635</f>
        <v>0</v>
      </c>
      <c r="N149" s="1029">
        <f>Rechnungen!L635</f>
        <v>0</v>
      </c>
      <c r="O149" s="1029">
        <f>Rechnungen!M635</f>
        <v>0</v>
      </c>
      <c r="P149" s="1031">
        <f>Rechnungen!N635</f>
        <v>0</v>
      </c>
      <c r="Q149" s="750"/>
      <c r="R149" s="750"/>
      <c r="S149" s="750"/>
      <c r="T149" s="750"/>
    </row>
    <row r="150" spans="1:20" s="1027" customFormat="1" x14ac:dyDescent="0.3">
      <c r="A150" s="1069" t="s">
        <v>1350</v>
      </c>
      <c r="B150" s="1362"/>
      <c r="C150" s="983" t="s">
        <v>1164</v>
      </c>
      <c r="D150" s="1363">
        <f>Rechnungen!O633</f>
        <v>204.79999999999998</v>
      </c>
      <c r="E150" s="1028">
        <f>Rechnungen!C633</f>
        <v>17.393972602739726</v>
      </c>
      <c r="F150" s="1029">
        <f>Rechnungen!D633</f>
        <v>15.710684931506851</v>
      </c>
      <c r="G150" s="1030">
        <f>Rechnungen!E633</f>
        <v>17.393972602739726</v>
      </c>
      <c r="H150" s="1028">
        <f>Rechnungen!F633</f>
        <v>16.832876712328765</v>
      </c>
      <c r="I150" s="1029">
        <f>Rechnungen!G633</f>
        <v>17.393972602739726</v>
      </c>
      <c r="J150" s="1030">
        <f>Rechnungen!H633</f>
        <v>16.832876712328765</v>
      </c>
      <c r="K150" s="1028">
        <f>Rechnungen!I633</f>
        <v>17.393972602739726</v>
      </c>
      <c r="L150" s="1029">
        <f>Rechnungen!J633</f>
        <v>17.393972602739726</v>
      </c>
      <c r="M150" s="1030">
        <f>Rechnungen!K633</f>
        <v>16.832876712328765</v>
      </c>
      <c r="N150" s="1029">
        <f>Rechnungen!L633</f>
        <v>17.393972602739726</v>
      </c>
      <c r="O150" s="1029">
        <f>Rechnungen!M633</f>
        <v>16.832876712328765</v>
      </c>
      <c r="P150" s="1031">
        <f>Rechnungen!N633</f>
        <v>17.393972602739726</v>
      </c>
      <c r="Q150" s="750"/>
      <c r="R150" s="750"/>
      <c r="S150" s="750"/>
      <c r="T150" s="750"/>
    </row>
    <row r="151" spans="1:20" s="1027" customFormat="1" x14ac:dyDescent="0.3">
      <c r="A151" s="1069" t="s">
        <v>615</v>
      </c>
      <c r="B151" s="1362"/>
      <c r="C151" s="983" t="s">
        <v>1164</v>
      </c>
      <c r="D151" s="1363">
        <f>SUM(D148:D150)</f>
        <v>598.4</v>
      </c>
      <c r="E151" s="1028">
        <f>SUM(E148:E150)</f>
        <v>91.07265035520328</v>
      </c>
      <c r="F151" s="1029">
        <f t="shared" ref="F151:P151" si="1">SUM(F148:F150)</f>
        <v>77.998457071077766</v>
      </c>
      <c r="G151" s="1030">
        <f t="shared" si="1"/>
        <v>71.6308375727222</v>
      </c>
      <c r="H151" s="1028">
        <f t="shared" si="1"/>
        <v>46.523506321436649</v>
      </c>
      <c r="I151" s="1029">
        <f t="shared" si="1"/>
        <v>24.922343893600669</v>
      </c>
      <c r="J151" s="1030">
        <f t="shared" si="1"/>
        <v>17.566458213621988</v>
      </c>
      <c r="K151" s="1028">
        <f t="shared" si="1"/>
        <v>17.393972602739726</v>
      </c>
      <c r="L151" s="1029">
        <f t="shared" si="1"/>
        <v>17.394616262056847</v>
      </c>
      <c r="M151" s="1030">
        <f t="shared" si="1"/>
        <v>23.393801605543999</v>
      </c>
      <c r="N151" s="1029">
        <f t="shared" si="1"/>
        <v>46.530119462277064</v>
      </c>
      <c r="O151" s="1029">
        <f t="shared" si="1"/>
        <v>72.377133573255833</v>
      </c>
      <c r="P151" s="1031">
        <f t="shared" si="1"/>
        <v>91.596103066464025</v>
      </c>
      <c r="Q151" s="750"/>
      <c r="R151" s="750"/>
      <c r="S151" s="750"/>
      <c r="T151" s="750"/>
    </row>
    <row r="152" spans="1:20" s="1027" customFormat="1" x14ac:dyDescent="0.3">
      <c r="A152" s="1536" t="s">
        <v>1398</v>
      </c>
      <c r="B152" s="1353"/>
      <c r="C152" s="1353"/>
      <c r="D152" s="1353"/>
      <c r="E152" s="1020"/>
      <c r="F152" s="1021"/>
      <c r="G152" s="1022"/>
      <c r="H152" s="1023"/>
      <c r="I152" s="1024"/>
      <c r="J152" s="1025"/>
      <c r="K152" s="1020"/>
      <c r="L152" s="1021"/>
      <c r="M152" s="1022"/>
      <c r="N152" s="1024"/>
      <c r="O152" s="1024"/>
      <c r="P152" s="1026"/>
      <c r="Q152" s="750"/>
      <c r="R152" s="750"/>
      <c r="S152" s="750"/>
      <c r="T152" s="750"/>
    </row>
    <row r="153" spans="1:20" s="1027" customFormat="1" ht="16" thickBot="1" x14ac:dyDescent="0.35">
      <c r="A153" s="1069"/>
      <c r="B153" s="1362"/>
      <c r="C153" s="983" t="s">
        <v>1164</v>
      </c>
      <c r="D153" s="1363">
        <f>Rechnungen!O636</f>
        <v>0</v>
      </c>
      <c r="E153" s="1028">
        <f>Rechnungen!C636</f>
        <v>0</v>
      </c>
      <c r="F153" s="1029">
        <f>Rechnungen!D636</f>
        <v>0</v>
      </c>
      <c r="G153" s="1030">
        <f>Rechnungen!E636</f>
        <v>0</v>
      </c>
      <c r="H153" s="1028">
        <f>Rechnungen!F636</f>
        <v>0</v>
      </c>
      <c r="I153" s="1029">
        <f>Rechnungen!G636</f>
        <v>0</v>
      </c>
      <c r="J153" s="1030">
        <f>Rechnungen!H636</f>
        <v>0</v>
      </c>
      <c r="K153" s="1028">
        <f>Rechnungen!I636</f>
        <v>0</v>
      </c>
      <c r="L153" s="1029">
        <f>Rechnungen!J636</f>
        <v>0</v>
      </c>
      <c r="M153" s="1030">
        <f>Rechnungen!K636</f>
        <v>0</v>
      </c>
      <c r="N153" s="1029">
        <f>Rechnungen!L636</f>
        <v>0</v>
      </c>
      <c r="O153" s="1029">
        <f>Rechnungen!M636</f>
        <v>0</v>
      </c>
      <c r="P153" s="1031">
        <f>Rechnungen!N636</f>
        <v>0</v>
      </c>
      <c r="Q153" s="750"/>
      <c r="R153" s="750"/>
      <c r="S153" s="750"/>
      <c r="T153" s="750"/>
    </row>
    <row r="154" spans="1:20" s="976" customFormat="1" ht="28.5" thickBot="1" x14ac:dyDescent="0.35">
      <c r="A154" s="971" t="s">
        <v>218</v>
      </c>
      <c r="B154" s="972"/>
      <c r="C154" s="972"/>
      <c r="D154" s="972"/>
      <c r="E154" s="1126"/>
      <c r="F154" s="1126"/>
      <c r="G154" s="1127"/>
      <c r="H154" s="1127"/>
      <c r="I154" s="1127"/>
      <c r="J154" s="1128"/>
      <c r="K154" s="1129"/>
      <c r="L154" s="1129"/>
      <c r="M154" s="544"/>
      <c r="N154" s="544"/>
      <c r="O154" s="544"/>
      <c r="P154" s="1062" t="s">
        <v>705</v>
      </c>
      <c r="Q154" s="1093"/>
      <c r="R154" s="1093"/>
      <c r="S154" s="1093"/>
      <c r="T154" s="1093"/>
    </row>
    <row r="155" spans="1:20" s="1027" customFormat="1" ht="16" thickBot="1" x14ac:dyDescent="0.35">
      <c r="A155" s="1130"/>
      <c r="B155" s="1131"/>
      <c r="C155" s="1131"/>
      <c r="D155" s="1131"/>
      <c r="E155" s="1110" t="s">
        <v>403</v>
      </c>
      <c r="F155" s="1111"/>
      <c r="G155" s="1111"/>
      <c r="H155" s="1132"/>
      <c r="I155" s="1110" t="s">
        <v>400</v>
      </c>
      <c r="J155" s="1111"/>
      <c r="K155" s="1111"/>
      <c r="L155" s="1132"/>
      <c r="M155" s="1110" t="s">
        <v>520</v>
      </c>
      <c r="N155" s="1111"/>
      <c r="O155" s="1111"/>
      <c r="P155" s="1132"/>
      <c r="Q155" s="1097"/>
      <c r="R155" s="1097"/>
      <c r="S155" s="1097"/>
      <c r="T155" s="1097"/>
    </row>
    <row r="156" spans="1:20" s="983" customFormat="1" ht="14" x14ac:dyDescent="0.3">
      <c r="A156" s="954" t="s">
        <v>438</v>
      </c>
      <c r="B156" s="1065"/>
      <c r="C156" s="1065"/>
      <c r="D156" s="1065"/>
      <c r="E156" s="1133"/>
      <c r="F156" s="1068"/>
      <c r="G156" s="1068"/>
      <c r="H156" s="1134"/>
      <c r="I156" s="1133"/>
      <c r="J156" s="1068"/>
      <c r="K156" s="1068"/>
      <c r="L156" s="1134"/>
      <c r="M156" s="1133"/>
      <c r="N156" s="1068"/>
      <c r="O156" s="1068"/>
      <c r="P156" s="1134"/>
      <c r="Q156" s="1086"/>
      <c r="R156" s="1086"/>
      <c r="S156" s="1086"/>
      <c r="T156" s="1086"/>
    </row>
    <row r="157" spans="1:20" s="983" customFormat="1" ht="14" x14ac:dyDescent="0.3">
      <c r="A157" s="1077"/>
      <c r="B157" s="953" t="s">
        <v>366</v>
      </c>
      <c r="C157" s="952"/>
      <c r="D157" s="952"/>
      <c r="E157" s="950">
        <f>IF(Rechnungen!B644="FEHLER","k.A.",G2*G71)</f>
        <v>4000</v>
      </c>
      <c r="F157" s="965"/>
      <c r="G157" s="966" t="s">
        <v>523</v>
      </c>
      <c r="H157" s="967"/>
      <c r="I157" s="950"/>
      <c r="J157" s="965"/>
      <c r="K157" s="966"/>
      <c r="L157" s="967"/>
      <c r="M157" s="950">
        <f>IF(Rechnungen!B644="FEHLER","k.A.",E157)</f>
        <v>4000</v>
      </c>
      <c r="N157" s="965"/>
      <c r="O157" s="966" t="s">
        <v>523</v>
      </c>
      <c r="P157" s="967"/>
      <c r="Q157" s="1086"/>
      <c r="R157" s="1086"/>
      <c r="S157" s="1086"/>
      <c r="T157" s="1086"/>
    </row>
    <row r="158" spans="1:20" s="983" customFormat="1" ht="14" x14ac:dyDescent="0.3">
      <c r="A158" s="1077"/>
      <c r="B158" s="953" t="s">
        <v>1362</v>
      </c>
      <c r="C158" s="952"/>
      <c r="D158" s="952"/>
      <c r="E158" s="950">
        <f>IF(Rechnungen!B644="FEHLER","k.A.",G2*G119)</f>
        <v>20399.886601894344</v>
      </c>
      <c r="F158" s="965"/>
      <c r="G158" s="966" t="s">
        <v>523</v>
      </c>
      <c r="H158" s="967"/>
      <c r="I158" s="950"/>
      <c r="J158" s="965"/>
      <c r="K158" s="966"/>
      <c r="L158" s="967"/>
      <c r="M158" s="950">
        <f>IF(Rechnungen!B644="FEHLER","k.A.",E158)</f>
        <v>20399.886601894344</v>
      </c>
      <c r="N158" s="965"/>
      <c r="O158" s="966" t="s">
        <v>523</v>
      </c>
      <c r="P158" s="967"/>
      <c r="Q158" s="1086"/>
      <c r="R158" s="1086"/>
      <c r="S158" s="1086"/>
      <c r="T158" s="1086"/>
    </row>
    <row r="159" spans="1:20" s="983" customFormat="1" ht="14.5" thickBot="1" x14ac:dyDescent="0.35">
      <c r="A159" s="1083"/>
      <c r="B159" s="1081" t="s">
        <v>520</v>
      </c>
      <c r="C159" s="1137"/>
      <c r="D159" s="1137"/>
      <c r="E159" s="1138">
        <f>IF(Rechnungen!B644="FEHLER","k.A.",E157+E158)</f>
        <v>24399.886601894344</v>
      </c>
      <c r="F159" s="1084"/>
      <c r="G159" s="1139" t="s">
        <v>523</v>
      </c>
      <c r="H159" s="1140"/>
      <c r="I159" s="1138"/>
      <c r="J159" s="1084"/>
      <c r="K159" s="1139"/>
      <c r="L159" s="1140"/>
      <c r="M159" s="1138">
        <f>IF(Rechnungen!B644="FEHLER","k.A.",E159)</f>
        <v>24399.886601894344</v>
      </c>
      <c r="N159" s="1084"/>
      <c r="O159" s="1139" t="s">
        <v>523</v>
      </c>
      <c r="P159" s="1140"/>
      <c r="Q159" s="1086"/>
      <c r="R159" s="1086"/>
      <c r="S159" s="1086"/>
      <c r="T159" s="1086"/>
    </row>
    <row r="160" spans="1:20" s="983" customFormat="1" ht="14" x14ac:dyDescent="0.3">
      <c r="A160" s="957" t="s">
        <v>521</v>
      </c>
      <c r="E160" s="1135"/>
      <c r="F160" s="1071"/>
      <c r="G160" s="1086"/>
      <c r="H160" s="1136"/>
      <c r="I160" s="1135"/>
      <c r="J160" s="1071"/>
      <c r="K160" s="1086"/>
      <c r="L160" s="1136"/>
      <c r="M160" s="1135"/>
      <c r="N160" s="1071"/>
      <c r="O160" s="1086"/>
      <c r="P160" s="1136"/>
      <c r="Q160" s="1086"/>
      <c r="R160" s="1086"/>
      <c r="S160" s="1086"/>
      <c r="T160" s="1086"/>
    </row>
    <row r="161" spans="1:20" s="983" customFormat="1" ht="14" x14ac:dyDescent="0.3">
      <c r="A161" s="1077"/>
      <c r="B161" s="953" t="s">
        <v>366</v>
      </c>
      <c r="C161" s="952"/>
      <c r="D161" s="952"/>
      <c r="E161" s="950">
        <f>IF(Rechnungen!B644="FEHLER","k.A.",G2*G84)</f>
        <v>9885.5679999999993</v>
      </c>
      <c r="F161" s="965"/>
      <c r="G161" s="966" t="s">
        <v>523</v>
      </c>
      <c r="H161" s="967"/>
      <c r="I161" s="950">
        <f>IF(Rechnungen!B644="FEHLER","k.A.",G2*M84)</f>
        <v>204.8</v>
      </c>
      <c r="J161" s="965"/>
      <c r="K161" s="966" t="s">
        <v>523</v>
      </c>
      <c r="L161" s="967"/>
      <c r="M161" s="950">
        <f>IF(Rechnungen!B644="FEHLER","k.A.",E161+I161)</f>
        <v>10090.367999999999</v>
      </c>
      <c r="N161" s="965"/>
      <c r="O161" s="966" t="s">
        <v>523</v>
      </c>
      <c r="P161" s="967"/>
      <c r="Q161" s="1086"/>
      <c r="R161" s="1086"/>
      <c r="S161" s="1086"/>
      <c r="T161" s="1086"/>
    </row>
    <row r="162" spans="1:20" s="983" customFormat="1" ht="14" x14ac:dyDescent="0.3">
      <c r="A162" s="1077"/>
      <c r="B162" s="953" t="s">
        <v>519</v>
      </c>
      <c r="C162" s="952"/>
      <c r="D162" s="952"/>
      <c r="E162" s="950">
        <f>IF(Rechnungen!B644="FEHLER","k.A.",G2*(G107))</f>
        <v>0</v>
      </c>
      <c r="F162" s="965"/>
      <c r="G162" s="966" t="s">
        <v>523</v>
      </c>
      <c r="H162" s="967"/>
      <c r="I162" s="950">
        <f>IF(Rechnungen!B644="FEHLER","k.A.",G2*M107)</f>
        <v>0</v>
      </c>
      <c r="J162" s="965"/>
      <c r="K162" s="966" t="s">
        <v>523</v>
      </c>
      <c r="L162" s="967"/>
      <c r="M162" s="950">
        <f>IF(Rechnungen!B644="FEHLER","k.A.",E162+I162)</f>
        <v>0</v>
      </c>
      <c r="N162" s="965"/>
      <c r="O162" s="966" t="s">
        <v>523</v>
      </c>
      <c r="P162" s="967"/>
      <c r="Q162" s="1086"/>
      <c r="R162" s="1086"/>
      <c r="S162" s="1086"/>
      <c r="T162" s="1086"/>
    </row>
    <row r="163" spans="1:20" s="983" customFormat="1" ht="14" x14ac:dyDescent="0.3">
      <c r="A163" s="1077"/>
      <c r="B163" s="953" t="s">
        <v>402</v>
      </c>
      <c r="C163" s="952"/>
      <c r="D163" s="952"/>
      <c r="E163" s="950">
        <f>IF(Rechnungen!B644="FEHLER","k.A.",G2*(G136))</f>
        <v>26687.099324216382</v>
      </c>
      <c r="F163" s="965"/>
      <c r="G163" s="966" t="s">
        <v>523</v>
      </c>
      <c r="H163" s="967"/>
      <c r="I163" s="950">
        <f>IF(Rechnungen!B644="FEHLER","k.A.",G2*M136)</f>
        <v>393.6</v>
      </c>
      <c r="J163" s="965"/>
      <c r="K163" s="966" t="s">
        <v>523</v>
      </c>
      <c r="L163" s="967"/>
      <c r="M163" s="950">
        <f>IF(Rechnungen!B644="FEHLER","k.A.",E163+I163)</f>
        <v>27080.699324216381</v>
      </c>
      <c r="N163" s="965"/>
      <c r="O163" s="966" t="s">
        <v>523</v>
      </c>
      <c r="P163" s="967"/>
      <c r="Q163" s="1086"/>
      <c r="R163" s="1086"/>
      <c r="S163" s="1086"/>
      <c r="T163" s="1086"/>
    </row>
    <row r="164" spans="1:20" s="1582" customFormat="1" ht="14" x14ac:dyDescent="0.3">
      <c r="A164" s="1574"/>
      <c r="B164" s="1575" t="s">
        <v>1412</v>
      </c>
      <c r="C164" s="1576"/>
      <c r="D164" s="1576"/>
      <c r="E164" s="1577">
        <f>IF(Rechnungen!B644="FEHLER","k.A.",(E161+E162+E163))</f>
        <v>36572.667324216382</v>
      </c>
      <c r="F164" s="1578"/>
      <c r="G164" s="1579" t="s">
        <v>523</v>
      </c>
      <c r="H164" s="1580"/>
      <c r="I164" s="1577">
        <f>IF(Rechnungen!B644="FEHLER","k.A.",(I161+I162+I163))</f>
        <v>598.40000000000009</v>
      </c>
      <c r="J164" s="1578"/>
      <c r="K164" s="1579" t="s">
        <v>523</v>
      </c>
      <c r="L164" s="1580"/>
      <c r="M164" s="1577">
        <f>IF(Rechnungen!B644="FEHLER","k.A.",(M161+M162+M163))</f>
        <v>37171.067324216376</v>
      </c>
      <c r="N164" s="1578"/>
      <c r="O164" s="1579" t="s">
        <v>523</v>
      </c>
      <c r="P164" s="1580"/>
      <c r="Q164" s="1581"/>
      <c r="R164" s="1581"/>
      <c r="S164" s="1581"/>
      <c r="T164" s="1581"/>
    </row>
    <row r="165" spans="1:20" s="983" customFormat="1" ht="14" x14ac:dyDescent="0.3">
      <c r="A165" s="1077"/>
      <c r="B165" s="1537" t="s">
        <v>1413</v>
      </c>
      <c r="C165" s="952"/>
      <c r="D165" s="952"/>
      <c r="E165" s="950"/>
      <c r="F165" s="965"/>
      <c r="G165" s="966"/>
      <c r="H165" s="967"/>
      <c r="I165" s="950"/>
      <c r="J165" s="965"/>
      <c r="K165" s="966"/>
      <c r="L165" s="967"/>
      <c r="M165" s="950">
        <f>IF(Rechnungen!B644="FEHLER","k.A.",D153)</f>
        <v>0</v>
      </c>
      <c r="N165" s="965"/>
      <c r="O165" s="1542" t="s">
        <v>523</v>
      </c>
      <c r="P165" s="967"/>
      <c r="Q165" s="1086"/>
      <c r="R165" s="1086"/>
      <c r="S165" s="1086"/>
      <c r="T165" s="1086"/>
    </row>
    <row r="166" spans="1:20" s="1545" customFormat="1" ht="14.5" thickBot="1" x14ac:dyDescent="0.35">
      <c r="A166" s="1538"/>
      <c r="B166" s="1537" t="s">
        <v>520</v>
      </c>
      <c r="C166" s="1539"/>
      <c r="D166" s="1539"/>
      <c r="E166" s="1540"/>
      <c r="F166" s="1541"/>
      <c r="G166" s="1542"/>
      <c r="H166" s="1543"/>
      <c r="I166" s="1540"/>
      <c r="J166" s="1541"/>
      <c r="K166" s="1542"/>
      <c r="L166" s="1543"/>
      <c r="M166" s="1540">
        <f>IF(Rechnungen!B644="FEHLER","k.A.",M164-M165)</f>
        <v>37171.067324216376</v>
      </c>
      <c r="N166" s="1541"/>
      <c r="O166" s="1542" t="s">
        <v>523</v>
      </c>
      <c r="P166" s="1543"/>
      <c r="Q166" s="1544"/>
      <c r="R166" s="1544"/>
      <c r="S166" s="1544"/>
      <c r="T166" s="1544"/>
    </row>
    <row r="167" spans="1:20" s="983" customFormat="1" ht="14" x14ac:dyDescent="0.3">
      <c r="A167" s="954" t="s">
        <v>522</v>
      </c>
      <c r="B167" s="1065"/>
      <c r="C167" s="1065"/>
      <c r="D167" s="1065"/>
      <c r="E167" s="1133"/>
      <c r="F167" s="1068"/>
      <c r="G167" s="1141"/>
      <c r="H167" s="1134"/>
      <c r="I167" s="1133"/>
      <c r="J167" s="1068"/>
      <c r="K167" s="1141"/>
      <c r="L167" s="1134"/>
      <c r="M167" s="1133"/>
      <c r="N167" s="1068"/>
      <c r="O167" s="1141"/>
      <c r="P167" s="1134"/>
      <c r="Q167" s="1086"/>
      <c r="R167" s="1086"/>
      <c r="S167" s="1086"/>
      <c r="T167" s="1086"/>
    </row>
    <row r="168" spans="1:20" s="983" customFormat="1" ht="14" x14ac:dyDescent="0.3">
      <c r="A168" s="1077"/>
      <c r="B168" s="953" t="s">
        <v>366</v>
      </c>
      <c r="C168" s="952"/>
      <c r="D168" s="952"/>
      <c r="E168" s="950">
        <f>IF(Rechnungen!B644="FEHLER","k.A.",G2*G85)</f>
        <v>10874.1248</v>
      </c>
      <c r="F168" s="965"/>
      <c r="G168" s="966" t="s">
        <v>523</v>
      </c>
      <c r="H168" s="967"/>
      <c r="I168" s="950">
        <f>IF(Rechnungen!B644="FEHLER","k.A.",G2*M85)</f>
        <v>368.64000000000004</v>
      </c>
      <c r="J168" s="965"/>
      <c r="K168" s="966" t="s">
        <v>523</v>
      </c>
      <c r="L168" s="967"/>
      <c r="M168" s="950">
        <f>IF(Rechnungen!B644="FEHLER","k.A.",E168+I168)</f>
        <v>11242.764799999999</v>
      </c>
      <c r="N168" s="965"/>
      <c r="O168" s="966" t="s">
        <v>523</v>
      </c>
      <c r="P168" s="967"/>
      <c r="Q168" s="1086"/>
      <c r="R168" s="1086"/>
      <c r="S168" s="1086"/>
      <c r="T168" s="1086"/>
    </row>
    <row r="169" spans="1:20" s="983" customFormat="1" ht="14" x14ac:dyDescent="0.3">
      <c r="A169" s="1077"/>
      <c r="B169" s="953" t="s">
        <v>519</v>
      </c>
      <c r="C169" s="952"/>
      <c r="D169" s="952"/>
      <c r="E169" s="950">
        <f>IF(Rechnungen!B644="FEHLER","k.A.",G2*(G108))</f>
        <v>0</v>
      </c>
      <c r="F169" s="965"/>
      <c r="G169" s="966" t="s">
        <v>523</v>
      </c>
      <c r="H169" s="967"/>
      <c r="I169" s="950">
        <f>IF(Rechnungen!B644="FEHLER","k.A.",G2*M108)</f>
        <v>0</v>
      </c>
      <c r="J169" s="965"/>
      <c r="K169" s="966" t="s">
        <v>523</v>
      </c>
      <c r="L169" s="967"/>
      <c r="M169" s="950">
        <f>IF(Rechnungen!B644="FEHLER","k.A.",E169+I169)</f>
        <v>0</v>
      </c>
      <c r="N169" s="965"/>
      <c r="O169" s="966" t="s">
        <v>523</v>
      </c>
      <c r="P169" s="967"/>
      <c r="Q169" s="1086"/>
      <c r="R169" s="1086"/>
      <c r="S169" s="1086"/>
      <c r="T169" s="1086"/>
    </row>
    <row r="170" spans="1:20" s="983" customFormat="1" ht="14" x14ac:dyDescent="0.3">
      <c r="A170" s="1077"/>
      <c r="B170" s="1537" t="s">
        <v>402</v>
      </c>
      <c r="C170" s="952"/>
      <c r="D170" s="952"/>
      <c r="E170" s="950">
        <f>IF(Rechnungen!B644="FEHLER","k.A.",G2*(G137))</f>
        <v>29355.809256638022</v>
      </c>
      <c r="F170" s="965"/>
      <c r="G170" s="966" t="s">
        <v>523</v>
      </c>
      <c r="H170" s="967"/>
      <c r="I170" s="950">
        <f>IF(Rechnungen!B644="FEHLER","k.A.",G2*M137)</f>
        <v>708.48</v>
      </c>
      <c r="J170" s="965"/>
      <c r="K170" s="966" t="s">
        <v>523</v>
      </c>
      <c r="L170" s="967"/>
      <c r="M170" s="950">
        <f>IF(Rechnungen!B644="FEHLER","k.A.",E170+I170)</f>
        <v>30064.289256638021</v>
      </c>
      <c r="N170" s="965"/>
      <c r="O170" s="966" t="s">
        <v>523</v>
      </c>
      <c r="P170" s="967"/>
      <c r="Q170" s="1086"/>
      <c r="R170" s="1086"/>
      <c r="S170" s="1086"/>
      <c r="T170" s="1086"/>
    </row>
    <row r="171" spans="1:20" s="1365" customFormat="1" ht="14" x14ac:dyDescent="0.3">
      <c r="A171" s="1371"/>
      <c r="B171" s="1372" t="s">
        <v>1412</v>
      </c>
      <c r="C171" s="1373"/>
      <c r="D171" s="1373"/>
      <c r="E171" s="1577">
        <f>IF(Rechnungen!B644="FEHLER","k.A.",(E168+E169+E170))</f>
        <v>40229.93405663802</v>
      </c>
      <c r="F171" s="1578"/>
      <c r="G171" s="1579" t="s">
        <v>523</v>
      </c>
      <c r="H171" s="1580"/>
      <c r="I171" s="1577">
        <f>IF(Rechnungen!B644="FEHLER","k.A.",(I168+I169+I170))</f>
        <v>1077.1200000000001</v>
      </c>
      <c r="J171" s="1578"/>
      <c r="K171" s="1579" t="s">
        <v>523</v>
      </c>
      <c r="L171" s="1580"/>
      <c r="M171" s="1577">
        <f>IF(Rechnungen!B644="FEHLER","k.A.",(M168+M169+M170))</f>
        <v>41307.054056638022</v>
      </c>
      <c r="N171" s="1375"/>
      <c r="O171" s="1376" t="s">
        <v>523</v>
      </c>
      <c r="P171" s="1377"/>
      <c r="Q171" s="1364"/>
      <c r="R171" s="1364"/>
      <c r="S171" s="1364"/>
      <c r="T171" s="1364"/>
    </row>
    <row r="172" spans="1:20" s="1365" customFormat="1" ht="14" x14ac:dyDescent="0.3">
      <c r="A172" s="1371"/>
      <c r="B172" s="1537" t="s">
        <v>1413</v>
      </c>
      <c r="C172" s="1373"/>
      <c r="D172" s="1373"/>
      <c r="E172" s="1374"/>
      <c r="F172" s="1375"/>
      <c r="G172" s="1376"/>
      <c r="H172" s="1377"/>
      <c r="I172" s="1374"/>
      <c r="J172" s="1375"/>
      <c r="K172" s="1376"/>
      <c r="L172" s="1377"/>
      <c r="M172" s="1540">
        <f>IF(Rechnungen!B644="FEHLER","k.A.",M165*FP!B12)</f>
        <v>0</v>
      </c>
      <c r="N172" s="1541"/>
      <c r="O172" s="1542" t="s">
        <v>523</v>
      </c>
      <c r="P172" s="1377"/>
      <c r="Q172" s="1364"/>
      <c r="R172" s="1364"/>
      <c r="S172" s="1364"/>
      <c r="T172" s="1364"/>
    </row>
    <row r="173" spans="1:20" s="983" customFormat="1" ht="14.5" thickBot="1" x14ac:dyDescent="0.35">
      <c r="A173" s="1077"/>
      <c r="B173" s="1537" t="s">
        <v>520</v>
      </c>
      <c r="C173" s="952"/>
      <c r="D173" s="952"/>
      <c r="E173" s="950"/>
      <c r="F173" s="965"/>
      <c r="G173" s="966"/>
      <c r="H173" s="967"/>
      <c r="I173" s="950"/>
      <c r="J173" s="965"/>
      <c r="K173" s="966"/>
      <c r="L173" s="967"/>
      <c r="M173" s="950">
        <f>IF(Rechnungen!B644="FEHLER","k.A.",M171-M172)</f>
        <v>41307.054056638022</v>
      </c>
      <c r="N173" s="965"/>
      <c r="O173" s="966" t="s">
        <v>523</v>
      </c>
      <c r="P173" s="967"/>
      <c r="Q173" s="1086"/>
      <c r="R173" s="1086"/>
      <c r="S173" s="1086"/>
      <c r="T173" s="1086"/>
    </row>
    <row r="174" spans="1:20" s="976" customFormat="1" ht="28.5" thickBot="1" x14ac:dyDescent="0.35">
      <c r="A174" s="971" t="s">
        <v>178</v>
      </c>
      <c r="B174" s="972"/>
      <c r="C174" s="972"/>
      <c r="D174" s="972"/>
      <c r="E174" s="1126"/>
      <c r="F174" s="1126"/>
      <c r="G174" s="1127"/>
      <c r="H174" s="1127"/>
      <c r="I174" s="1127"/>
      <c r="J174" s="1128"/>
      <c r="K174" s="1129"/>
      <c r="L174" s="1129"/>
      <c r="M174" s="544"/>
      <c r="N174" s="544"/>
      <c r="O174" s="544"/>
      <c r="P174" s="1062" t="s">
        <v>705</v>
      </c>
      <c r="Q174" s="1093"/>
      <c r="R174" s="1093"/>
      <c r="S174" s="1093"/>
      <c r="T174" s="1093"/>
    </row>
    <row r="175" spans="1:20" s="1027" customFormat="1" ht="16" thickBot="1" x14ac:dyDescent="0.35">
      <c r="A175" s="1130"/>
      <c r="B175" s="1131"/>
      <c r="C175" s="1131"/>
      <c r="D175" s="1131"/>
      <c r="E175" s="1142" t="s">
        <v>403</v>
      </c>
      <c r="F175" s="1143"/>
      <c r="G175" s="1143"/>
      <c r="H175" s="1144"/>
      <c r="I175" s="1142" t="s">
        <v>400</v>
      </c>
      <c r="J175" s="1143"/>
      <c r="K175" s="1143"/>
      <c r="L175" s="1144"/>
      <c r="M175" s="1142" t="s">
        <v>520</v>
      </c>
      <c r="N175" s="1143"/>
      <c r="O175" s="1143"/>
      <c r="P175" s="1144"/>
      <c r="Q175" s="1097"/>
      <c r="R175" s="1097"/>
      <c r="S175" s="1097"/>
      <c r="T175" s="1097"/>
    </row>
    <row r="176" spans="1:20" s="983" customFormat="1" ht="14" x14ac:dyDescent="0.3">
      <c r="A176" s="1145" t="s">
        <v>573</v>
      </c>
      <c r="B176" s="1146"/>
      <c r="C176" s="1146"/>
      <c r="D176" s="1146"/>
      <c r="E176" s="1147">
        <f>IF(Rechnungen!B644="FEHLER","k.A.",E159/G2)</f>
        <v>76.249645630919829</v>
      </c>
      <c r="F176" s="1148"/>
      <c r="G176" s="1148" t="s">
        <v>365</v>
      </c>
      <c r="H176" s="1149"/>
      <c r="I176" s="1147"/>
      <c r="J176" s="1148"/>
      <c r="K176" s="1148"/>
      <c r="L176" s="1149"/>
      <c r="M176" s="1147">
        <f>IF(Rechnungen!B644="FEHLER","k.A.",M159/G2)</f>
        <v>76.249645630919829</v>
      </c>
      <c r="N176" s="1148"/>
      <c r="O176" s="1148" t="s">
        <v>365</v>
      </c>
      <c r="P176" s="1149"/>
      <c r="Q176" s="1086"/>
      <c r="R176" s="1086"/>
      <c r="S176" s="1086"/>
      <c r="T176" s="1086"/>
    </row>
    <row r="177" spans="1:20" s="983" customFormat="1" ht="14" x14ac:dyDescent="0.3">
      <c r="A177" s="1583" t="s">
        <v>1414</v>
      </c>
      <c r="B177" s="1150"/>
      <c r="C177" s="1150"/>
      <c r="D177" s="1150"/>
      <c r="E177" s="1368">
        <f>IF(Rechnungen!B644="FEHLER","k.A.",E164/G2)</f>
        <v>114.28958538817619</v>
      </c>
      <c r="F177" s="1369"/>
      <c r="G177" s="1369" t="s">
        <v>365</v>
      </c>
      <c r="H177" s="1370"/>
      <c r="I177" s="1368">
        <f>IF(Rechnungen!B644="FEHLER","k.A.",I164/G2)</f>
        <v>1.8700000000000003</v>
      </c>
      <c r="J177" s="1369"/>
      <c r="K177" s="1369" t="s">
        <v>365</v>
      </c>
      <c r="L177" s="1370"/>
      <c r="M177" s="1368">
        <f>IF(Rechnungen!B644="FEHLER","k.A.",M164/G2)</f>
        <v>116.15958538817617</v>
      </c>
      <c r="N177" s="1369"/>
      <c r="O177" s="1369" t="s">
        <v>365</v>
      </c>
      <c r="P177" s="1370"/>
      <c r="Q177" s="1086"/>
      <c r="R177" s="1086"/>
      <c r="S177" s="1086"/>
      <c r="T177" s="1086"/>
    </row>
    <row r="178" spans="1:20" s="1545" customFormat="1" ht="14" x14ac:dyDescent="0.3">
      <c r="A178" s="1546" t="s">
        <v>521</v>
      </c>
      <c r="B178" s="1547"/>
      <c r="C178" s="1547"/>
      <c r="D178" s="1547"/>
      <c r="E178" s="1548"/>
      <c r="F178" s="1549"/>
      <c r="G178" s="1549"/>
      <c r="H178" s="1550"/>
      <c r="I178" s="1548"/>
      <c r="J178" s="1549"/>
      <c r="K178" s="1549"/>
      <c r="L178" s="1550"/>
      <c r="M178" s="1548">
        <f>IF(Rechnungen!B644="FEHLER","k.A.",M166/G2)</f>
        <v>116.15958538817617</v>
      </c>
      <c r="N178" s="1549"/>
      <c r="O178" s="1549"/>
      <c r="P178" s="1550"/>
      <c r="Q178" s="1544"/>
      <c r="R178" s="1544"/>
      <c r="S178" s="1544"/>
      <c r="T178" s="1544"/>
    </row>
    <row r="179" spans="1:20" s="1365" customFormat="1" ht="14" x14ac:dyDescent="0.3">
      <c r="A179" s="1366" t="s">
        <v>1415</v>
      </c>
      <c r="B179" s="1367"/>
      <c r="C179" s="1367"/>
      <c r="D179" s="1367"/>
      <c r="E179" s="1368">
        <f>IF(Rechnungen!B644="FEHLER","k.A.",E171/G2)</f>
        <v>125.71854392699382</v>
      </c>
      <c r="F179" s="1369"/>
      <c r="G179" s="1369" t="s">
        <v>365</v>
      </c>
      <c r="H179" s="1370"/>
      <c r="I179" s="1368">
        <f>IF(Rechnungen!B644="FEHLER","k.A.",I171/G2)</f>
        <v>3.3660000000000005</v>
      </c>
      <c r="J179" s="1369"/>
      <c r="K179" s="1369" t="s">
        <v>365</v>
      </c>
      <c r="L179" s="1370"/>
      <c r="M179" s="1368">
        <f>IF(Rechnungen!B644="FEHLER","k.A.",M171/G2)</f>
        <v>129.08454392699383</v>
      </c>
      <c r="N179" s="1369"/>
      <c r="O179" s="1369" t="s">
        <v>365</v>
      </c>
      <c r="P179" s="1370"/>
      <c r="Q179" s="1364"/>
      <c r="R179" s="1364"/>
      <c r="S179" s="1364"/>
      <c r="T179" s="1364"/>
    </row>
    <row r="180" spans="1:20" s="983" customFormat="1" ht="14.5" thickBot="1" x14ac:dyDescent="0.35">
      <c r="A180" s="1546" t="s">
        <v>522</v>
      </c>
      <c r="B180" s="1150"/>
      <c r="C180" s="1150"/>
      <c r="D180" s="1150"/>
      <c r="E180" s="1548"/>
      <c r="F180" s="1549"/>
      <c r="G180" s="1549"/>
      <c r="H180" s="1550"/>
      <c r="I180" s="1548"/>
      <c r="J180" s="1549"/>
      <c r="K180" s="1549"/>
      <c r="L180" s="1550"/>
      <c r="M180" s="1548">
        <f>IF(Rechnungen!B644="FEHLER","k.A.",M173/G2)</f>
        <v>129.08454392699383</v>
      </c>
      <c r="N180" s="1549"/>
      <c r="O180" s="1549" t="s">
        <v>365</v>
      </c>
      <c r="P180" s="1550"/>
      <c r="Q180" s="1086"/>
      <c r="R180" s="1086"/>
      <c r="S180" s="1086"/>
      <c r="T180" s="1086"/>
    </row>
    <row r="181" spans="1:20" s="983" customFormat="1" ht="16.5" thickBot="1" x14ac:dyDescent="0.35">
      <c r="A181" s="1465" t="s">
        <v>1383</v>
      </c>
      <c r="B181" s="1153"/>
      <c r="C181" s="1153"/>
      <c r="D181" s="1153"/>
      <c r="E181" s="1154"/>
      <c r="F181" s="1154"/>
      <c r="G181" s="1154"/>
      <c r="H181" s="1154"/>
      <c r="I181" s="1154"/>
      <c r="J181" s="1154"/>
      <c r="K181" s="1154"/>
      <c r="L181" s="1154"/>
      <c r="M181" s="1329">
        <f>P181</f>
        <v>1.6929199192848319</v>
      </c>
      <c r="N181" s="1154"/>
      <c r="O181" s="1154"/>
      <c r="P181" s="1155">
        <f>IF(Rechnungen!B644="FEHLER","ep kann noch nicht berechnet werden. Der Fragebogen ist noch nicht richtig ausgefüllt",M173/M159)</f>
        <v>1.6929199192848319</v>
      </c>
      <c r="Q181" s="1156"/>
      <c r="R181" s="1156"/>
      <c r="S181" s="1156"/>
      <c r="T181" s="1156"/>
    </row>
    <row r="182" spans="1:20" s="1027" customFormat="1" ht="16" thickBot="1" x14ac:dyDescent="0.35">
      <c r="A182" s="1158"/>
      <c r="B182" s="1097"/>
      <c r="C182" s="1097"/>
      <c r="D182" s="1097"/>
      <c r="E182" s="1159"/>
      <c r="F182" s="1159"/>
      <c r="G182" s="1159"/>
      <c r="H182" s="1159"/>
      <c r="I182" s="1159"/>
      <c r="J182" s="1160"/>
      <c r="K182" s="1161"/>
      <c r="L182" s="1161"/>
      <c r="M182" s="1157"/>
      <c r="N182" s="1157"/>
      <c r="O182" s="1157"/>
      <c r="P182" s="1162"/>
      <c r="Q182" s="1157"/>
      <c r="R182" s="1157"/>
      <c r="S182" s="1157"/>
      <c r="T182" s="1157"/>
    </row>
    <row r="183" spans="1:20" s="976" customFormat="1" ht="28.5" thickBot="1" x14ac:dyDescent="0.35">
      <c r="A183" s="971" t="s">
        <v>1208</v>
      </c>
      <c r="B183" s="972"/>
      <c r="C183" s="972"/>
      <c r="D183" s="972"/>
      <c r="E183" s="1126"/>
      <c r="F183" s="1126"/>
      <c r="G183" s="1127"/>
      <c r="H183" s="1127"/>
      <c r="I183" s="1127"/>
      <c r="J183" s="1128"/>
      <c r="K183" s="1129"/>
      <c r="L183" s="1129"/>
      <c r="M183" s="544"/>
      <c r="N183" s="544"/>
      <c r="O183" s="544"/>
      <c r="P183" s="1062" t="s">
        <v>705</v>
      </c>
      <c r="Q183" s="1093"/>
      <c r="R183" s="1093"/>
      <c r="S183" s="1093"/>
      <c r="T183" s="1093"/>
    </row>
    <row r="184" spans="1:20" s="1027" customFormat="1" x14ac:dyDescent="0.3">
      <c r="A184" s="1158"/>
      <c r="B184" s="1097"/>
      <c r="C184" s="1097"/>
      <c r="D184" s="1097"/>
      <c r="E184" s="1159"/>
      <c r="F184" s="1159"/>
      <c r="G184" s="1159"/>
      <c r="H184" s="1159"/>
      <c r="I184" s="1159"/>
      <c r="J184" s="1160"/>
      <c r="K184" s="1161"/>
      <c r="L184" s="1161"/>
      <c r="M184" s="1157"/>
      <c r="N184" s="1157"/>
      <c r="O184" s="1157"/>
      <c r="P184" s="1162"/>
      <c r="Q184" s="1157"/>
      <c r="R184" s="1157"/>
      <c r="S184" s="1157"/>
      <c r="T184" s="1157"/>
    </row>
    <row r="185" spans="1:20" s="1027" customFormat="1" x14ac:dyDescent="0.3">
      <c r="A185" s="1158"/>
      <c r="B185" s="1097"/>
      <c r="C185" s="1097"/>
      <c r="D185" s="1097"/>
      <c r="E185" s="1159"/>
      <c r="F185" s="1159"/>
      <c r="G185" s="1159"/>
      <c r="H185" s="1159"/>
      <c r="I185" s="1159"/>
      <c r="J185" s="1160"/>
      <c r="K185" s="1161"/>
      <c r="L185" s="1161"/>
      <c r="M185" s="1157"/>
      <c r="N185" s="1157"/>
      <c r="O185" s="1157"/>
      <c r="P185" s="1162"/>
      <c r="Q185" s="1157"/>
      <c r="R185" s="1157"/>
      <c r="S185" s="1157"/>
      <c r="T185" s="1157"/>
    </row>
    <row r="186" spans="1:20" s="1027" customFormat="1" x14ac:dyDescent="0.3">
      <c r="A186" s="1163"/>
      <c r="B186" s="1164"/>
      <c r="C186" s="1164"/>
      <c r="D186" s="1164"/>
      <c r="E186" s="1165"/>
      <c r="F186" s="1165"/>
      <c r="G186" s="1165"/>
      <c r="H186" s="1165"/>
      <c r="I186" s="1165"/>
      <c r="J186" s="1166"/>
      <c r="K186" s="1168"/>
      <c r="L186" s="1168"/>
      <c r="M186" s="545"/>
      <c r="N186" s="545"/>
      <c r="O186" s="545"/>
      <c r="P186" s="546"/>
      <c r="Q186" s="750"/>
      <c r="R186" s="750"/>
      <c r="S186" s="750"/>
      <c r="T186" s="750"/>
    </row>
    <row r="187" spans="1:20" s="1027" customFormat="1" x14ac:dyDescent="0.3">
      <c r="A187" s="1158"/>
      <c r="B187" s="1097"/>
      <c r="C187" s="1097"/>
      <c r="D187" s="1097"/>
      <c r="E187" s="1170"/>
      <c r="F187" s="1170"/>
      <c r="G187" s="1170"/>
      <c r="H187" s="1170"/>
      <c r="I187" s="1170"/>
      <c r="J187" s="1166"/>
      <c r="K187" s="1168"/>
      <c r="L187" s="1168"/>
      <c r="P187" s="1167"/>
    </row>
    <row r="188" spans="1:20" s="1027" customFormat="1" x14ac:dyDescent="0.3">
      <c r="A188" s="1158"/>
      <c r="B188" s="1097"/>
      <c r="C188" s="1097"/>
      <c r="D188" s="1097"/>
      <c r="E188" s="1170"/>
      <c r="F188" s="1170"/>
      <c r="G188" s="1170"/>
      <c r="H188" s="1170"/>
      <c r="I188" s="1170"/>
      <c r="J188" s="1166"/>
      <c r="K188" s="1168"/>
      <c r="L188" s="1168"/>
      <c r="P188" s="1167"/>
    </row>
    <row r="189" spans="1:20" s="1027" customFormat="1" x14ac:dyDescent="0.3">
      <c r="A189" s="1158"/>
      <c r="B189" s="1097"/>
      <c r="C189" s="1097"/>
      <c r="D189" s="1097"/>
      <c r="E189" s="1170"/>
      <c r="F189" s="1170"/>
      <c r="G189" s="1170"/>
      <c r="H189" s="1170"/>
      <c r="I189" s="1170"/>
      <c r="J189" s="1166"/>
      <c r="K189" s="1168"/>
      <c r="L189" s="1168"/>
      <c r="P189" s="1167"/>
    </row>
    <row r="190" spans="1:20" s="1027" customFormat="1" x14ac:dyDescent="0.3">
      <c r="A190" s="1158"/>
      <c r="B190" s="1097"/>
      <c r="C190" s="1097"/>
      <c r="D190" s="1097"/>
      <c r="E190" s="1170"/>
      <c r="F190" s="1170"/>
      <c r="G190" s="1170"/>
      <c r="H190" s="1170"/>
      <c r="I190" s="1170"/>
      <c r="J190" s="1166"/>
      <c r="K190" s="1168"/>
      <c r="L190" s="1168"/>
      <c r="P190" s="1167"/>
    </row>
    <row r="191" spans="1:20" s="1027" customFormat="1" x14ac:dyDescent="0.3">
      <c r="A191" s="1158"/>
      <c r="B191" s="1097"/>
      <c r="C191" s="1097"/>
      <c r="D191" s="1097"/>
      <c r="E191" s="1170"/>
      <c r="F191" s="1170"/>
      <c r="G191" s="1170"/>
      <c r="H191" s="1170"/>
      <c r="I191" s="1170"/>
      <c r="J191" s="1166"/>
      <c r="K191" s="1168"/>
      <c r="L191" s="1168"/>
      <c r="P191" s="1167"/>
    </row>
    <row r="192" spans="1:20" s="1027" customFormat="1" x14ac:dyDescent="0.3">
      <c r="A192" s="1158"/>
      <c r="B192" s="1097"/>
      <c r="C192" s="1097"/>
      <c r="D192" s="1097"/>
      <c r="E192" s="1170"/>
      <c r="F192" s="1170"/>
      <c r="G192" s="1170"/>
      <c r="H192" s="1170"/>
      <c r="I192" s="1170"/>
      <c r="J192" s="1166"/>
      <c r="K192" s="1168"/>
      <c r="L192" s="1168"/>
      <c r="P192" s="1167"/>
    </row>
    <row r="193" spans="1:20" s="1027" customFormat="1" x14ac:dyDescent="0.3">
      <c r="A193" s="1158"/>
      <c r="B193" s="1097"/>
      <c r="C193" s="1097"/>
      <c r="D193" s="1097"/>
      <c r="E193" s="1170"/>
      <c r="F193" s="1170"/>
      <c r="G193" s="1170"/>
      <c r="H193" s="1170"/>
      <c r="I193" s="1170"/>
      <c r="J193" s="1166"/>
      <c r="K193" s="1168"/>
      <c r="L193" s="1168"/>
      <c r="P193" s="1167"/>
    </row>
    <row r="194" spans="1:20" s="1027" customFormat="1" x14ac:dyDescent="0.3">
      <c r="A194" s="1158"/>
      <c r="B194" s="1097"/>
      <c r="C194" s="1097"/>
      <c r="D194" s="1097"/>
      <c r="E194" s="1170"/>
      <c r="F194" s="1170"/>
      <c r="G194" s="1170"/>
      <c r="H194" s="1170"/>
      <c r="I194" s="1170"/>
      <c r="J194" s="1166"/>
      <c r="K194" s="1168"/>
      <c r="L194" s="1168"/>
      <c r="P194" s="1167"/>
    </row>
    <row r="195" spans="1:20" s="1027" customFormat="1" x14ac:dyDescent="0.3">
      <c r="A195" s="1158"/>
      <c r="B195" s="1097"/>
      <c r="C195" s="1097"/>
      <c r="D195" s="1097"/>
      <c r="E195" s="1170"/>
      <c r="F195" s="1170"/>
      <c r="G195" s="1170"/>
      <c r="H195" s="1170"/>
      <c r="I195" s="1170"/>
      <c r="J195" s="1166"/>
      <c r="K195" s="1168"/>
      <c r="L195" s="1168"/>
      <c r="P195" s="1167"/>
    </row>
    <row r="196" spans="1:20" s="1027" customFormat="1" x14ac:dyDescent="0.3">
      <c r="A196" s="1158"/>
      <c r="B196" s="1097"/>
      <c r="C196" s="1097"/>
      <c r="D196" s="1097"/>
      <c r="E196" s="1170"/>
      <c r="F196" s="1170"/>
      <c r="G196" s="1170"/>
      <c r="H196" s="1170"/>
      <c r="I196" s="1170"/>
      <c r="J196" s="1166"/>
      <c r="K196" s="1168"/>
      <c r="L196" s="1168"/>
      <c r="P196" s="1167"/>
    </row>
    <row r="197" spans="1:20" s="1027" customFormat="1" x14ac:dyDescent="0.3">
      <c r="A197" s="1158"/>
      <c r="B197" s="1097"/>
      <c r="C197" s="1097"/>
      <c r="D197" s="1097"/>
      <c r="E197" s="1170"/>
      <c r="F197" s="1170"/>
      <c r="G197" s="1170"/>
      <c r="H197" s="1170"/>
      <c r="I197" s="1170"/>
      <c r="J197" s="1166"/>
      <c r="K197" s="1168"/>
      <c r="L197" s="1168"/>
      <c r="P197" s="1167"/>
    </row>
    <row r="198" spans="1:20" s="1027" customFormat="1" x14ac:dyDescent="0.3">
      <c r="A198" s="1158"/>
      <c r="B198" s="1097"/>
      <c r="C198" s="1097"/>
      <c r="D198" s="1097"/>
      <c r="E198" s="1170"/>
      <c r="F198" s="1170"/>
      <c r="G198" s="1170"/>
      <c r="H198" s="1170"/>
      <c r="I198" s="1170"/>
      <c r="J198" s="1166"/>
      <c r="K198" s="1168"/>
      <c r="L198" s="1168"/>
      <c r="P198" s="1167"/>
    </row>
    <row r="199" spans="1:20" s="1027" customFormat="1" x14ac:dyDescent="0.3">
      <c r="A199" s="1158"/>
      <c r="B199" s="1097"/>
      <c r="C199" s="1097"/>
      <c r="D199" s="1097"/>
      <c r="E199" s="1170"/>
      <c r="F199" s="1170"/>
      <c r="G199" s="1170"/>
      <c r="H199" s="1170"/>
      <c r="I199" s="1170"/>
      <c r="J199" s="1166"/>
      <c r="K199" s="1168"/>
      <c r="L199" s="1168"/>
      <c r="P199" s="1167"/>
    </row>
    <row r="200" spans="1:20" s="1027" customFormat="1" x14ac:dyDescent="0.3">
      <c r="A200" s="1158"/>
      <c r="B200" s="1097"/>
      <c r="C200" s="1097"/>
      <c r="D200" s="1097"/>
      <c r="E200" s="1170"/>
      <c r="F200" s="1170"/>
      <c r="G200" s="1170"/>
      <c r="H200" s="1170"/>
      <c r="I200" s="1170"/>
      <c r="J200" s="1166"/>
      <c r="K200" s="1168"/>
      <c r="L200" s="1168"/>
      <c r="P200" s="1167"/>
    </row>
    <row r="201" spans="1:20" s="1027" customFormat="1" x14ac:dyDescent="0.3">
      <c r="A201" s="1163"/>
      <c r="B201" s="1164"/>
      <c r="C201" s="1164"/>
      <c r="D201" s="1164"/>
      <c r="E201" s="1170"/>
      <c r="F201" s="1170"/>
      <c r="G201" s="1170"/>
      <c r="H201" s="1170"/>
      <c r="I201" s="1170"/>
      <c r="J201" s="1166"/>
      <c r="K201" s="1168"/>
      <c r="L201" s="1168"/>
      <c r="P201" s="1171"/>
      <c r="Q201" s="1172"/>
      <c r="R201" s="1172"/>
      <c r="S201" s="1172"/>
      <c r="T201" s="1172"/>
    </row>
    <row r="202" spans="1:20" s="1027" customFormat="1" x14ac:dyDescent="0.3">
      <c r="A202" s="1163"/>
      <c r="B202" s="1164"/>
      <c r="C202" s="1164"/>
      <c r="D202" s="1164"/>
      <c r="E202" s="1170"/>
      <c r="F202" s="1170"/>
      <c r="G202" s="1170"/>
      <c r="H202" s="1170"/>
      <c r="I202" s="1170"/>
      <c r="J202" s="1166"/>
      <c r="K202" s="1168"/>
      <c r="L202" s="1168"/>
      <c r="P202" s="1167"/>
    </row>
    <row r="203" spans="1:20" s="1027" customFormat="1" x14ac:dyDescent="0.3">
      <c r="A203" s="1163"/>
      <c r="B203" s="1164"/>
      <c r="C203" s="1164"/>
      <c r="D203" s="1164"/>
      <c r="E203" s="1170"/>
      <c r="F203" s="1170"/>
      <c r="G203" s="1170"/>
      <c r="H203" s="1170"/>
      <c r="I203" s="1170"/>
      <c r="J203" s="1166"/>
      <c r="K203" s="1168"/>
      <c r="L203" s="1168"/>
      <c r="P203" s="1167"/>
    </row>
    <row r="204" spans="1:20" s="1027" customFormat="1" x14ac:dyDescent="0.3">
      <c r="A204" s="1049"/>
      <c r="E204" s="1097"/>
      <c r="F204" s="1097"/>
      <c r="G204" s="1175"/>
      <c r="H204" s="1175"/>
      <c r="I204" s="1175"/>
      <c r="J204" s="1097"/>
      <c r="M204" s="1175"/>
      <c r="N204" s="1175"/>
      <c r="O204" s="1175"/>
      <c r="P204" s="1176"/>
      <c r="Q204" s="1050"/>
      <c r="R204" s="1050"/>
      <c r="S204" s="1050"/>
      <c r="T204" s="1050"/>
    </row>
    <row r="205" spans="1:20" s="1027" customFormat="1" x14ac:dyDescent="0.3">
      <c r="A205" s="1049"/>
      <c r="E205" s="1097"/>
      <c r="F205" s="1097"/>
      <c r="G205" s="1175"/>
      <c r="H205" s="1175"/>
      <c r="I205" s="1175"/>
      <c r="J205" s="1097"/>
      <c r="M205" s="1175"/>
      <c r="N205" s="1175"/>
      <c r="O205" s="1175"/>
      <c r="P205" s="1176"/>
      <c r="Q205" s="1050"/>
      <c r="R205" s="1050"/>
      <c r="S205" s="1050"/>
      <c r="T205" s="1050"/>
    </row>
    <row r="206" spans="1:20" s="1027" customFormat="1" x14ac:dyDescent="0.3">
      <c r="A206" s="1049"/>
      <c r="E206" s="1097"/>
      <c r="F206" s="1097"/>
      <c r="G206" s="1175"/>
      <c r="H206" s="1175"/>
      <c r="I206" s="1175"/>
      <c r="J206" s="1097"/>
      <c r="M206" s="1175"/>
      <c r="N206" s="1175"/>
      <c r="O206" s="1175"/>
      <c r="P206" s="1176"/>
      <c r="Q206" s="1050"/>
      <c r="R206" s="1050"/>
      <c r="S206" s="1050"/>
      <c r="T206" s="1050"/>
    </row>
    <row r="207" spans="1:20" s="1027" customFormat="1" x14ac:dyDescent="0.3">
      <c r="A207" s="1049"/>
      <c r="E207" s="1097"/>
      <c r="F207" s="1097"/>
      <c r="G207" s="1175"/>
      <c r="H207" s="1175"/>
      <c r="I207" s="1175"/>
      <c r="J207" s="1097"/>
      <c r="M207" s="1175"/>
      <c r="N207" s="1175"/>
      <c r="O207" s="1175"/>
      <c r="P207" s="1176"/>
      <c r="Q207" s="1050"/>
      <c r="R207" s="1050"/>
      <c r="S207" s="1050"/>
      <c r="T207" s="1050"/>
    </row>
    <row r="208" spans="1:20" s="1027" customFormat="1" x14ac:dyDescent="0.3">
      <c r="A208" s="1049"/>
      <c r="E208" s="1097"/>
      <c r="F208" s="1097"/>
      <c r="G208" s="1175"/>
      <c r="H208" s="1175"/>
      <c r="I208" s="1175"/>
      <c r="J208" s="1097"/>
      <c r="M208" s="1175"/>
      <c r="N208" s="1175"/>
      <c r="O208" s="1175"/>
      <c r="P208" s="1176"/>
      <c r="Q208" s="1050"/>
      <c r="R208" s="1050"/>
      <c r="S208" s="1050"/>
      <c r="T208" s="1050"/>
    </row>
    <row r="209" spans="1:20" s="1027" customFormat="1" x14ac:dyDescent="0.3">
      <c r="A209" s="1177"/>
      <c r="B209" s="1178"/>
      <c r="C209" s="1178"/>
      <c r="D209" s="1178"/>
      <c r="E209" s="1179"/>
      <c r="F209" s="1179"/>
      <c r="G209" s="1174"/>
      <c r="H209" s="1174"/>
      <c r="I209" s="1174"/>
      <c r="J209" s="1164"/>
      <c r="K209" s="1169"/>
      <c r="L209" s="1169"/>
      <c r="M209" s="1173"/>
      <c r="N209" s="1173"/>
      <c r="O209" s="1173"/>
      <c r="P209" s="1180"/>
      <c r="Q209" s="1181"/>
      <c r="R209" s="1181"/>
      <c r="S209" s="1181"/>
      <c r="T209" s="1181"/>
    </row>
    <row r="210" spans="1:20" s="1027" customFormat="1" x14ac:dyDescent="0.3">
      <c r="A210" s="1182"/>
      <c r="B210" s="1183"/>
      <c r="C210" s="1183"/>
      <c r="D210" s="1183"/>
      <c r="E210" s="1179"/>
      <c r="F210" s="1179"/>
      <c r="G210" s="1174"/>
      <c r="H210" s="1174"/>
      <c r="I210" s="1174"/>
      <c r="J210" s="1164"/>
      <c r="K210" s="1169"/>
      <c r="L210" s="1169"/>
      <c r="M210" s="1173"/>
      <c r="N210" s="1173"/>
      <c r="O210" s="1173"/>
      <c r="P210" s="1180"/>
      <c r="Q210" s="1181"/>
      <c r="R210" s="1181"/>
      <c r="S210" s="1181"/>
      <c r="T210" s="1181"/>
    </row>
    <row r="211" spans="1:20" s="1027" customFormat="1" x14ac:dyDescent="0.3">
      <c r="A211" s="1182"/>
      <c r="B211" s="1183"/>
      <c r="C211" s="1183"/>
      <c r="D211" s="1183"/>
      <c r="E211" s="1179"/>
      <c r="F211" s="1179"/>
      <c r="G211" s="1174"/>
      <c r="H211" s="1174"/>
      <c r="I211" s="1174"/>
      <c r="J211" s="1164"/>
      <c r="K211" s="1169"/>
      <c r="L211" s="1169"/>
      <c r="P211" s="1180"/>
      <c r="Q211" s="1181"/>
      <c r="R211" s="1181"/>
      <c r="S211" s="1181"/>
      <c r="T211" s="1181"/>
    </row>
    <row r="212" spans="1:20" s="1173" customFormat="1" x14ac:dyDescent="0.3">
      <c r="A212" s="1551"/>
      <c r="B212" s="1552"/>
      <c r="C212" s="1552"/>
      <c r="D212" s="1552"/>
      <c r="E212" s="1552"/>
      <c r="F212" s="1552"/>
      <c r="G212" s="1553"/>
      <c r="H212" s="1553"/>
      <c r="I212" s="1379"/>
      <c r="J212" s="1178"/>
      <c r="M212" s="1380"/>
      <c r="N212" s="1380"/>
      <c r="O212" s="1380"/>
      <c r="P212" s="1381"/>
      <c r="Q212" s="1382"/>
      <c r="R212" s="1382"/>
      <c r="S212" s="1382"/>
      <c r="T212" s="1382"/>
    </row>
    <row r="213" spans="1:20" s="1181" customFormat="1" x14ac:dyDescent="0.3">
      <c r="A213" s="1555"/>
      <c r="B213" s="1556"/>
      <c r="C213" s="1556"/>
      <c r="D213" s="1556"/>
      <c r="E213" s="1556" t="s">
        <v>573</v>
      </c>
      <c r="F213" s="1557" t="s">
        <v>521</v>
      </c>
      <c r="G213" s="1557" t="s">
        <v>1399</v>
      </c>
      <c r="H213" s="1553"/>
      <c r="J213" s="1185"/>
      <c r="M213" s="545"/>
      <c r="N213" s="545"/>
      <c r="O213" s="545"/>
      <c r="P213" s="546"/>
      <c r="Q213" s="750"/>
      <c r="R213" s="750"/>
      <c r="S213" s="750"/>
      <c r="T213" s="750"/>
    </row>
    <row r="214" spans="1:20" s="1181" customFormat="1" x14ac:dyDescent="0.3">
      <c r="A214" s="1555" t="s">
        <v>237</v>
      </c>
      <c r="B214" s="1556"/>
      <c r="C214" s="1556"/>
      <c r="D214" s="1556"/>
      <c r="E214" s="1558">
        <f>M157</f>
        <v>4000</v>
      </c>
      <c r="F214" s="1559">
        <f>M161</f>
        <v>10090.367999999999</v>
      </c>
      <c r="G214" s="1559">
        <f>M168</f>
        <v>11242.764799999999</v>
      </c>
      <c r="H214" s="1554"/>
      <c r="J214" s="1166"/>
      <c r="M214" s="545"/>
      <c r="N214" s="545"/>
      <c r="O214" s="545"/>
      <c r="P214" s="546"/>
      <c r="Q214" s="750"/>
      <c r="R214" s="750"/>
      <c r="S214" s="750"/>
      <c r="T214" s="750"/>
    </row>
    <row r="215" spans="1:20" s="1181" customFormat="1" x14ac:dyDescent="0.3">
      <c r="A215" s="1555" t="s">
        <v>1363</v>
      </c>
      <c r="B215" s="1556"/>
      <c r="C215" s="1556"/>
      <c r="D215" s="1556"/>
      <c r="E215" s="1558">
        <f>M158</f>
        <v>20399.886601894344</v>
      </c>
      <c r="F215" s="1559">
        <f>M162+M163</f>
        <v>27080.699324216381</v>
      </c>
      <c r="G215" s="1559">
        <f>M169+M170</f>
        <v>30064.289256638021</v>
      </c>
      <c r="H215" s="1554"/>
      <c r="J215" s="1166"/>
      <c r="M215" s="545"/>
      <c r="N215" s="545"/>
      <c r="O215" s="545"/>
      <c r="P215" s="546"/>
      <c r="Q215" s="750"/>
      <c r="R215" s="750"/>
      <c r="S215" s="750"/>
      <c r="T215" s="750"/>
    </row>
    <row r="216" spans="1:20" s="1181" customFormat="1" ht="16" thickBot="1" x14ac:dyDescent="0.35">
      <c r="A216" s="1555" t="s">
        <v>520</v>
      </c>
      <c r="B216" s="1556"/>
      <c r="C216" s="1556"/>
      <c r="D216" s="1556"/>
      <c r="E216" s="1558">
        <f>M159</f>
        <v>24399.886601894344</v>
      </c>
      <c r="F216" s="1559">
        <f>M166</f>
        <v>37171.067324216376</v>
      </c>
      <c r="G216" s="1559">
        <f>M173</f>
        <v>41307.054056638022</v>
      </c>
      <c r="H216" s="1554"/>
      <c r="J216" s="1166"/>
      <c r="M216" s="545"/>
      <c r="N216" s="545"/>
      <c r="O216" s="545"/>
      <c r="P216" s="546"/>
      <c r="Q216" s="750"/>
      <c r="R216" s="750"/>
      <c r="S216" s="750"/>
      <c r="T216" s="750"/>
    </row>
    <row r="217" spans="1:20" s="1027" customFormat="1" ht="18.5" thickBot="1" x14ac:dyDescent="0.35">
      <c r="A217" s="1120" t="str">
        <f>A138</f>
        <v>Primärenergieaufwand für Wohngebäude; Programm erstellt von K. Jagnow, 2001-2023</v>
      </c>
      <c r="B217" s="1121"/>
      <c r="C217" s="1121"/>
      <c r="D217" s="1121"/>
      <c r="E217" s="1124"/>
      <c r="F217" s="1124"/>
      <c r="G217" s="1123"/>
      <c r="H217" s="1123"/>
      <c r="I217" s="1123"/>
      <c r="J217" s="1124"/>
      <c r="K217" s="1124"/>
      <c r="L217" s="1124"/>
      <c r="M217" s="1124"/>
      <c r="N217" s="1124"/>
      <c r="O217" s="1124"/>
      <c r="P217" s="1125"/>
      <c r="Q217" s="958"/>
      <c r="R217" s="958"/>
      <c r="S217" s="958"/>
      <c r="T217" s="958"/>
    </row>
    <row r="218" spans="1:20" s="1027" customFormat="1" hidden="1" x14ac:dyDescent="0.3">
      <c r="E218" s="1097"/>
      <c r="F218" s="1097"/>
      <c r="G218" s="1175"/>
      <c r="H218" s="1175"/>
      <c r="I218" s="1175"/>
      <c r="J218" s="1097"/>
      <c r="M218" s="1175"/>
      <c r="N218" s="1175"/>
      <c r="O218" s="1175"/>
      <c r="P218" s="1050"/>
      <c r="Q218" s="1050"/>
      <c r="R218" s="1050"/>
      <c r="S218" s="1050"/>
      <c r="T218" s="1050"/>
    </row>
    <row r="219" spans="1:20" x14ac:dyDescent="0.3"/>
    <row r="220" spans="1:20" x14ac:dyDescent="0.3"/>
    <row r="221" spans="1:20" x14ac:dyDescent="0.3"/>
  </sheetData>
  <sheetProtection algorithmName="SHA-512" hashValue="Phy48v8HVUFNbOjo4cPKFqU049zzRh4dBXE/OSPmQDF0USY23KtCSPobl6+ZXDxLOo8kC6eUvvOgYMzjZd9TsQ==" saltValue="YrQ9/Ak9ZJCCGf2ZlX4JLA==" spinCount="100000" sheet="1"/>
  <customSheetViews>
    <customSheetView guid="{586D4F31-1FA3-11D6-B431-009027A4C716}" scale="70" showGridLines="0" showRuler="0" topLeftCell="A16">
      <rowBreaks count="1" manualBreakCount="1">
        <brk id="71" max="6" man="1"/>
      </rowBreaks>
      <pageMargins left="0.87" right="0.74" top="0.984251969" bottom="0.984251969" header="0.4921259845" footer="0.4921259845"/>
      <pageSetup paperSize="9" scale="61" orientation="portrait" horizontalDpi="300" verticalDpi="300" r:id="rId1"/>
      <headerFooter alignWithMargins="0"/>
    </customSheetView>
  </customSheetViews>
  <mergeCells count="54">
    <mergeCell ref="A140:D143"/>
    <mergeCell ref="E140:F140"/>
    <mergeCell ref="G140:P140"/>
    <mergeCell ref="E142:F142"/>
    <mergeCell ref="G142:P142"/>
    <mergeCell ref="E141:F141"/>
    <mergeCell ref="G141:P141"/>
    <mergeCell ref="E143:F143"/>
    <mergeCell ref="G143:P143"/>
    <mergeCell ref="G112:P112"/>
    <mergeCell ref="G117:P117"/>
    <mergeCell ref="E112:F112"/>
    <mergeCell ref="E116:F116"/>
    <mergeCell ref="G116:P116"/>
    <mergeCell ref="G113:P113"/>
    <mergeCell ref="E114:F114"/>
    <mergeCell ref="G114:P114"/>
    <mergeCell ref="G115:P115"/>
    <mergeCell ref="E117:F117"/>
    <mergeCell ref="E91:F91"/>
    <mergeCell ref="G91:P91"/>
    <mergeCell ref="E92:F92"/>
    <mergeCell ref="G92:P92"/>
    <mergeCell ref="G110:P110"/>
    <mergeCell ref="E111:F111"/>
    <mergeCell ref="G111:P111"/>
    <mergeCell ref="A87:D93"/>
    <mergeCell ref="E87:F87"/>
    <mergeCell ref="G87:P87"/>
    <mergeCell ref="E88:F88"/>
    <mergeCell ref="G88:P88"/>
    <mergeCell ref="E90:F90"/>
    <mergeCell ref="G90:P90"/>
    <mergeCell ref="E93:F93"/>
    <mergeCell ref="G93:P93"/>
    <mergeCell ref="G89:P89"/>
    <mergeCell ref="A110:D117"/>
    <mergeCell ref="E115:F115"/>
    <mergeCell ref="E110:F110"/>
    <mergeCell ref="E113:F113"/>
    <mergeCell ref="A15:A16"/>
    <mergeCell ref="B24:B25"/>
    <mergeCell ref="B26:B27"/>
    <mergeCell ref="A65:D69"/>
    <mergeCell ref="G65:P65"/>
    <mergeCell ref="G66:P66"/>
    <mergeCell ref="G67:P67"/>
    <mergeCell ref="G68:P68"/>
    <mergeCell ref="G69:P69"/>
    <mergeCell ref="E65:F65"/>
    <mergeCell ref="E66:F66"/>
    <mergeCell ref="E67:F67"/>
    <mergeCell ref="E68:F68"/>
    <mergeCell ref="E69:F69"/>
  </mergeCells>
  <phoneticPr fontId="0" type="noConversion"/>
  <dataValidations disablePrompts="1" count="1">
    <dataValidation errorStyle="warning" allowBlank="1" showInputMessage="1" showErrorMessage="1" error="Der Fragebogen ist noch nicht richtig ausgefüllt." sqref="P186:T203" xr:uid="{00000000-0002-0000-0500-000000000000}"/>
  </dataValidations>
  <pageMargins left="0.86614173228346458" right="0.74803149606299213" top="0.98425196850393704" bottom="0.98425196850393704" header="0.51181102362204722" footer="0.51181102362204722"/>
  <pageSetup paperSize="9" scale="55" fitToHeight="2" orientation="portrait" horizontalDpi="300" verticalDpi="300" r:id="rId2"/>
  <headerFooter alignWithMargins="0"/>
  <rowBreaks count="2" manualBreakCount="2">
    <brk id="63" max="15" man="1"/>
    <brk id="138" max="15"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2"/>
  <dimension ref="A1:U983"/>
  <sheetViews>
    <sheetView showGridLines="0" zoomScale="70" zoomScaleNormal="70" zoomScaleSheetLayoutView="100" workbookViewId="0"/>
  </sheetViews>
  <sheetFormatPr baseColWidth="10" defaultColWidth="0" defaultRowHeight="15.5" x14ac:dyDescent="0.3"/>
  <cols>
    <col min="1" max="4" width="9.25" style="1012" customWidth="1"/>
    <col min="5" max="6" width="7.5" style="1186" customWidth="1"/>
    <col min="7" max="9" width="7.5" style="1039" customWidth="1"/>
    <col min="10" max="10" width="7.5" style="1186" customWidth="1"/>
    <col min="11" max="12" width="7.5" style="1012" customWidth="1"/>
    <col min="13" max="15" width="7.5" style="1039" customWidth="1"/>
    <col min="16" max="16" width="7.5" style="1018" customWidth="1"/>
    <col min="17" max="20" width="14.5" style="1018" hidden="1" customWidth="1"/>
    <col min="21" max="21" width="8.203125E-2" style="1012" customWidth="1"/>
    <col min="22" max="16384" width="0" style="1012" hidden="1"/>
  </cols>
  <sheetData>
    <row r="1" spans="1:21" s="976" customFormat="1" ht="28.5" thickBot="1" x14ac:dyDescent="0.35">
      <c r="A1" s="971" t="s">
        <v>43</v>
      </c>
      <c r="B1" s="972"/>
      <c r="C1" s="972"/>
      <c r="D1" s="972"/>
      <c r="E1" s="973"/>
      <c r="F1" s="973"/>
      <c r="G1" s="974"/>
      <c r="H1" s="974"/>
      <c r="I1" s="974"/>
      <c r="J1" s="973"/>
      <c r="K1" s="543"/>
      <c r="L1" s="543"/>
      <c r="M1" s="544"/>
      <c r="N1" s="544">
        <f>'Allgemeines (01)'!F1</f>
        <v>0</v>
      </c>
      <c r="O1" s="544"/>
      <c r="P1" s="1208" t="str">
        <f>"8/" &amp;Rechnungen!D647</f>
        <v>8/11</v>
      </c>
      <c r="Q1" s="975"/>
      <c r="R1" s="975"/>
      <c r="S1" s="975"/>
      <c r="T1" s="975"/>
    </row>
    <row r="2" spans="1:21" s="983" customFormat="1" ht="16.5" x14ac:dyDescent="0.3">
      <c r="A2" s="977" t="s">
        <v>1239</v>
      </c>
      <c r="B2" s="978"/>
      <c r="C2" s="978"/>
      <c r="D2" s="978"/>
      <c r="E2" s="979" t="s">
        <v>751</v>
      </c>
      <c r="F2" s="980"/>
      <c r="G2" s="1326">
        <f>Rechnungen!D14</f>
        <v>320</v>
      </c>
      <c r="H2" s="980"/>
      <c r="I2" s="980" t="s">
        <v>357</v>
      </c>
      <c r="J2" s="981"/>
      <c r="K2" s="954"/>
      <c r="L2" s="955"/>
      <c r="M2" s="956">
        <f>'Allgemeines (01)'!B4</f>
        <v>0</v>
      </c>
      <c r="N2" s="956"/>
      <c r="O2" s="956"/>
      <c r="P2" s="982"/>
      <c r="Q2" s="547"/>
      <c r="R2" s="547"/>
      <c r="S2" s="547"/>
      <c r="T2" s="547"/>
    </row>
    <row r="3" spans="1:21" s="983" customFormat="1" ht="14" x14ac:dyDescent="0.3">
      <c r="A3" s="984" t="s">
        <v>70</v>
      </c>
      <c r="B3" s="985"/>
      <c r="C3" s="985"/>
      <c r="D3" s="985"/>
      <c r="E3" s="986" t="s">
        <v>69</v>
      </c>
      <c r="F3" s="987"/>
      <c r="G3" s="1102">
        <f>IF(Rechnungen!$D$4=TRUE,"---",Rechnungen!C142)</f>
        <v>1000</v>
      </c>
      <c r="H3" s="987"/>
      <c r="I3" s="987" t="s">
        <v>357</v>
      </c>
      <c r="J3" s="988"/>
      <c r="K3" s="957"/>
      <c r="L3" s="958"/>
      <c r="M3" s="547">
        <f>'Allgemeines (01)'!B5</f>
        <v>0</v>
      </c>
      <c r="N3" s="547"/>
      <c r="O3" s="547"/>
      <c r="P3" s="989"/>
      <c r="Q3" s="547"/>
      <c r="R3" s="547"/>
      <c r="S3" s="547"/>
      <c r="T3" s="547"/>
    </row>
    <row r="4" spans="1:21" s="983" customFormat="1" ht="16" x14ac:dyDescent="0.3">
      <c r="A4" s="990" t="s">
        <v>1238</v>
      </c>
      <c r="B4" s="991"/>
      <c r="C4" s="991"/>
      <c r="D4" s="991"/>
      <c r="E4" s="992" t="s">
        <v>215</v>
      </c>
      <c r="F4" s="993"/>
      <c r="G4" s="1102">
        <f>Rechnungen!D12</f>
        <v>1000</v>
      </c>
      <c r="H4" s="987"/>
      <c r="I4" s="987" t="s">
        <v>67</v>
      </c>
      <c r="J4" s="994"/>
      <c r="K4" s="959"/>
      <c r="L4" s="960"/>
      <c r="M4" s="547">
        <f>'Allgemeines (01)'!B6</f>
        <v>0</v>
      </c>
      <c r="N4" s="547"/>
      <c r="O4" s="547"/>
      <c r="P4" s="989"/>
      <c r="Q4" s="547"/>
      <c r="R4" s="547"/>
      <c r="S4" s="547"/>
      <c r="T4" s="547"/>
    </row>
    <row r="5" spans="1:21" s="983" customFormat="1" ht="14" x14ac:dyDescent="0.3">
      <c r="A5" s="995" t="s">
        <v>1029</v>
      </c>
      <c r="B5" s="996"/>
      <c r="C5" s="996"/>
      <c r="D5" s="996"/>
      <c r="E5" s="997" t="s">
        <v>542</v>
      </c>
      <c r="F5" s="998"/>
      <c r="G5" s="1004">
        <f>IF(Rechnungen!$D$4=TRUE,"---",Rechnungen!B107)</f>
        <v>760</v>
      </c>
      <c r="H5" s="964"/>
      <c r="I5" s="964" t="s">
        <v>67</v>
      </c>
      <c r="J5" s="999"/>
      <c r="K5" s="959"/>
      <c r="L5" s="960"/>
      <c r="M5" s="547">
        <f>'Allgemeines (01)'!B7</f>
        <v>0</v>
      </c>
      <c r="N5" s="547"/>
      <c r="O5" s="547"/>
      <c r="P5" s="989"/>
      <c r="Q5" s="547"/>
      <c r="R5" s="547"/>
      <c r="S5" s="547"/>
      <c r="T5" s="547"/>
    </row>
    <row r="6" spans="1:21" s="983" customFormat="1" ht="16.5" x14ac:dyDescent="0.3">
      <c r="A6" s="1000" t="s">
        <v>68</v>
      </c>
      <c r="B6" s="1001"/>
      <c r="C6" s="1001"/>
      <c r="D6" s="1001"/>
      <c r="E6" s="1002" t="s">
        <v>216</v>
      </c>
      <c r="F6" s="1003"/>
      <c r="G6" s="1327">
        <f>IF(Rechnungen!$D$4=TRUE,"---",G3/G4)</f>
        <v>1</v>
      </c>
      <c r="H6" s="1004"/>
      <c r="I6" s="1004" t="s">
        <v>217</v>
      </c>
      <c r="J6" s="999"/>
      <c r="K6" s="959"/>
      <c r="L6" s="960"/>
      <c r="N6" s="547"/>
      <c r="O6" s="547"/>
      <c r="P6" s="989"/>
      <c r="Q6" s="547"/>
      <c r="R6" s="547"/>
      <c r="S6" s="547"/>
      <c r="T6" s="547"/>
    </row>
    <row r="7" spans="1:21" s="983" customFormat="1" ht="16.5" thickBot="1" x14ac:dyDescent="0.35">
      <c r="A7" s="1587" t="s">
        <v>1416</v>
      </c>
      <c r="B7" s="1588"/>
      <c r="C7" s="1588"/>
      <c r="D7" s="1588"/>
      <c r="E7" s="1589" t="s">
        <v>1417</v>
      </c>
      <c r="F7" s="1589"/>
      <c r="G7" s="1590">
        <f>'Übersicht (11)'!F10</f>
        <v>0.33</v>
      </c>
      <c r="H7" s="1589"/>
      <c r="I7" s="1589" t="s">
        <v>179</v>
      </c>
      <c r="J7" s="1591"/>
      <c r="K7" s="961" t="s">
        <v>312</v>
      </c>
      <c r="L7" s="962"/>
      <c r="M7" s="963" t="str">
        <f>'Allgemeines (01)'!E9</f>
        <v>FREE (V7.3)</v>
      </c>
      <c r="N7" s="963"/>
      <c r="O7" s="963"/>
      <c r="P7" s="1005"/>
      <c r="Q7" s="547"/>
      <c r="R7" s="547"/>
      <c r="S7" s="547"/>
      <c r="T7" s="547"/>
    </row>
    <row r="8" spans="1:21" s="1010" customFormat="1" ht="28.5" thickBot="1" x14ac:dyDescent="0.35">
      <c r="A8" s="971" t="s">
        <v>181</v>
      </c>
      <c r="B8" s="972"/>
      <c r="C8" s="972"/>
      <c r="D8" s="972"/>
      <c r="E8" s="1006"/>
      <c r="F8" s="1006"/>
      <c r="G8" s="970"/>
      <c r="H8" s="970"/>
      <c r="I8" s="970"/>
      <c r="J8" s="1006"/>
      <c r="K8" s="1007"/>
      <c r="L8" s="1007"/>
      <c r="M8" s="970"/>
      <c r="N8" s="970"/>
      <c r="O8" s="970"/>
      <c r="P8" s="1008" t="s">
        <v>883</v>
      </c>
      <c r="Q8" s="1009"/>
      <c r="R8" s="1009"/>
      <c r="S8" s="1009"/>
      <c r="T8" s="1009"/>
    </row>
    <row r="9" spans="1:21" x14ac:dyDescent="0.3">
      <c r="A9" s="1011"/>
      <c r="C9" s="1013" t="s">
        <v>1163</v>
      </c>
      <c r="D9" s="1013" t="s">
        <v>1162</v>
      </c>
      <c r="E9" s="1014" t="s">
        <v>972</v>
      </c>
      <c r="F9" s="1015" t="s">
        <v>973</v>
      </c>
      <c r="G9" s="1016" t="s">
        <v>974</v>
      </c>
      <c r="H9" s="1014" t="s">
        <v>975</v>
      </c>
      <c r="I9" s="1015" t="s">
        <v>960</v>
      </c>
      <c r="J9" s="1016" t="s">
        <v>976</v>
      </c>
      <c r="K9" s="1014" t="s">
        <v>977</v>
      </c>
      <c r="L9" s="1015" t="s">
        <v>978</v>
      </c>
      <c r="M9" s="1016" t="s">
        <v>979</v>
      </c>
      <c r="N9" s="1015" t="s">
        <v>980</v>
      </c>
      <c r="O9" s="1015" t="s">
        <v>981</v>
      </c>
      <c r="P9" s="1017" t="s">
        <v>982</v>
      </c>
    </row>
    <row r="10" spans="1:21" x14ac:dyDescent="0.3">
      <c r="A10" s="1347" t="s">
        <v>1184</v>
      </c>
      <c r="B10" s="1019"/>
      <c r="C10" s="1019"/>
      <c r="D10" s="1019"/>
      <c r="E10" s="1020"/>
      <c r="F10" s="1021"/>
      <c r="G10" s="1022"/>
      <c r="H10" s="1023"/>
      <c r="I10" s="1024"/>
      <c r="J10" s="1025"/>
      <c r="K10" s="1020"/>
      <c r="L10" s="1021"/>
      <c r="M10" s="1022"/>
      <c r="N10" s="1024"/>
      <c r="O10" s="1024"/>
      <c r="P10" s="1026"/>
    </row>
    <row r="11" spans="1:21" ht="16.5" x14ac:dyDescent="0.3">
      <c r="A11" s="1069" t="s">
        <v>1182</v>
      </c>
      <c r="C11" s="983" t="s">
        <v>83</v>
      </c>
      <c r="D11" s="1351" t="s">
        <v>930</v>
      </c>
      <c r="E11" s="1028">
        <f>Rechnungen!C101</f>
        <v>1</v>
      </c>
      <c r="F11" s="1029">
        <f>Rechnungen!D101</f>
        <v>1.9</v>
      </c>
      <c r="G11" s="1030">
        <f>Rechnungen!E101</f>
        <v>4.7</v>
      </c>
      <c r="H11" s="1028">
        <f>Rechnungen!F101</f>
        <v>9.1999999999999993</v>
      </c>
      <c r="I11" s="1029">
        <f>Rechnungen!G101</f>
        <v>14.1</v>
      </c>
      <c r="J11" s="1030">
        <f>Rechnungen!H101</f>
        <v>16.7</v>
      </c>
      <c r="K11" s="1028">
        <f>Rechnungen!I101</f>
        <v>19</v>
      </c>
      <c r="L11" s="1029">
        <f>Rechnungen!J101</f>
        <v>18.600000000000001</v>
      </c>
      <c r="M11" s="1030">
        <f>Rechnungen!K101</f>
        <v>14.3</v>
      </c>
      <c r="N11" s="1029">
        <f>Rechnungen!L101</f>
        <v>9.5</v>
      </c>
      <c r="O11" s="1029">
        <f>Rechnungen!M101</f>
        <v>4.0999999999999996</v>
      </c>
      <c r="P11" s="1031">
        <f>Rechnungen!N101</f>
        <v>0.9</v>
      </c>
    </row>
    <row r="12" spans="1:21" ht="20" x14ac:dyDescent="0.3">
      <c r="A12" s="816" t="s">
        <v>1183</v>
      </c>
      <c r="B12" s="1032" t="s">
        <v>1169</v>
      </c>
      <c r="C12" s="951" t="s">
        <v>83</v>
      </c>
      <c r="D12" s="1352" t="s">
        <v>930</v>
      </c>
      <c r="E12" s="1033">
        <f>Rechnungen!G225</f>
        <v>19</v>
      </c>
      <c r="F12" s="1029">
        <f t="shared" ref="F12:P12" si="0">E12</f>
        <v>19</v>
      </c>
      <c r="G12" s="1030">
        <f t="shared" si="0"/>
        <v>19</v>
      </c>
      <c r="H12" s="1028">
        <f t="shared" si="0"/>
        <v>19</v>
      </c>
      <c r="I12" s="1029">
        <f t="shared" si="0"/>
        <v>19</v>
      </c>
      <c r="J12" s="1030">
        <f t="shared" si="0"/>
        <v>19</v>
      </c>
      <c r="K12" s="1028">
        <f t="shared" si="0"/>
        <v>19</v>
      </c>
      <c r="L12" s="1029">
        <f t="shared" si="0"/>
        <v>19</v>
      </c>
      <c r="M12" s="1030">
        <f t="shared" si="0"/>
        <v>19</v>
      </c>
      <c r="N12" s="1029">
        <f t="shared" si="0"/>
        <v>19</v>
      </c>
      <c r="O12" s="1029">
        <f t="shared" si="0"/>
        <v>19</v>
      </c>
      <c r="P12" s="1031">
        <f t="shared" si="0"/>
        <v>19</v>
      </c>
    </row>
    <row r="13" spans="1:21" x14ac:dyDescent="0.3">
      <c r="A13" s="1347" t="s">
        <v>924</v>
      </c>
      <c r="B13" s="1019"/>
      <c r="C13" s="1353"/>
      <c r="D13" s="1353"/>
      <c r="E13" s="1020"/>
      <c r="F13" s="1021"/>
      <c r="G13" s="1022"/>
      <c r="H13" s="1023"/>
      <c r="I13" s="1024"/>
      <c r="J13" s="1025"/>
      <c r="K13" s="1020"/>
      <c r="L13" s="1021"/>
      <c r="M13" s="1022"/>
      <c r="N13" s="1024"/>
      <c r="O13" s="1024"/>
      <c r="P13" s="1026"/>
    </row>
    <row r="14" spans="1:21" s="1034" customFormat="1" ht="16.5" x14ac:dyDescent="0.3">
      <c r="A14" s="1348" t="s">
        <v>829</v>
      </c>
      <c r="C14" s="1086" t="s">
        <v>71</v>
      </c>
      <c r="D14" s="1354">
        <f>Rechnungen!AE142+Rechnungen!AD53</f>
        <v>330</v>
      </c>
      <c r="E14" s="1035">
        <f>IF(Rechnungen!$D$4=TRUE,"---",D14)</f>
        <v>330</v>
      </c>
      <c r="F14" s="1036">
        <f>IF(Rechnungen!$D$4=TRUE,"---",E14)</f>
        <v>330</v>
      </c>
      <c r="G14" s="1037">
        <f>IF(Rechnungen!$D$4=TRUE,"---",F14)</f>
        <v>330</v>
      </c>
      <c r="H14" s="1035">
        <f>IF(Rechnungen!$D$4=TRUE,"---",G14)</f>
        <v>330</v>
      </c>
      <c r="I14" s="1036">
        <f>IF(Rechnungen!$D$4=TRUE,"---",H14)</f>
        <v>330</v>
      </c>
      <c r="J14" s="1037">
        <f>IF(Rechnungen!$D$4=TRUE,"---",I14)</f>
        <v>330</v>
      </c>
      <c r="K14" s="1035">
        <f>IF(Rechnungen!$D$4=TRUE,"---",J14)</f>
        <v>330</v>
      </c>
      <c r="L14" s="1036">
        <f>IF(Rechnungen!$D$4=TRUE,"---",K14)</f>
        <v>330</v>
      </c>
      <c r="M14" s="1037">
        <f>IF(Rechnungen!$D$4=TRUE,"---",L14)</f>
        <v>330</v>
      </c>
      <c r="N14" s="1036">
        <f>IF(Rechnungen!$D$4=TRUE,"---",M14)</f>
        <v>330</v>
      </c>
      <c r="O14" s="1036">
        <f>IF(Rechnungen!$D$4=TRUE,"---",N14)</f>
        <v>330</v>
      </c>
      <c r="P14" s="1038">
        <f>IF(Rechnungen!$D$4=TRUE,"---",O14)</f>
        <v>330</v>
      </c>
      <c r="Q14" s="1039"/>
      <c r="R14" s="1039"/>
      <c r="S14" s="1039"/>
      <c r="T14" s="1039"/>
      <c r="U14" s="1039"/>
    </row>
    <row r="15" spans="1:21" s="1034" customFormat="1" ht="20" x14ac:dyDescent="0.3">
      <c r="A15" s="1640" t="s">
        <v>869</v>
      </c>
      <c r="B15" s="1032" t="s">
        <v>1169</v>
      </c>
      <c r="C15" s="1355" t="s">
        <v>1164</v>
      </c>
      <c r="D15" s="1356">
        <f>IF(Rechnungen!$D$4=TRUE,"---",SUM(E15:P15))</f>
        <v>27331.920000000002</v>
      </c>
      <c r="E15" s="1040">
        <f>IF(Rechnungen!$D$4=TRUE,"---",Rechnungen!AD252)</f>
        <v>4419.3599999999997</v>
      </c>
      <c r="F15" s="1041">
        <f>IF(Rechnungen!$D$4=TRUE,"---",Rechnungen!AE252)</f>
        <v>3792.0960000000009</v>
      </c>
      <c r="G15" s="1042">
        <f>IF(Rechnungen!$D$4=TRUE,"---",Rechnungen!AF252)</f>
        <v>3510.9360000000001</v>
      </c>
      <c r="H15" s="1040">
        <f>IF(Rechnungen!$D$4=TRUE,"---",Rechnungen!AG252)</f>
        <v>2328.4800000000005</v>
      </c>
      <c r="I15" s="1041">
        <f>IF(Rechnungen!$D$4=TRUE,"---",Rechnungen!AH252)</f>
        <v>1203.0480000000002</v>
      </c>
      <c r="J15" s="1042">
        <f>IF(Rechnungen!$D$4=TRUE,"---",Rechnungen!AI252)</f>
        <v>546.48000000000013</v>
      </c>
      <c r="K15" s="1040">
        <f>IF(Rechnungen!$D$4=TRUE,"---",Rechnungen!AJ252)</f>
        <v>0</v>
      </c>
      <c r="L15" s="1041">
        <f>IF(Rechnungen!$D$4=TRUE,"---",Rechnungen!AK252)</f>
        <v>98.207999999999657</v>
      </c>
      <c r="M15" s="1042">
        <f>IF(Rechnungen!$D$4=TRUE,"---",Rechnungen!AL252)</f>
        <v>1116.7199999999998</v>
      </c>
      <c r="N15" s="1041">
        <f>IF(Rechnungen!$D$4=TRUE,"---",Rechnungen!AM252)</f>
        <v>2332.44</v>
      </c>
      <c r="O15" s="1041">
        <f>IF(Rechnungen!$D$4=TRUE,"---",Rechnungen!AN252)</f>
        <v>3540.2400000000002</v>
      </c>
      <c r="P15" s="1043">
        <f>IF(Rechnungen!$D$4=TRUE,"---",Rechnungen!AO252)</f>
        <v>4443.9120000000012</v>
      </c>
      <c r="Q15" s="1039"/>
      <c r="R15" s="1039"/>
      <c r="S15" s="1039"/>
      <c r="T15" s="1039"/>
      <c r="U15" s="1039"/>
    </row>
    <row r="16" spans="1:21" s="1034" customFormat="1" ht="20" x14ac:dyDescent="0.3">
      <c r="A16" s="1641"/>
      <c r="B16" s="949" t="s">
        <v>1170</v>
      </c>
      <c r="C16" s="1086" t="s">
        <v>1164</v>
      </c>
      <c r="D16" s="1357">
        <f>IF(Rechnungen!$D$4=TRUE,"---",SUM(E16:P16))</f>
        <v>25248.35564533923</v>
      </c>
      <c r="E16" s="1044">
        <f>IF(Rechnungen!$D$4=TRUE,"---",Rechnungen!AD253)</f>
        <v>4064.4078304555442</v>
      </c>
      <c r="F16" s="1045">
        <f>IF(Rechnungen!$D$4=TRUE,"---",Rechnungen!AE253)</f>
        <v>3493.0382689332714</v>
      </c>
      <c r="G16" s="1046">
        <f>IF(Rechnungen!$D$4=TRUE,"---",Rechnungen!AF253)</f>
        <v>3247.6675478683273</v>
      </c>
      <c r="H16" s="1044">
        <f>IF(Rechnungen!$D$4=TRUE,"---",Rechnungen!AG253)</f>
        <v>2162.9838589980291</v>
      </c>
      <c r="I16" s="1045">
        <f>IF(Rechnungen!$D$4=TRUE,"---",Rechnungen!AH253)</f>
        <v>1118.0174227570544</v>
      </c>
      <c r="J16" s="1046">
        <f>IF(Rechnungen!$D$4=TRUE,"---",Rechnungen!AI253)</f>
        <v>507.85518216087348</v>
      </c>
      <c r="K16" s="1044">
        <f>IF(Rechnungen!$D$4=TRUE,"---",Rechnungen!AJ253)</f>
        <v>0</v>
      </c>
      <c r="L16" s="1045">
        <f>IF(Rechnungen!$D$4=TRUE,"---",Rechnungen!AK253)</f>
        <v>91.266728388330733</v>
      </c>
      <c r="M16" s="1046">
        <f>IF(Rechnungen!$D$4=TRUE,"---",Rechnungen!AL253)</f>
        <v>1037.7910244156994</v>
      </c>
      <c r="N16" s="1045">
        <f>IF(Rechnungen!$D$4=TRUE,"---",Rechnungen!AM253)</f>
        <v>2166.9587241080735</v>
      </c>
      <c r="O16" s="1045">
        <f>IF(Rechnungen!$D$4=TRUE,"---",Rechnungen!AN253)</f>
        <v>3272.1269767666222</v>
      </c>
      <c r="P16" s="1047">
        <f>IF(Rechnungen!$D$4=TRUE,"---",Rechnungen!AO253)</f>
        <v>4086.2420804874055</v>
      </c>
      <c r="Q16" s="1039"/>
      <c r="R16" s="1039"/>
      <c r="S16" s="1039"/>
      <c r="T16" s="1039"/>
      <c r="U16" s="1039"/>
    </row>
    <row r="17" spans="1:21" x14ac:dyDescent="0.3">
      <c r="A17" s="1347" t="s">
        <v>519</v>
      </c>
      <c r="B17" s="1019"/>
      <c r="C17" s="1353"/>
      <c r="D17" s="1353"/>
      <c r="E17" s="1020"/>
      <c r="F17" s="1021"/>
      <c r="G17" s="1022"/>
      <c r="H17" s="1023"/>
      <c r="I17" s="1024"/>
      <c r="J17" s="1025"/>
      <c r="K17" s="1020"/>
      <c r="L17" s="1021"/>
      <c r="M17" s="1022"/>
      <c r="N17" s="1024"/>
      <c r="O17" s="1024"/>
      <c r="P17" s="1026"/>
    </row>
    <row r="18" spans="1:21" ht="16.5" x14ac:dyDescent="0.3">
      <c r="A18" s="1349" t="s">
        <v>830</v>
      </c>
      <c r="B18" s="1048"/>
      <c r="C18" s="1086" t="s">
        <v>71</v>
      </c>
      <c r="D18" s="1358">
        <f>Rechnungen!AE107</f>
        <v>142.12000000000003</v>
      </c>
      <c r="E18" s="1035">
        <f>IF(Rechnungen!$D$4=TRUE,"---",D18)</f>
        <v>142.12000000000003</v>
      </c>
      <c r="F18" s="1036">
        <f>IF(Rechnungen!$D$4=TRUE,"---",E18)</f>
        <v>142.12000000000003</v>
      </c>
      <c r="G18" s="1037">
        <f>IF(Rechnungen!$D$4=TRUE,"---",F18)</f>
        <v>142.12000000000003</v>
      </c>
      <c r="H18" s="1035">
        <f>IF(Rechnungen!$D$4=TRUE,"---",G18)</f>
        <v>142.12000000000003</v>
      </c>
      <c r="I18" s="1036">
        <f>IF(Rechnungen!$D$4=TRUE,"---",H18)</f>
        <v>142.12000000000003</v>
      </c>
      <c r="J18" s="1037">
        <f>IF(Rechnungen!$D$4=TRUE,"---",I18)</f>
        <v>142.12000000000003</v>
      </c>
      <c r="K18" s="1035">
        <f>IF(Rechnungen!$D$4=TRUE,"---",J18)</f>
        <v>142.12000000000003</v>
      </c>
      <c r="L18" s="1036">
        <f>IF(Rechnungen!$D$4=TRUE,"---",K18)</f>
        <v>142.12000000000003</v>
      </c>
      <c r="M18" s="1037">
        <f>IF(Rechnungen!$D$4=TRUE,"---",L18)</f>
        <v>142.12000000000003</v>
      </c>
      <c r="N18" s="1036">
        <f>IF(Rechnungen!$D$4=TRUE,"---",M18)</f>
        <v>142.12000000000003</v>
      </c>
      <c r="O18" s="1036">
        <f>IF(Rechnungen!$D$4=TRUE,"---",N18)</f>
        <v>142.12000000000003</v>
      </c>
      <c r="P18" s="1038">
        <f>IF(Rechnungen!$D$4=TRUE,"---",O18)</f>
        <v>142.12000000000003</v>
      </c>
      <c r="Q18" s="1048"/>
      <c r="R18" s="1048"/>
      <c r="S18" s="1048"/>
      <c r="T18" s="1048"/>
      <c r="U18" s="1048"/>
    </row>
    <row r="19" spans="1:21" ht="16.5" x14ac:dyDescent="0.3">
      <c r="A19" s="1349" t="s">
        <v>870</v>
      </c>
      <c r="B19" s="1048"/>
      <c r="C19" s="1086" t="s">
        <v>1164</v>
      </c>
      <c r="D19" s="1357">
        <f>IF(Rechnungen!$D$4=TRUE,"---",SUM(E19:P19))</f>
        <v>11770.946880000005</v>
      </c>
      <c r="E19" s="1044">
        <f>IF(Rechnungen!$D$4=TRUE,"---",Rechnungen!AD254)</f>
        <v>1903.2710400000005</v>
      </c>
      <c r="F19" s="1045">
        <f>IF(Rechnungen!$D$4=TRUE,"---",Rechnungen!AE254)</f>
        <v>1633.1293440000006</v>
      </c>
      <c r="G19" s="1046">
        <f>IF(Rechnungen!$D$4=TRUE,"---",Rechnungen!AF254)</f>
        <v>1512.0431040000005</v>
      </c>
      <c r="H19" s="1044">
        <f>IF(Rechnungen!$D$4=TRUE,"---",Rechnungen!AG254)</f>
        <v>1002.7987200000003</v>
      </c>
      <c r="I19" s="1045">
        <f>IF(Rechnungen!$D$4=TRUE,"---",Rechnungen!AH254)</f>
        <v>518.1126720000002</v>
      </c>
      <c r="J19" s="1046">
        <f>IF(Rechnungen!$D$4=TRUE,"---",Rechnungen!AI254)</f>
        <v>235.35072000000014</v>
      </c>
      <c r="K19" s="1044">
        <f>IF(Rechnungen!$D$4=TRUE,"---",Rechnungen!AJ254)</f>
        <v>0</v>
      </c>
      <c r="L19" s="1045">
        <f>IF(Rechnungen!$D$4=TRUE,"---",Rechnungen!AK254)</f>
        <v>42.294911999999862</v>
      </c>
      <c r="M19" s="1046">
        <f>IF(Rechnungen!$D$4=TRUE,"---",Rechnungen!AL254)</f>
        <v>480.93408000000005</v>
      </c>
      <c r="N19" s="1045">
        <f>IF(Rechnungen!$D$4=TRUE,"---",Rechnungen!AM254)</f>
        <v>1004.5041600000003</v>
      </c>
      <c r="O19" s="1045">
        <f>IF(Rechnungen!$D$4=TRUE,"---",Rechnungen!AN254)</f>
        <v>1524.6633600000005</v>
      </c>
      <c r="P19" s="1047">
        <f>IF(Rechnungen!$D$4=TRUE,"---",Rechnungen!AO254)</f>
        <v>1913.8447680000006</v>
      </c>
      <c r="Q19" s="1048"/>
      <c r="R19" s="1048"/>
      <c r="S19" s="1048"/>
      <c r="T19" s="1048"/>
      <c r="U19" s="1048"/>
    </row>
    <row r="20" spans="1:21" x14ac:dyDescent="0.3">
      <c r="A20" s="1347" t="s">
        <v>1185</v>
      </c>
      <c r="B20" s="1019"/>
      <c r="C20" s="1353"/>
      <c r="D20" s="1353"/>
      <c r="E20" s="1020"/>
      <c r="F20" s="1021"/>
      <c r="G20" s="1022"/>
      <c r="H20" s="1023"/>
      <c r="I20" s="1024"/>
      <c r="J20" s="1025"/>
      <c r="K20" s="1020"/>
      <c r="L20" s="1021"/>
      <c r="M20" s="1022"/>
      <c r="N20" s="1024"/>
      <c r="O20" s="1024"/>
      <c r="P20" s="1026"/>
    </row>
    <row r="21" spans="1:21" ht="18.5" x14ac:dyDescent="0.3">
      <c r="A21" s="1069" t="s">
        <v>1172</v>
      </c>
      <c r="C21" s="983" t="s">
        <v>558</v>
      </c>
      <c r="D21" s="547"/>
      <c r="E21" s="1044">
        <f>IF(Rechnungen!$D$4=TRUE,"---",Rechnungen!E222)</f>
        <v>1600</v>
      </c>
      <c r="F21" s="1045">
        <f>IF(Rechnungen!$D$4=TRUE,"---",Rechnungen!F222)</f>
        <v>1600</v>
      </c>
      <c r="G21" s="1046">
        <f>IF(Rechnungen!$D$4=TRUE,"---",Rechnungen!G222)</f>
        <v>1600</v>
      </c>
      <c r="H21" s="1044">
        <f>IF(Rechnungen!$D$4=TRUE,"---",Rechnungen!H222)</f>
        <v>1600</v>
      </c>
      <c r="I21" s="1045">
        <f>IF(Rechnungen!$D$4=TRUE,"---",Rechnungen!I222)</f>
        <v>1600</v>
      </c>
      <c r="J21" s="1046">
        <f>IF(Rechnungen!$D$4=TRUE,"---",Rechnungen!J222)</f>
        <v>1600</v>
      </c>
      <c r="K21" s="1044">
        <f>IF(Rechnungen!$D$4=TRUE,"---",Rechnungen!K222)</f>
        <v>1600</v>
      </c>
      <c r="L21" s="1045">
        <f>IF(Rechnungen!$D$4=TRUE,"---",Rechnungen!L222)</f>
        <v>1600</v>
      </c>
      <c r="M21" s="1046">
        <f>IF(Rechnungen!$D$4=TRUE,"---",Rechnungen!M222)</f>
        <v>1600</v>
      </c>
      <c r="N21" s="1045">
        <f>IF(Rechnungen!$D$4=TRUE,"---",Rechnungen!N222)</f>
        <v>1600</v>
      </c>
      <c r="O21" s="1045">
        <f>IF(Rechnungen!$D$4=TRUE,"---",Rechnungen!O222)</f>
        <v>1600</v>
      </c>
      <c r="P21" s="1047">
        <f>IF(Rechnungen!$D$4=TRUE,"---",Rechnungen!P222)</f>
        <v>1600</v>
      </c>
      <c r="Q21" s="1012"/>
      <c r="R21" s="1012"/>
      <c r="S21" s="1012"/>
      <c r="T21" s="1012"/>
    </row>
    <row r="22" spans="1:21" ht="16.5" x14ac:dyDescent="0.3">
      <c r="A22" s="1069" t="s">
        <v>831</v>
      </c>
      <c r="C22" s="983" t="s">
        <v>1164</v>
      </c>
      <c r="D22" s="1357">
        <f>IF(Rechnungen!$D$4=TRUE,"---",SUM(E22:P22))</f>
        <v>14015.999999999998</v>
      </c>
      <c r="E22" s="1044">
        <f>IF(Rechnungen!$D$4=TRUE,"---",Rechnungen!E223)</f>
        <v>1190.3999999999999</v>
      </c>
      <c r="F22" s="1045">
        <f>IF(Rechnungen!$D$4=TRUE,"---",Rechnungen!F223)</f>
        <v>1075.2</v>
      </c>
      <c r="G22" s="1046">
        <f>IF(Rechnungen!$D$4=TRUE,"---",Rechnungen!G223)</f>
        <v>1190.3999999999999</v>
      </c>
      <c r="H22" s="1044">
        <f>IF(Rechnungen!$D$4=TRUE,"---",Rechnungen!H223)</f>
        <v>1152</v>
      </c>
      <c r="I22" s="1045">
        <f>IF(Rechnungen!$D$4=TRUE,"---",Rechnungen!I223)</f>
        <v>1190.3999999999999</v>
      </c>
      <c r="J22" s="1046">
        <f>IF(Rechnungen!$D$4=TRUE,"---",Rechnungen!J223)</f>
        <v>1152</v>
      </c>
      <c r="K22" s="1044">
        <f>IF(Rechnungen!$D$4=TRUE,"---",Rechnungen!K223)</f>
        <v>1190.3999999999999</v>
      </c>
      <c r="L22" s="1045">
        <f>IF(Rechnungen!$D$4=TRUE,"---",Rechnungen!L223)</f>
        <v>1190.3999999999999</v>
      </c>
      <c r="M22" s="1046">
        <f>IF(Rechnungen!$D$4=TRUE,"---",Rechnungen!M223)</f>
        <v>1152</v>
      </c>
      <c r="N22" s="1045">
        <f>IF(Rechnungen!$D$4=TRUE,"---",Rechnungen!N223)</f>
        <v>1190.3999999999999</v>
      </c>
      <c r="O22" s="1045">
        <f>IF(Rechnungen!$D$4=TRUE,"---",Rechnungen!O223)</f>
        <v>1152</v>
      </c>
      <c r="P22" s="1047">
        <f>IF(Rechnungen!$D$4=TRUE,"---",Rechnungen!P223)</f>
        <v>1190.3999999999999</v>
      </c>
      <c r="Q22" s="1012"/>
      <c r="R22" s="1012"/>
      <c r="S22" s="1012"/>
      <c r="T22" s="1012"/>
    </row>
    <row r="23" spans="1:21" x14ac:dyDescent="0.3">
      <c r="A23" s="1347" t="s">
        <v>1186</v>
      </c>
      <c r="B23" s="1019"/>
      <c r="C23" s="1353"/>
      <c r="D23" s="1353"/>
      <c r="E23" s="1020"/>
      <c r="F23" s="1021"/>
      <c r="G23" s="1022"/>
      <c r="H23" s="1023"/>
      <c r="I23" s="1024"/>
      <c r="J23" s="1025"/>
      <c r="K23" s="1020"/>
      <c r="L23" s="1021"/>
      <c r="M23" s="1022"/>
      <c r="N23" s="1024"/>
      <c r="O23" s="1024"/>
      <c r="P23" s="1026"/>
    </row>
    <row r="24" spans="1:21" ht="18.5" x14ac:dyDescent="0.3">
      <c r="A24" s="1069" t="s">
        <v>1190</v>
      </c>
      <c r="B24" s="1642" t="s">
        <v>1188</v>
      </c>
      <c r="C24" s="983" t="s">
        <v>558</v>
      </c>
      <c r="D24" s="1359"/>
      <c r="E24" s="1044">
        <f>IF(Rechnungen!$D$4=TRUE,"---",Rechnungen!AE181)</f>
        <v>0</v>
      </c>
      <c r="F24" s="1045">
        <f>IF(Rechnungen!$D$4=TRUE,"---",Rechnungen!AF181)</f>
        <v>0</v>
      </c>
      <c r="G24" s="1046">
        <f>IF(Rechnungen!$D$4=TRUE,"---",Rechnungen!AG181)</f>
        <v>0</v>
      </c>
      <c r="H24" s="1044">
        <f>IF(Rechnungen!$D$4=TRUE,"---",Rechnungen!AH181)</f>
        <v>0</v>
      </c>
      <c r="I24" s="1045">
        <f>IF(Rechnungen!$D$4=TRUE,"---",Rechnungen!AI181)</f>
        <v>0</v>
      </c>
      <c r="J24" s="1046">
        <f>IF(Rechnungen!$D$4=TRUE,"---",Rechnungen!AJ181)</f>
        <v>0</v>
      </c>
      <c r="K24" s="1044">
        <f>IF(Rechnungen!$D$4=TRUE,"---",Rechnungen!AK181)</f>
        <v>0</v>
      </c>
      <c r="L24" s="1045">
        <f>IF(Rechnungen!$D$4=TRUE,"---",Rechnungen!AL181)</f>
        <v>0</v>
      </c>
      <c r="M24" s="1046">
        <f>IF(Rechnungen!$D$4=TRUE,"---",Rechnungen!AM181)</f>
        <v>0</v>
      </c>
      <c r="N24" s="1045">
        <f>IF(Rechnungen!$D$4=TRUE,"---",Rechnungen!AN181)</f>
        <v>0</v>
      </c>
      <c r="O24" s="1045">
        <f>IF(Rechnungen!$D$4=TRUE,"---",Rechnungen!AO181)</f>
        <v>0</v>
      </c>
      <c r="P24" s="1047">
        <f>IF(Rechnungen!$D$4=TRUE,"---",Rechnungen!AP181)</f>
        <v>0</v>
      </c>
      <c r="Q24" s="1012"/>
      <c r="R24" s="1012"/>
      <c r="S24" s="1012"/>
      <c r="T24" s="1012"/>
    </row>
    <row r="25" spans="1:21" ht="16.5" x14ac:dyDescent="0.3">
      <c r="A25" s="1069" t="s">
        <v>1191</v>
      </c>
      <c r="B25" s="1643"/>
      <c r="C25" s="983" t="s">
        <v>1164</v>
      </c>
      <c r="D25" s="1357">
        <f>IF(Rechnungen!$D$4=TRUE,"---",SUM(E25:P25))</f>
        <v>0</v>
      </c>
      <c r="E25" s="1044">
        <f>IF(Rechnungen!$D$4=TRUE,"---",Rechnungen!AE182)</f>
        <v>0</v>
      </c>
      <c r="F25" s="1045">
        <f>IF(Rechnungen!$D$4=TRUE,"---",Rechnungen!AF182)</f>
        <v>0</v>
      </c>
      <c r="G25" s="1046">
        <f>IF(Rechnungen!$D$4=TRUE,"---",Rechnungen!AG182)</f>
        <v>0</v>
      </c>
      <c r="H25" s="1044">
        <f>IF(Rechnungen!$D$4=TRUE,"---",Rechnungen!AH182)</f>
        <v>0</v>
      </c>
      <c r="I25" s="1045">
        <f>IF(Rechnungen!$D$4=TRUE,"---",Rechnungen!AI182)</f>
        <v>0</v>
      </c>
      <c r="J25" s="1046">
        <f>IF(Rechnungen!$D$4=TRUE,"---",Rechnungen!AJ182)</f>
        <v>0</v>
      </c>
      <c r="K25" s="1044">
        <f>IF(Rechnungen!$D$4=TRUE,"---",Rechnungen!AK182)</f>
        <v>0</v>
      </c>
      <c r="L25" s="1045">
        <f>IF(Rechnungen!$D$4=TRUE,"---",Rechnungen!AL182)</f>
        <v>0</v>
      </c>
      <c r="M25" s="1046">
        <f>IF(Rechnungen!$D$4=TRUE,"---",Rechnungen!AM182)</f>
        <v>0</v>
      </c>
      <c r="N25" s="1045">
        <f>IF(Rechnungen!$D$4=TRUE,"---",Rechnungen!AN182)</f>
        <v>0</v>
      </c>
      <c r="O25" s="1045">
        <f>IF(Rechnungen!$D$4=TRUE,"---",Rechnungen!AO182)</f>
        <v>0</v>
      </c>
      <c r="P25" s="1047">
        <f>IF(Rechnungen!$D$4=TRUE,"---",Rechnungen!AP182)</f>
        <v>0</v>
      </c>
      <c r="Q25" s="1012"/>
      <c r="R25" s="1012"/>
      <c r="S25" s="1012"/>
      <c r="T25" s="1012"/>
    </row>
    <row r="26" spans="1:21" ht="18.5" x14ac:dyDescent="0.3">
      <c r="A26" s="1069" t="s">
        <v>1192</v>
      </c>
      <c r="B26" s="1643" t="s">
        <v>1189</v>
      </c>
      <c r="C26" s="983" t="s">
        <v>558</v>
      </c>
      <c r="D26" s="1359"/>
      <c r="E26" s="1044">
        <f>IF(Rechnungen!$D$4=TRUE,"---",Rechnungen!AC217)</f>
        <v>0</v>
      </c>
      <c r="F26" s="1045">
        <f>IF(Rechnungen!$D$4=TRUE,"---",Rechnungen!AD217)</f>
        <v>0</v>
      </c>
      <c r="G26" s="1046">
        <f>IF(Rechnungen!$D$4=TRUE,"---",Rechnungen!AE217)</f>
        <v>0</v>
      </c>
      <c r="H26" s="1044">
        <f>IF(Rechnungen!$D$4=TRUE,"---",Rechnungen!AF217)</f>
        <v>0</v>
      </c>
      <c r="I26" s="1045">
        <f>IF(Rechnungen!$D$4=TRUE,"---",Rechnungen!AG217)</f>
        <v>0</v>
      </c>
      <c r="J26" s="1046">
        <f>IF(Rechnungen!$D$4=TRUE,"---",Rechnungen!AH217)</f>
        <v>0</v>
      </c>
      <c r="K26" s="1044">
        <f>IF(Rechnungen!$D$4=TRUE,"---",Rechnungen!AI217)</f>
        <v>0</v>
      </c>
      <c r="L26" s="1045">
        <f>IF(Rechnungen!$D$4=TRUE,"---",Rechnungen!AJ217)</f>
        <v>0</v>
      </c>
      <c r="M26" s="1046">
        <f>IF(Rechnungen!$D$4=TRUE,"---",Rechnungen!AK217)</f>
        <v>0</v>
      </c>
      <c r="N26" s="1045">
        <f>IF(Rechnungen!$D$4=TRUE,"---",Rechnungen!AL217)</f>
        <v>0</v>
      </c>
      <c r="O26" s="1045">
        <f>IF(Rechnungen!$D$4=TRUE,"---",Rechnungen!AM217)</f>
        <v>0</v>
      </c>
      <c r="P26" s="1047">
        <f>IF(Rechnungen!$D$4=TRUE,"---",Rechnungen!AN217)</f>
        <v>0</v>
      </c>
      <c r="Q26" s="1012"/>
      <c r="R26" s="1012"/>
      <c r="S26" s="1012"/>
      <c r="T26" s="1012"/>
    </row>
    <row r="27" spans="1:21" ht="16.5" x14ac:dyDescent="0.3">
      <c r="A27" s="1069" t="s">
        <v>1193</v>
      </c>
      <c r="B27" s="1643" t="s">
        <v>1189</v>
      </c>
      <c r="C27" s="983" t="s">
        <v>1164</v>
      </c>
      <c r="D27" s="1357">
        <f>IF(Rechnungen!$D$4=TRUE,"---",SUM(E27:P27))</f>
        <v>0</v>
      </c>
      <c r="E27" s="1044">
        <f>IF(Rechnungen!$D$4=TRUE,"---",Rechnungen!AC218)</f>
        <v>0</v>
      </c>
      <c r="F27" s="1045">
        <f>IF(Rechnungen!$D$4=TRUE,"---",Rechnungen!AD218)</f>
        <v>0</v>
      </c>
      <c r="G27" s="1046">
        <f>IF(Rechnungen!$D$4=TRUE,"---",Rechnungen!AE218)</f>
        <v>0</v>
      </c>
      <c r="H27" s="1044">
        <f>IF(Rechnungen!$D$4=TRUE,"---",Rechnungen!AF218)</f>
        <v>0</v>
      </c>
      <c r="I27" s="1045">
        <f>IF(Rechnungen!$D$4=TRUE,"---",Rechnungen!AG218)</f>
        <v>0</v>
      </c>
      <c r="J27" s="1046">
        <f>IF(Rechnungen!$D$4=TRUE,"---",Rechnungen!AH218)</f>
        <v>0</v>
      </c>
      <c r="K27" s="1044">
        <f>IF(Rechnungen!$D$4=TRUE,"---",Rechnungen!AI218)</f>
        <v>0</v>
      </c>
      <c r="L27" s="1045">
        <f>IF(Rechnungen!$D$4=TRUE,"---",Rechnungen!AJ218)</f>
        <v>0</v>
      </c>
      <c r="M27" s="1046">
        <f>IF(Rechnungen!$D$4=TRUE,"---",Rechnungen!AK218)</f>
        <v>0</v>
      </c>
      <c r="N27" s="1045">
        <f>IF(Rechnungen!$D$4=TRUE,"---",Rechnungen!AL218)</f>
        <v>0</v>
      </c>
      <c r="O27" s="1045">
        <f>IF(Rechnungen!$D$4=TRUE,"---",Rechnungen!AM218)</f>
        <v>0</v>
      </c>
      <c r="P27" s="1047">
        <f>IF(Rechnungen!$D$4=TRUE,"---",Rechnungen!AN218)</f>
        <v>0</v>
      </c>
      <c r="Q27" s="1012"/>
      <c r="R27" s="1012"/>
      <c r="S27" s="1012"/>
      <c r="T27" s="1012"/>
    </row>
    <row r="28" spans="1:21" ht="16.5" x14ac:dyDescent="0.3">
      <c r="A28" s="1069" t="s">
        <v>1173</v>
      </c>
      <c r="B28" s="949" t="s">
        <v>615</v>
      </c>
      <c r="C28" s="983" t="s">
        <v>1164</v>
      </c>
      <c r="D28" s="1357">
        <f>IF(Rechnungen!$D$4=TRUE,"---",D25+D27)</f>
        <v>0</v>
      </c>
      <c r="E28" s="1044">
        <f>IF(Rechnungen!$D$4=TRUE,"---",E25+E27)</f>
        <v>0</v>
      </c>
      <c r="F28" s="1045">
        <f>IF(Rechnungen!$D$4=TRUE,"---",F25+F27)</f>
        <v>0</v>
      </c>
      <c r="G28" s="1046">
        <f>IF(Rechnungen!$D$4=TRUE,"---",G25+G27)</f>
        <v>0</v>
      </c>
      <c r="H28" s="1044">
        <f>IF(Rechnungen!$D$4=TRUE,"---",H25+H27)</f>
        <v>0</v>
      </c>
      <c r="I28" s="1045">
        <f>IF(Rechnungen!$D$4=TRUE,"---",I25+I27)</f>
        <v>0</v>
      </c>
      <c r="J28" s="1046">
        <f>IF(Rechnungen!$D$4=TRUE,"---",J25+J27)</f>
        <v>0</v>
      </c>
      <c r="K28" s="1044">
        <f>IF(Rechnungen!$D$4=TRUE,"---",K25+K27)</f>
        <v>0</v>
      </c>
      <c r="L28" s="1045">
        <f>IF(Rechnungen!$D$4=TRUE,"---",L25+L27)</f>
        <v>0</v>
      </c>
      <c r="M28" s="1046">
        <f>IF(Rechnungen!$D$4=TRUE,"---",M25+M27)</f>
        <v>0</v>
      </c>
      <c r="N28" s="1045">
        <f>IF(Rechnungen!$D$4=TRUE,"---",N25+N27)</f>
        <v>0</v>
      </c>
      <c r="O28" s="1045">
        <f>IF(Rechnungen!$D$4=TRUE,"---",O25+O27)</f>
        <v>0</v>
      </c>
      <c r="P28" s="1047">
        <f>IF(Rechnungen!$D$4=TRUE,"---",P25+P27)</f>
        <v>0</v>
      </c>
    </row>
    <row r="29" spans="1:21" x14ac:dyDescent="0.3">
      <c r="A29" s="1347" t="s">
        <v>1176</v>
      </c>
      <c r="B29" s="1019"/>
      <c r="C29" s="1353"/>
      <c r="D29" s="1353"/>
      <c r="E29" s="1020"/>
      <c r="F29" s="1021"/>
      <c r="G29" s="1022"/>
      <c r="H29" s="1023"/>
      <c r="I29" s="1024"/>
      <c r="J29" s="1025"/>
      <c r="K29" s="1020"/>
      <c r="L29" s="1021"/>
      <c r="M29" s="1022"/>
      <c r="N29" s="1024"/>
      <c r="O29" s="1024"/>
      <c r="P29" s="1026"/>
    </row>
    <row r="30" spans="1:21" ht="16.5" x14ac:dyDescent="0.3">
      <c r="A30" s="1069" t="s">
        <v>1174</v>
      </c>
      <c r="C30" s="983" t="s">
        <v>1164</v>
      </c>
      <c r="D30" s="1357">
        <f>IF(Rechnungen!$D$4=TRUE,"---",SUM(E30:P30))</f>
        <v>37019.302525339241</v>
      </c>
      <c r="E30" s="1044">
        <f>IF(Rechnungen!$D$4=TRUE,"---",Rechnungen!AD255)</f>
        <v>5967.6788704555447</v>
      </c>
      <c r="F30" s="1045">
        <f>IF(Rechnungen!$D$4=TRUE,"---",Rechnungen!AE255)</f>
        <v>5126.1676129332718</v>
      </c>
      <c r="G30" s="1046">
        <f>IF(Rechnungen!$D$4=TRUE,"---",Rechnungen!AF255)</f>
        <v>4759.7106518683277</v>
      </c>
      <c r="H30" s="1044">
        <f>IF(Rechnungen!$D$4=TRUE,"---",Rechnungen!AG255)</f>
        <v>3165.7825789980293</v>
      </c>
      <c r="I30" s="1045">
        <f>IF(Rechnungen!$D$4=TRUE,"---",Rechnungen!AH255)</f>
        <v>1636.1300947570546</v>
      </c>
      <c r="J30" s="1046">
        <f>IF(Rechnungen!$D$4=TRUE,"---",Rechnungen!AI255)</f>
        <v>743.20590216087362</v>
      </c>
      <c r="K30" s="1044">
        <f>IF(Rechnungen!$D$4=TRUE,"---",Rechnungen!AJ255)</f>
        <v>0</v>
      </c>
      <c r="L30" s="1045">
        <f>IF(Rechnungen!$D$4=TRUE,"---",Rechnungen!AK255)</f>
        <v>133.5616403883306</v>
      </c>
      <c r="M30" s="1046">
        <f>IF(Rechnungen!$D$4=TRUE,"---",Rechnungen!AL255)</f>
        <v>1518.7251044156994</v>
      </c>
      <c r="N30" s="1045">
        <f>IF(Rechnungen!$D$4=TRUE,"---",Rechnungen!AM255)</f>
        <v>3171.4628841080739</v>
      </c>
      <c r="O30" s="1045">
        <f>IF(Rechnungen!$D$4=TRUE,"---",Rechnungen!AN255)</f>
        <v>4796.7903367666222</v>
      </c>
      <c r="P30" s="1047">
        <f>IF(Rechnungen!$D$4=TRUE,"---",Rechnungen!AO255)</f>
        <v>6000.0868484874063</v>
      </c>
    </row>
    <row r="31" spans="1:21" ht="16.5" x14ac:dyDescent="0.3">
      <c r="A31" s="1069" t="s">
        <v>1175</v>
      </c>
      <c r="C31" s="983" t="s">
        <v>1164</v>
      </c>
      <c r="D31" s="1357">
        <f>IF(Rechnungen!$D$4=TRUE,"---",SUM(E31:P31))</f>
        <v>14015.999999999998</v>
      </c>
      <c r="E31" s="1044">
        <f>IF(Rechnungen!$D$4=TRUE,"---",Rechnungen!AD260)</f>
        <v>1190.3999999999999</v>
      </c>
      <c r="F31" s="1045">
        <f>IF(Rechnungen!$D$4=TRUE,"---",Rechnungen!AE260)</f>
        <v>1075.2</v>
      </c>
      <c r="G31" s="1046">
        <f>IF(Rechnungen!$D$4=TRUE,"---",Rechnungen!AF260)</f>
        <v>1190.3999999999999</v>
      </c>
      <c r="H31" s="1044">
        <f>IF(Rechnungen!$D$4=TRUE,"---",Rechnungen!AG260)</f>
        <v>1152</v>
      </c>
      <c r="I31" s="1045">
        <f>IF(Rechnungen!$D$4=TRUE,"---",Rechnungen!AH260)</f>
        <v>1190.3999999999999</v>
      </c>
      <c r="J31" s="1046">
        <f>IF(Rechnungen!$D$4=TRUE,"---",Rechnungen!AI260)</f>
        <v>1152</v>
      </c>
      <c r="K31" s="1044">
        <f>IF(Rechnungen!$D$4=TRUE,"---",Rechnungen!AJ260)</f>
        <v>1190.3999999999999</v>
      </c>
      <c r="L31" s="1045">
        <f>IF(Rechnungen!$D$4=TRUE,"---",Rechnungen!AK260)</f>
        <v>1190.3999999999999</v>
      </c>
      <c r="M31" s="1046">
        <f>IF(Rechnungen!$D$4=TRUE,"---",Rechnungen!AL260)</f>
        <v>1152</v>
      </c>
      <c r="N31" s="1045">
        <f>IF(Rechnungen!$D$4=TRUE,"---",Rechnungen!AM260)</f>
        <v>1190.3999999999999</v>
      </c>
      <c r="O31" s="1045">
        <f>IF(Rechnungen!$D$4=TRUE,"---",Rechnungen!AN260)</f>
        <v>1152</v>
      </c>
      <c r="P31" s="1047">
        <f>IF(Rechnungen!$D$4=TRUE,"---",Rechnungen!AO260)</f>
        <v>1190.3999999999999</v>
      </c>
    </row>
    <row r="32" spans="1:21" x14ac:dyDescent="0.3">
      <c r="A32" s="1069" t="s">
        <v>1165</v>
      </c>
      <c r="C32" s="983" t="s">
        <v>443</v>
      </c>
      <c r="D32" s="1359"/>
      <c r="E32" s="1051">
        <f>IF(Rechnungen!$D$4=TRUE,"---",E31/E30)</f>
        <v>0.19947454041023663</v>
      </c>
      <c r="F32" s="1052">
        <f>IF(Rechnungen!$D$4=TRUE,"---",F31/F30)</f>
        <v>0.20974733586301017</v>
      </c>
      <c r="G32" s="1053">
        <f>IF(Rechnungen!$D$4=TRUE,"---",G31/G30)</f>
        <v>0.25009923650143157</v>
      </c>
      <c r="H32" s="1051">
        <f>IF(Rechnungen!$D$4=TRUE,"---",H31/H30)</f>
        <v>0.36389106682260164</v>
      </c>
      <c r="I32" s="1052">
        <f>IF(Rechnungen!$D$4=TRUE,"---",I31/I30)</f>
        <v>0.72757050543511925</v>
      </c>
      <c r="J32" s="1053">
        <f>IF(Rechnungen!$D$4=TRUE,"---",J31/J30)</f>
        <v>1.5500415115791684</v>
      </c>
      <c r="K32" s="1051" t="e">
        <f>IF(Rechnungen!$D$4=TRUE,"---",K31/K30)</f>
        <v>#DIV/0!</v>
      </c>
      <c r="L32" s="1052">
        <f>IF(Rechnungen!$D$4=TRUE,"---",L31/L30)</f>
        <v>8.9127386915802376</v>
      </c>
      <c r="M32" s="1053">
        <f>IF(Rechnungen!$D$4=TRUE,"---",M31/M30)</f>
        <v>0.75853095247491154</v>
      </c>
      <c r="N32" s="1052">
        <f>IF(Rechnungen!$D$4=TRUE,"---",N31/N30)</f>
        <v>0.37534729035139941</v>
      </c>
      <c r="O32" s="1052">
        <f>IF(Rechnungen!$D$4=TRUE,"---",O31/O30)</f>
        <v>0.24016059054532909</v>
      </c>
      <c r="P32" s="1054">
        <f>IF(Rechnungen!$D$4=TRUE,"---",P31/P30)</f>
        <v>0.19839712825158423</v>
      </c>
    </row>
    <row r="33" spans="1:20" x14ac:dyDescent="0.3">
      <c r="A33" s="1069" t="s">
        <v>1171</v>
      </c>
      <c r="C33" s="1360" t="s">
        <v>443</v>
      </c>
      <c r="D33" s="1119">
        <f>IF(Rechnungen!$D$4=TRUE,"---",Rechnungen!P262)</f>
        <v>0.75753404591200746</v>
      </c>
      <c r="E33" s="1051">
        <f>IF(Rechnungen!$D$4=TRUE,"---",Rechnungen!AD262)</f>
        <v>0.99348766740933303</v>
      </c>
      <c r="F33" s="1052">
        <f>IF(Rechnungen!$D$4=TRUE,"---",Rechnungen!AE262)</f>
        <v>0.99252864833898646</v>
      </c>
      <c r="G33" s="1053">
        <f>IF(Rechnungen!$D$4=TRUE,"---",Rechnungen!AF262)</f>
        <v>0.98798648656036248</v>
      </c>
      <c r="H33" s="1051">
        <f>IF(Rechnungen!$D$4=TRUE,"---",Rechnungen!AG262)</f>
        <v>0.9683401757743032</v>
      </c>
      <c r="I33" s="1052">
        <f>IF(Rechnungen!$D$4=TRUE,"---",Rechnungen!AH262)</f>
        <v>0.85330272020302456</v>
      </c>
      <c r="J33" s="1053">
        <f>IF(Rechnungen!$D$4=TRUE,"---",Rechnungen!AI262)</f>
        <v>0.57022643393254646</v>
      </c>
      <c r="K33" s="1051">
        <f>IF(Rechnungen!$D$4=TRUE,"---",Rechnungen!AJ262)</f>
        <v>0</v>
      </c>
      <c r="L33" s="1052">
        <f>IF(Rechnungen!$D$4=TRUE,"---",Rechnungen!AK262)</f>
        <v>0.11205377947351215</v>
      </c>
      <c r="M33" s="1053">
        <f>IF(Rechnungen!$D$4=TRUE,"---",Rechnungen!AL262)</f>
        <v>0.84152836334295722</v>
      </c>
      <c r="N33" s="1052">
        <f>IF(Rechnungen!$D$4=TRUE,"---",Rechnungen!AM262)</f>
        <v>0.9658142822975182</v>
      </c>
      <c r="O33" s="1052">
        <f>IF(Rechnungen!$D$4=TRUE,"---",Rechnungen!AN262)</f>
        <v>0.98922175636942833</v>
      </c>
      <c r="P33" s="1054">
        <f>IF(Rechnungen!$D$4=TRUE,"---",Rechnungen!AO262)</f>
        <v>0.99358372540078554</v>
      </c>
    </row>
    <row r="34" spans="1:20" x14ac:dyDescent="0.3">
      <c r="A34" s="1347" t="s">
        <v>66</v>
      </c>
      <c r="B34" s="1019"/>
      <c r="C34" s="1353"/>
      <c r="D34" s="1353"/>
      <c r="E34" s="1020"/>
      <c r="F34" s="1021"/>
      <c r="G34" s="1022"/>
      <c r="H34" s="1023"/>
      <c r="I34" s="1024"/>
      <c r="J34" s="1025"/>
      <c r="K34" s="1020"/>
      <c r="L34" s="1021"/>
      <c r="M34" s="1022"/>
      <c r="N34" s="1024"/>
      <c r="O34" s="1024"/>
      <c r="P34" s="1026"/>
    </row>
    <row r="35" spans="1:20" ht="17" thickBot="1" x14ac:dyDescent="0.35">
      <c r="A35" s="1350" t="s">
        <v>836</v>
      </c>
      <c r="B35" s="1055"/>
      <c r="C35" s="1100" t="s">
        <v>1164</v>
      </c>
      <c r="D35" s="1361">
        <f>IF(Rechnungen!$D$4=TRUE,"---",SUM(E35:P35))</f>
        <v>26230.308251889663</v>
      </c>
      <c r="E35" s="1056">
        <f>IF(Rechnungen!$D$4=TRUE,"---",Rechnungen!AD263)</f>
        <v>4785.0311511714754</v>
      </c>
      <c r="F35" s="1057">
        <f>IF(Rechnungen!$D$4=TRUE,"---",Rechnungen!AE263)</f>
        <v>4059.0008102391935</v>
      </c>
      <c r="G35" s="1058">
        <f>IF(Rechnungen!$D$4=TRUE,"---",Rechnungen!AF263)</f>
        <v>3583.6115382668722</v>
      </c>
      <c r="H35" s="1056">
        <f>IF(Rechnungen!$D$4=TRUE,"---",Rechnungen!AG263)</f>
        <v>2050.2546965060319</v>
      </c>
      <c r="I35" s="1057">
        <f>IF(Rechnungen!$D$4=TRUE,"---",Rechnungen!AH263)</f>
        <v>620.35853662737429</v>
      </c>
      <c r="J35" s="1058">
        <f>IF(Rechnungen!$D$4=TRUE,"---",Rechnungen!AI263)</f>
        <v>86.305050270580068</v>
      </c>
      <c r="K35" s="1056">
        <f>IF(Rechnungen!$D$4=TRUE,"---",Rechnungen!AJ263)</f>
        <v>0</v>
      </c>
      <c r="L35" s="1057">
        <f>IF(Rechnungen!$D$4=TRUE,"---",Rechnungen!AK263)</f>
        <v>0.17282130306173826</v>
      </c>
      <c r="M35" s="1058">
        <f>IF(Rechnungen!$D$4=TRUE,"---",Rechnungen!AL263)</f>
        <v>549.28442984461276</v>
      </c>
      <c r="N35" s="1057">
        <f>IF(Rechnungen!$D$4=TRUE,"---",Rechnungen!AM263)</f>
        <v>2021.7575624611084</v>
      </c>
      <c r="O35" s="1057">
        <f>IF(Rechnungen!$D$4=TRUE,"---",Rechnungen!AN263)</f>
        <v>3657.2068734290406</v>
      </c>
      <c r="P35" s="1059">
        <f>IF(Rechnungen!$D$4=TRUE,"---",Rechnungen!AO263)</f>
        <v>4817.3247817703113</v>
      </c>
    </row>
    <row r="36" spans="1:20" s="976" customFormat="1" ht="28.5" thickBot="1" x14ac:dyDescent="0.35">
      <c r="A36" s="1087" t="s">
        <v>1187</v>
      </c>
      <c r="B36" s="1088"/>
      <c r="C36" s="1088"/>
      <c r="D36" s="1088"/>
      <c r="E36" s="1089"/>
      <c r="F36" s="1089"/>
      <c r="G36" s="1090"/>
      <c r="H36" s="1090"/>
      <c r="I36" s="1090"/>
      <c r="J36" s="1091"/>
      <c r="K36" s="1092"/>
      <c r="L36" s="1092"/>
      <c r="M36" s="970"/>
      <c r="N36" s="970"/>
      <c r="O36" s="970"/>
      <c r="P36" s="1062" t="s">
        <v>883</v>
      </c>
      <c r="Q36" s="1093"/>
      <c r="R36" s="1093"/>
      <c r="S36" s="1093"/>
      <c r="T36" s="1093"/>
    </row>
    <row r="37" spans="1:20" s="983" customFormat="1" ht="14" x14ac:dyDescent="0.3">
      <c r="A37" s="1064"/>
      <c r="B37" s="1065"/>
      <c r="C37" s="1065"/>
      <c r="D37" s="1065"/>
      <c r="E37" s="955"/>
      <c r="F37" s="955"/>
      <c r="G37" s="1066"/>
      <c r="H37" s="1066"/>
      <c r="I37" s="1066"/>
      <c r="J37" s="955"/>
      <c r="K37" s="955"/>
      <c r="L37" s="955"/>
      <c r="M37" s="1066"/>
      <c r="N37" s="1066"/>
      <c r="O37" s="1066"/>
      <c r="P37" s="1067"/>
      <c r="Q37" s="958"/>
      <c r="R37" s="958"/>
      <c r="S37" s="958"/>
      <c r="T37" s="958"/>
    </row>
    <row r="38" spans="1:20" s="983" customFormat="1" ht="14" x14ac:dyDescent="0.3">
      <c r="A38" s="1069"/>
      <c r="E38" s="958"/>
      <c r="F38" s="958"/>
      <c r="G38" s="1070"/>
      <c r="H38" s="1070"/>
      <c r="I38" s="1070"/>
      <c r="J38" s="958"/>
      <c r="M38" s="1070"/>
      <c r="N38" s="1070"/>
      <c r="O38" s="1070"/>
      <c r="P38" s="1072"/>
      <c r="Q38" s="958"/>
      <c r="R38" s="958"/>
      <c r="S38" s="958"/>
      <c r="T38" s="958"/>
    </row>
    <row r="39" spans="1:20" s="983" customFormat="1" ht="14" x14ac:dyDescent="0.3">
      <c r="A39" s="1069"/>
      <c r="E39" s="958"/>
      <c r="F39" s="958"/>
      <c r="G39" s="1070"/>
      <c r="H39" s="1070"/>
      <c r="I39" s="1070"/>
      <c r="J39" s="958"/>
      <c r="M39" s="1070"/>
      <c r="N39" s="1070"/>
      <c r="O39" s="1070"/>
      <c r="P39" s="1072"/>
      <c r="Q39" s="958"/>
      <c r="R39" s="958"/>
      <c r="S39" s="958"/>
      <c r="T39" s="958"/>
    </row>
    <row r="40" spans="1:20" s="983" customFormat="1" ht="14" x14ac:dyDescent="0.3">
      <c r="A40" s="1069"/>
      <c r="E40" s="958"/>
      <c r="F40" s="958"/>
      <c r="G40" s="1070"/>
      <c r="H40" s="1070"/>
      <c r="I40" s="1070"/>
      <c r="J40" s="958"/>
      <c r="M40" s="1070"/>
      <c r="N40" s="1070"/>
      <c r="O40" s="1070"/>
      <c r="P40" s="1072"/>
      <c r="Q40" s="958"/>
      <c r="R40" s="958"/>
      <c r="S40" s="958"/>
      <c r="T40" s="958"/>
    </row>
    <row r="41" spans="1:20" s="983" customFormat="1" ht="14" x14ac:dyDescent="0.3">
      <c r="A41" s="1069"/>
      <c r="E41" s="958"/>
      <c r="F41" s="958"/>
      <c r="G41" s="1070"/>
      <c r="H41" s="1070"/>
      <c r="I41" s="1070"/>
      <c r="J41" s="958"/>
      <c r="K41" s="958"/>
      <c r="L41" s="958"/>
      <c r="M41" s="1070"/>
      <c r="N41" s="1070"/>
      <c r="O41" s="1070"/>
      <c r="P41" s="1072"/>
      <c r="Q41" s="958"/>
      <c r="R41" s="958"/>
      <c r="S41" s="958"/>
      <c r="T41" s="958"/>
    </row>
    <row r="42" spans="1:20" s="983" customFormat="1" ht="14" x14ac:dyDescent="0.3">
      <c r="A42" s="1069"/>
      <c r="E42" s="958"/>
      <c r="F42" s="958"/>
      <c r="G42" s="1070"/>
      <c r="H42" s="1070"/>
      <c r="I42" s="1070"/>
      <c r="J42" s="958"/>
      <c r="K42" s="958"/>
      <c r="L42" s="958"/>
      <c r="M42" s="1070"/>
      <c r="N42" s="1070"/>
      <c r="O42" s="1070"/>
      <c r="P42" s="1072"/>
      <c r="Q42" s="958"/>
      <c r="R42" s="958"/>
      <c r="S42" s="958"/>
      <c r="T42" s="958"/>
    </row>
    <row r="43" spans="1:20" s="983" customFormat="1" ht="14" x14ac:dyDescent="0.3">
      <c r="A43" s="1069"/>
      <c r="E43" s="958"/>
      <c r="F43" s="958"/>
      <c r="G43" s="1070"/>
      <c r="H43" s="1070"/>
      <c r="I43" s="1070"/>
      <c r="J43" s="958"/>
      <c r="M43" s="1070"/>
      <c r="N43" s="1070"/>
      <c r="O43" s="1070"/>
      <c r="P43" s="1072"/>
      <c r="Q43" s="958"/>
      <c r="R43" s="958"/>
      <c r="S43" s="958"/>
      <c r="T43" s="958"/>
    </row>
    <row r="44" spans="1:20" s="983" customFormat="1" ht="14" x14ac:dyDescent="0.3">
      <c r="A44" s="1069"/>
      <c r="E44" s="958"/>
      <c r="F44" s="958"/>
      <c r="G44" s="1070"/>
      <c r="H44" s="1070"/>
      <c r="I44" s="1070"/>
      <c r="J44" s="958"/>
      <c r="K44" s="958"/>
      <c r="L44" s="958"/>
      <c r="M44" s="1070"/>
      <c r="N44" s="1070"/>
      <c r="O44" s="1070"/>
      <c r="P44" s="1072"/>
      <c r="Q44" s="958"/>
      <c r="R44" s="958"/>
      <c r="S44" s="958"/>
      <c r="T44" s="958"/>
    </row>
    <row r="45" spans="1:20" s="983" customFormat="1" ht="14" x14ac:dyDescent="0.3">
      <c r="A45" s="1069"/>
      <c r="E45" s="958"/>
      <c r="F45" s="958"/>
      <c r="G45" s="1070"/>
      <c r="H45" s="1070"/>
      <c r="I45" s="1070"/>
      <c r="J45" s="958"/>
      <c r="K45" s="958"/>
      <c r="L45" s="958"/>
      <c r="M45" s="1070"/>
      <c r="N45" s="1070"/>
      <c r="O45" s="1070"/>
      <c r="P45" s="1072"/>
      <c r="Q45" s="958"/>
      <c r="R45" s="958"/>
      <c r="S45" s="958"/>
      <c r="T45" s="958"/>
    </row>
    <row r="46" spans="1:20" s="983" customFormat="1" ht="25" x14ac:dyDescent="0.3">
      <c r="A46" s="1069"/>
      <c r="E46" s="958"/>
      <c r="F46" s="1281" t="str">
        <f>IF(Rechnungen!D4=TRUE,"keine Grafik möglich","")</f>
        <v/>
      </c>
      <c r="G46" s="1070"/>
      <c r="H46" s="1070"/>
      <c r="I46" s="1070"/>
      <c r="J46" s="958"/>
      <c r="K46" s="958"/>
      <c r="L46" s="958"/>
      <c r="M46" s="1070"/>
      <c r="N46" s="1070"/>
      <c r="O46" s="1070"/>
      <c r="P46" s="1072"/>
      <c r="Q46" s="958"/>
      <c r="R46" s="958"/>
      <c r="S46" s="958"/>
      <c r="T46" s="958"/>
    </row>
    <row r="47" spans="1:20" s="983" customFormat="1" ht="14" x14ac:dyDescent="0.3">
      <c r="A47" s="1069"/>
      <c r="E47" s="958"/>
      <c r="F47" s="958"/>
      <c r="G47" s="1070"/>
      <c r="H47" s="1070"/>
      <c r="I47" s="1070"/>
      <c r="J47" s="958"/>
      <c r="K47" s="958"/>
      <c r="L47" s="958"/>
      <c r="M47" s="1070"/>
      <c r="N47" s="1070"/>
      <c r="O47" s="1070"/>
      <c r="P47" s="1072"/>
      <c r="Q47" s="958"/>
      <c r="R47" s="958"/>
      <c r="S47" s="958"/>
      <c r="T47" s="958"/>
    </row>
    <row r="48" spans="1:20" s="983" customFormat="1" ht="14" x14ac:dyDescent="0.3">
      <c r="A48" s="1069"/>
      <c r="E48" s="958"/>
      <c r="F48" s="958"/>
      <c r="G48" s="1070"/>
      <c r="H48" s="1070"/>
      <c r="I48" s="1070"/>
      <c r="J48" s="958"/>
      <c r="M48" s="1070"/>
      <c r="N48" s="1070"/>
      <c r="O48" s="1070"/>
      <c r="P48" s="1072"/>
      <c r="Q48" s="958"/>
      <c r="R48" s="958"/>
      <c r="S48" s="958"/>
      <c r="T48" s="958"/>
    </row>
    <row r="49" spans="1:20" s="983" customFormat="1" ht="14" x14ac:dyDescent="0.3">
      <c r="A49" s="1069"/>
      <c r="E49" s="958"/>
      <c r="F49" s="958"/>
      <c r="G49" s="1070"/>
      <c r="H49" s="1070"/>
      <c r="I49" s="1070"/>
      <c r="J49" s="958"/>
      <c r="K49" s="958"/>
      <c r="L49" s="958"/>
      <c r="M49" s="1070"/>
      <c r="N49" s="1070"/>
      <c r="O49" s="1070"/>
      <c r="P49" s="1072"/>
      <c r="Q49" s="958"/>
      <c r="R49" s="958"/>
      <c r="S49" s="958"/>
      <c r="T49" s="958"/>
    </row>
    <row r="50" spans="1:20" s="983" customFormat="1" ht="14" x14ac:dyDescent="0.3">
      <c r="A50" s="1069"/>
      <c r="E50" s="958"/>
      <c r="F50" s="958"/>
      <c r="G50" s="1070"/>
      <c r="H50" s="1070"/>
      <c r="I50" s="1070"/>
      <c r="J50" s="958"/>
      <c r="K50" s="958"/>
      <c r="L50" s="958"/>
      <c r="M50" s="1070"/>
      <c r="N50" s="1070"/>
      <c r="O50" s="1070"/>
      <c r="P50" s="1072"/>
      <c r="Q50" s="958"/>
      <c r="R50" s="958"/>
      <c r="S50" s="958"/>
      <c r="T50" s="958"/>
    </row>
    <row r="51" spans="1:20" s="983" customFormat="1" ht="14" x14ac:dyDescent="0.3">
      <c r="A51" s="1069"/>
      <c r="E51" s="958"/>
      <c r="F51" s="958"/>
      <c r="G51" s="1070"/>
      <c r="H51" s="1070"/>
      <c r="I51" s="1070"/>
      <c r="J51" s="958"/>
      <c r="M51" s="1070"/>
      <c r="N51" s="1070"/>
      <c r="O51" s="1070"/>
      <c r="P51" s="1072"/>
      <c r="Q51" s="958"/>
      <c r="R51" s="958"/>
      <c r="S51" s="958"/>
      <c r="T51" s="958"/>
    </row>
    <row r="52" spans="1:20" s="983" customFormat="1" ht="14" x14ac:dyDescent="0.3">
      <c r="A52" s="1069"/>
      <c r="E52" s="958"/>
      <c r="F52" s="958"/>
      <c r="G52" s="1070"/>
      <c r="H52" s="1070"/>
      <c r="I52" s="1070"/>
      <c r="J52" s="958"/>
      <c r="K52" s="958"/>
      <c r="L52" s="958"/>
      <c r="M52" s="1070"/>
      <c r="N52" s="1070"/>
      <c r="O52" s="1070"/>
      <c r="P52" s="1072"/>
      <c r="Q52" s="958"/>
      <c r="R52" s="958"/>
      <c r="S52" s="958"/>
      <c r="T52" s="958"/>
    </row>
    <row r="53" spans="1:20" s="983" customFormat="1" ht="14" x14ac:dyDescent="0.3">
      <c r="A53" s="1069"/>
      <c r="E53" s="958"/>
      <c r="F53" s="958"/>
      <c r="G53" s="1070"/>
      <c r="H53" s="1070"/>
      <c r="I53" s="1070"/>
      <c r="J53" s="958"/>
      <c r="K53" s="958"/>
      <c r="L53" s="958"/>
      <c r="M53" s="1070"/>
      <c r="N53" s="1070"/>
      <c r="O53" s="1070"/>
      <c r="P53" s="1072"/>
      <c r="Q53" s="958"/>
      <c r="R53" s="958"/>
      <c r="S53" s="958"/>
      <c r="T53" s="958"/>
    </row>
    <row r="54" spans="1:20" s="983" customFormat="1" ht="14" x14ac:dyDescent="0.3">
      <c r="A54" s="1069"/>
      <c r="E54" s="958"/>
      <c r="F54" s="958"/>
      <c r="G54" s="1070"/>
      <c r="H54" s="1070"/>
      <c r="I54" s="1070"/>
      <c r="J54" s="958"/>
      <c r="M54" s="1070"/>
      <c r="N54" s="1070"/>
      <c r="O54" s="1070"/>
      <c r="P54" s="1072"/>
      <c r="Q54" s="958"/>
      <c r="R54" s="958"/>
      <c r="S54" s="958"/>
      <c r="T54" s="958"/>
    </row>
    <row r="55" spans="1:20" s="983" customFormat="1" ht="14" x14ac:dyDescent="0.3">
      <c r="A55" s="1069"/>
      <c r="E55" s="958"/>
      <c r="F55" s="958"/>
      <c r="G55" s="1070"/>
      <c r="H55" s="1070"/>
      <c r="I55" s="1070"/>
      <c r="J55" s="958"/>
      <c r="M55" s="1070"/>
      <c r="N55" s="1070"/>
      <c r="O55" s="1070"/>
      <c r="P55" s="1072"/>
      <c r="Q55" s="958"/>
      <c r="R55" s="958"/>
      <c r="S55" s="958"/>
      <c r="T55" s="958"/>
    </row>
    <row r="56" spans="1:20" s="983" customFormat="1" ht="14.5" thickBot="1" x14ac:dyDescent="0.35">
      <c r="A56" s="1079"/>
      <c r="B56" s="1080"/>
      <c r="C56" s="1080"/>
      <c r="D56" s="1080"/>
      <c r="E56" s="1081"/>
      <c r="F56" s="1081"/>
      <c r="G56" s="1082"/>
      <c r="H56" s="1082"/>
      <c r="I56" s="1082"/>
      <c r="J56" s="1081"/>
      <c r="K56" s="1080"/>
      <c r="L56" s="1080"/>
      <c r="M56" s="1082"/>
      <c r="N56" s="1082"/>
      <c r="O56" s="1082"/>
      <c r="P56" s="1085"/>
      <c r="Q56" s="958"/>
      <c r="R56" s="958"/>
      <c r="S56" s="958"/>
      <c r="T56" s="958"/>
    </row>
    <row r="57" spans="1:20" s="1010" customFormat="1" ht="28.5" thickBot="1" x14ac:dyDescent="0.35">
      <c r="A57" s="971" t="s">
        <v>1099</v>
      </c>
      <c r="B57" s="972"/>
      <c r="C57" s="972"/>
      <c r="D57" s="972"/>
      <c r="E57" s="1060"/>
      <c r="F57" s="1060"/>
      <c r="G57" s="544"/>
      <c r="H57" s="544"/>
      <c r="I57" s="544"/>
      <c r="J57" s="1060"/>
      <c r="K57" s="1061"/>
      <c r="L57" s="1061"/>
      <c r="M57" s="544"/>
      <c r="N57" s="544"/>
      <c r="O57" s="544"/>
      <c r="P57" s="1062" t="s">
        <v>883</v>
      </c>
      <c r="Q57" s="1063"/>
      <c r="R57" s="1063"/>
      <c r="S57" s="1063"/>
      <c r="T57" s="1063"/>
    </row>
    <row r="58" spans="1:20" s="983" customFormat="1" ht="16.5" x14ac:dyDescent="0.3">
      <c r="A58" s="1064" t="s">
        <v>64</v>
      </c>
      <c r="B58" s="1065"/>
      <c r="C58" s="1065"/>
      <c r="D58" s="1065"/>
      <c r="E58" s="955" t="s">
        <v>829</v>
      </c>
      <c r="F58" s="955"/>
      <c r="G58" s="1066">
        <f>IF(Rechnungen!$D$4=TRUE,"---",Rechnungen!AD53+Rechnungen!AE142)</f>
        <v>330</v>
      </c>
      <c r="H58" s="1066"/>
      <c r="I58" s="1066" t="s">
        <v>71</v>
      </c>
      <c r="J58" s="1067"/>
      <c r="K58" s="954" t="s">
        <v>869</v>
      </c>
      <c r="L58" s="955"/>
      <c r="M58" s="1068">
        <f>IF(Rechnungen!$D$4=TRUE,"---",Rechnungen!AP253)</f>
        <v>25248.35564533923</v>
      </c>
      <c r="N58" s="1068"/>
      <c r="O58" s="1068" t="s">
        <v>523</v>
      </c>
      <c r="P58" s="1067"/>
      <c r="Q58" s="958"/>
      <c r="R58" s="958"/>
      <c r="S58" s="958"/>
      <c r="T58" s="958"/>
    </row>
    <row r="59" spans="1:20" s="983" customFormat="1" ht="16.5" x14ac:dyDescent="0.3">
      <c r="A59" s="1069" t="s">
        <v>65</v>
      </c>
      <c r="E59" s="958" t="s">
        <v>830</v>
      </c>
      <c r="F59" s="958"/>
      <c r="G59" s="1070">
        <f>IF(Rechnungen!$D$4=TRUE,"---",Rechnungen!AE107)</f>
        <v>142.12000000000003</v>
      </c>
      <c r="H59" s="1070"/>
      <c r="I59" s="1070" t="s">
        <v>71</v>
      </c>
      <c r="J59" s="958"/>
      <c r="K59" s="957" t="s">
        <v>870</v>
      </c>
      <c r="L59" s="958"/>
      <c r="M59" s="1071">
        <f>IF(Rechnungen!$D$4=TRUE,"---",Rechnungen!AP254)</f>
        <v>11770.946880000005</v>
      </c>
      <c r="N59" s="1071"/>
      <c r="O59" s="1071" t="s">
        <v>523</v>
      </c>
      <c r="P59" s="1072"/>
      <c r="Q59" s="958"/>
      <c r="R59" s="958"/>
      <c r="S59" s="958"/>
      <c r="T59" s="958"/>
    </row>
    <row r="60" spans="1:20" s="983" customFormat="1" ht="16.5" x14ac:dyDescent="0.3">
      <c r="A60" s="1073" t="s">
        <v>72</v>
      </c>
      <c r="B60" s="1074"/>
      <c r="C60" s="1074"/>
      <c r="D60" s="1074"/>
      <c r="E60" s="997" t="s">
        <v>831</v>
      </c>
      <c r="F60" s="997"/>
      <c r="G60" s="964">
        <f>IF(Rechnungen!$D$4=TRUE,"---",Rechnungen!AP256)</f>
        <v>14015.999999999998</v>
      </c>
      <c r="H60" s="964"/>
      <c r="I60" s="964" t="s">
        <v>523</v>
      </c>
      <c r="J60" s="997"/>
      <c r="K60" s="1075" t="s">
        <v>834</v>
      </c>
      <c r="L60" s="997"/>
      <c r="M60" s="964">
        <f>IF(Rechnungen!$D$4=TRUE,"---",SUMPRODUCT(Rechnungen!AD262:AO262,Rechnungen!AD256:AO256))</f>
        <v>10788.994273449571</v>
      </c>
      <c r="N60" s="964"/>
      <c r="O60" s="964" t="s">
        <v>523</v>
      </c>
      <c r="P60" s="1076"/>
      <c r="Q60" s="958"/>
      <c r="R60" s="958"/>
      <c r="S60" s="958"/>
      <c r="T60" s="958"/>
    </row>
    <row r="61" spans="1:20" s="983" customFormat="1" ht="16.5" x14ac:dyDescent="0.3">
      <c r="A61" s="816" t="s">
        <v>73</v>
      </c>
      <c r="B61" s="951"/>
      <c r="C61" s="951"/>
      <c r="D61" s="951"/>
      <c r="E61" s="953" t="s">
        <v>833</v>
      </c>
      <c r="F61" s="953"/>
      <c r="G61" s="965">
        <f>IF(Rechnungen!$D$4=TRUE,"---",Rechnungen!AP259)</f>
        <v>0</v>
      </c>
      <c r="H61" s="965"/>
      <c r="I61" s="965" t="s">
        <v>523</v>
      </c>
      <c r="J61" s="953"/>
      <c r="K61" s="1077" t="s">
        <v>835</v>
      </c>
      <c r="L61" s="953"/>
      <c r="M61" s="965">
        <f>IF(Rechnungen!$D$4=TRUE,"---",SUMPRODUCT(Rechnungen!AD262:AO262,Rechnungen!AD259:AO259))</f>
        <v>0</v>
      </c>
      <c r="N61" s="965"/>
      <c r="O61" s="965" t="s">
        <v>523</v>
      </c>
      <c r="P61" s="1078"/>
      <c r="Q61" s="958"/>
      <c r="R61" s="958"/>
      <c r="S61" s="958"/>
      <c r="T61" s="958"/>
    </row>
    <row r="62" spans="1:20" s="983" customFormat="1" ht="17" thickBot="1" x14ac:dyDescent="0.35">
      <c r="A62" s="1079" t="s">
        <v>66</v>
      </c>
      <c r="B62" s="1080"/>
      <c r="C62" s="1080"/>
      <c r="D62" s="1080"/>
      <c r="E62" s="1081" t="s">
        <v>832</v>
      </c>
      <c r="F62" s="1081"/>
      <c r="G62" s="1082">
        <f>Rechnungen!H4</f>
        <v>81.969713287155201</v>
      </c>
      <c r="H62" s="1082"/>
      <c r="I62" s="1082" t="s">
        <v>365</v>
      </c>
      <c r="J62" s="1081"/>
      <c r="K62" s="1083" t="s">
        <v>836</v>
      </c>
      <c r="L62" s="1081"/>
      <c r="M62" s="1084">
        <f>G62*G2</f>
        <v>26230.308251889663</v>
      </c>
      <c r="N62" s="1084"/>
      <c r="O62" s="1084" t="s">
        <v>523</v>
      </c>
      <c r="P62" s="1085"/>
      <c r="Q62" s="1086"/>
      <c r="R62" s="958"/>
      <c r="S62" s="958"/>
      <c r="T62" s="958"/>
    </row>
    <row r="63" spans="1:20" s="1027" customFormat="1" ht="18.5" thickBot="1" x14ac:dyDescent="0.35">
      <c r="A63" s="1120" t="str">
        <f>A138</f>
        <v>Primärenergieaufwand für Wohngebäude; Programm erstellt von K. Jagnow, 2001-2023</v>
      </c>
      <c r="B63" s="1121"/>
      <c r="C63" s="1121"/>
      <c r="D63" s="1121"/>
      <c r="E63" s="1122"/>
      <c r="F63" s="1122"/>
      <c r="G63" s="1123"/>
      <c r="H63" s="1123"/>
      <c r="I63" s="1123"/>
      <c r="J63" s="1124"/>
      <c r="K63" s="1122"/>
      <c r="L63" s="1122"/>
      <c r="M63" s="1122"/>
      <c r="N63" s="1122"/>
      <c r="O63" s="1122"/>
      <c r="P63" s="1125"/>
      <c r="Q63" s="958"/>
      <c r="R63" s="958"/>
      <c r="S63" s="958"/>
      <c r="T63" s="958"/>
    </row>
    <row r="64" spans="1:20" s="1010" customFormat="1" ht="28.5" thickBot="1" x14ac:dyDescent="0.35">
      <c r="A64" s="1196" t="s">
        <v>1159</v>
      </c>
      <c r="B64" s="1197"/>
      <c r="C64" s="1197"/>
      <c r="D64" s="1197"/>
      <c r="E64" s="1187"/>
      <c r="F64" s="1187"/>
      <c r="G64" s="1188"/>
      <c r="H64" s="1188"/>
      <c r="I64" s="1188"/>
      <c r="J64" s="1187"/>
      <c r="K64" s="1189"/>
      <c r="L64" s="1189"/>
      <c r="M64" s="1188"/>
      <c r="N64" s="1188"/>
      <c r="O64" s="1188"/>
      <c r="P64" s="1208" t="str">
        <f>"9/" &amp;Rechnungen!D647</f>
        <v>9/11</v>
      </c>
      <c r="Q64" s="1009"/>
      <c r="R64" s="1009"/>
      <c r="S64" s="1009"/>
      <c r="T64" s="1009"/>
    </row>
    <row r="65" spans="1:20" s="983" customFormat="1" ht="14" x14ac:dyDescent="0.3">
      <c r="A65" s="1644" t="s">
        <v>1180</v>
      </c>
      <c r="B65" s="1645"/>
      <c r="C65" s="1645"/>
      <c r="D65" s="1645"/>
      <c r="E65" s="1656" t="s">
        <v>1194</v>
      </c>
      <c r="F65" s="1645"/>
      <c r="G65" s="1650" t="str">
        <f>Rechnungen!AK270</f>
        <v>gebäudezentral; mit Zirkulation; Verteilleitungen im beheizten Bereich</v>
      </c>
      <c r="H65" s="1650"/>
      <c r="I65" s="1650"/>
      <c r="J65" s="1650"/>
      <c r="K65" s="1650"/>
      <c r="L65" s="1650"/>
      <c r="M65" s="1650"/>
      <c r="N65" s="1650"/>
      <c r="O65" s="1650"/>
      <c r="P65" s="1651"/>
      <c r="Q65" s="958"/>
      <c r="R65" s="958"/>
      <c r="S65" s="958"/>
      <c r="T65" s="958"/>
    </row>
    <row r="66" spans="1:20" s="983" customFormat="1" ht="14" x14ac:dyDescent="0.3">
      <c r="A66" s="1646"/>
      <c r="B66" s="1647"/>
      <c r="C66" s="1647"/>
      <c r="D66" s="1647"/>
      <c r="E66" s="1657" t="s">
        <v>1195</v>
      </c>
      <c r="F66" s="1658"/>
      <c r="G66" s="1652" t="str">
        <f>Rechnungen!AK284</f>
        <v>bivalenter Solarspeicher; Aufstellung im beheizten Bereich</v>
      </c>
      <c r="H66" s="1652"/>
      <c r="I66" s="1652"/>
      <c r="J66" s="1652"/>
      <c r="K66" s="1652"/>
      <c r="L66" s="1652"/>
      <c r="M66" s="1652"/>
      <c r="N66" s="1652"/>
      <c r="O66" s="1652"/>
      <c r="P66" s="1653"/>
      <c r="Q66" s="958"/>
      <c r="R66" s="958"/>
      <c r="S66" s="958"/>
      <c r="T66" s="958"/>
    </row>
    <row r="67" spans="1:20" s="983" customFormat="1" ht="14" x14ac:dyDescent="0.3">
      <c r="A67" s="1646"/>
      <c r="B67" s="1647"/>
      <c r="C67" s="1647"/>
      <c r="D67" s="1647"/>
      <c r="E67" s="1657" t="s">
        <v>1196</v>
      </c>
      <c r="F67" s="1658"/>
      <c r="G67" s="1652" t="str">
        <f>Rechnungen!AK301</f>
        <v>Solaranlage vorhanden</v>
      </c>
      <c r="H67" s="1652"/>
      <c r="I67" s="1652"/>
      <c r="J67" s="1652"/>
      <c r="K67" s="1652"/>
      <c r="L67" s="1652"/>
      <c r="M67" s="1652"/>
      <c r="N67" s="1652"/>
      <c r="O67" s="1652"/>
      <c r="P67" s="1653"/>
      <c r="Q67" s="958"/>
      <c r="R67" s="958"/>
      <c r="S67" s="958"/>
      <c r="T67" s="958"/>
    </row>
    <row r="68" spans="1:20" s="983" customFormat="1" ht="14" x14ac:dyDescent="0.3">
      <c r="A68" s="1646"/>
      <c r="B68" s="1647"/>
      <c r="C68" s="1647"/>
      <c r="D68" s="1647"/>
      <c r="E68" s="1657" t="s">
        <v>1197</v>
      </c>
      <c r="F68" s="1658"/>
      <c r="G68" s="1652" t="str">
        <f>Rechnungen!AK331&amp;", "&amp;Rechnungen!AK311</f>
        <v>Kessel Brennwert, verbessert, Erdgas H</v>
      </c>
      <c r="H68" s="1652"/>
      <c r="I68" s="1652"/>
      <c r="J68" s="1652"/>
      <c r="K68" s="1652"/>
      <c r="L68" s="1652"/>
      <c r="M68" s="1652"/>
      <c r="N68" s="1652"/>
      <c r="O68" s="1652"/>
      <c r="P68" s="1653"/>
      <c r="Q68" s="958"/>
      <c r="R68" s="958"/>
      <c r="S68" s="958"/>
      <c r="T68" s="958"/>
    </row>
    <row r="69" spans="1:20" s="983" customFormat="1" ht="14.5" thickBot="1" x14ac:dyDescent="0.35">
      <c r="A69" s="1648"/>
      <c r="B69" s="1649"/>
      <c r="C69" s="1649"/>
      <c r="D69" s="1649"/>
      <c r="E69" s="1659" t="s">
        <v>1198</v>
      </c>
      <c r="F69" s="1660"/>
      <c r="G69" s="1654" t="str">
        <f>IF(Rechnungen!AK362=Rechnungen!AK326,Rechnungen!AK326,Rechnungen!AK362&amp;", "&amp;Rechnungen!AK326)</f>
        <v>kein weiterer Erzeuger</v>
      </c>
      <c r="H69" s="1654"/>
      <c r="I69" s="1654"/>
      <c r="J69" s="1654"/>
      <c r="K69" s="1654"/>
      <c r="L69" s="1654"/>
      <c r="M69" s="1654"/>
      <c r="N69" s="1654"/>
      <c r="O69" s="1654"/>
      <c r="P69" s="1655"/>
      <c r="Q69" s="958"/>
      <c r="R69" s="958"/>
      <c r="S69" s="958"/>
      <c r="T69" s="958"/>
    </row>
    <row r="70" spans="1:20" s="1027" customFormat="1" x14ac:dyDescent="0.3">
      <c r="A70" s="1198"/>
      <c r="B70" s="1199"/>
      <c r="C70" s="1199"/>
      <c r="D70" s="1200"/>
      <c r="E70" s="1190" t="s">
        <v>403</v>
      </c>
      <c r="F70" s="1191"/>
      <c r="G70" s="1192"/>
      <c r="H70" s="1192"/>
      <c r="I70" s="1192"/>
      <c r="J70" s="1193"/>
      <c r="K70" s="1194" t="s">
        <v>400</v>
      </c>
      <c r="L70" s="1195"/>
      <c r="M70" s="1192"/>
      <c r="N70" s="1192"/>
      <c r="O70" s="1192"/>
      <c r="P70" s="1193"/>
      <c r="Q70" s="1097"/>
      <c r="R70" s="1097"/>
      <c r="S70" s="1097"/>
      <c r="T70" s="1097"/>
    </row>
    <row r="71" spans="1:20" s="983" customFormat="1" ht="16.5" x14ac:dyDescent="0.3">
      <c r="A71" s="816" t="s">
        <v>438</v>
      </c>
      <c r="B71" s="951"/>
      <c r="C71" s="951"/>
      <c r="D71" s="951"/>
      <c r="E71" s="1077" t="s">
        <v>752</v>
      </c>
      <c r="F71" s="953"/>
      <c r="G71" s="1098">
        <v>12.5</v>
      </c>
      <c r="H71" s="1098"/>
      <c r="I71" s="1098" t="s">
        <v>365</v>
      </c>
      <c r="J71" s="1078"/>
      <c r="K71" s="1077" t="s">
        <v>443</v>
      </c>
      <c r="L71" s="953"/>
      <c r="M71" s="1098" t="s">
        <v>443</v>
      </c>
      <c r="N71" s="1098"/>
      <c r="O71" s="1098" t="s">
        <v>443</v>
      </c>
      <c r="P71" s="1078"/>
      <c r="Q71" s="958"/>
      <c r="R71" s="958"/>
      <c r="S71" s="958"/>
      <c r="T71" s="958"/>
    </row>
    <row r="72" spans="1:20" s="983" customFormat="1" ht="16.5" x14ac:dyDescent="0.3">
      <c r="A72" s="1099" t="s">
        <v>439</v>
      </c>
      <c r="B72" s="1100"/>
      <c r="C72" s="1100"/>
      <c r="D72" s="1100"/>
      <c r="E72" s="1101" t="s">
        <v>817</v>
      </c>
      <c r="F72" s="992"/>
      <c r="G72" s="1102">
        <v>0</v>
      </c>
      <c r="H72" s="1102"/>
      <c r="I72" s="1102" t="s">
        <v>365</v>
      </c>
      <c r="J72" s="988"/>
      <c r="K72" s="1099" t="s">
        <v>821</v>
      </c>
      <c r="L72" s="1100"/>
      <c r="M72" s="1102">
        <v>0</v>
      </c>
      <c r="N72" s="1102"/>
      <c r="O72" s="1102" t="s">
        <v>365</v>
      </c>
      <c r="P72" s="988"/>
      <c r="Q72" s="958"/>
      <c r="R72" s="958"/>
      <c r="S72" s="958"/>
      <c r="T72" s="958"/>
    </row>
    <row r="73" spans="1:20" s="983" customFormat="1" ht="16.5" x14ac:dyDescent="0.3">
      <c r="A73" s="1099" t="s">
        <v>367</v>
      </c>
      <c r="B73" s="1100"/>
      <c r="C73" s="1100"/>
      <c r="D73" s="1100"/>
      <c r="E73" s="1101" t="s">
        <v>753</v>
      </c>
      <c r="F73" s="992"/>
      <c r="G73" s="1102">
        <f>Rechnungen!AF281</f>
        <v>7.56</v>
      </c>
      <c r="H73" s="1102"/>
      <c r="I73" s="1102" t="s">
        <v>365</v>
      </c>
      <c r="J73" s="988"/>
      <c r="K73" s="1099" t="s">
        <v>822</v>
      </c>
      <c r="L73" s="1100"/>
      <c r="M73" s="1102">
        <f>Rechnungen!AH281</f>
        <v>0.47</v>
      </c>
      <c r="N73" s="1102"/>
      <c r="O73" s="1102" t="s">
        <v>365</v>
      </c>
      <c r="P73" s="988"/>
      <c r="Q73" s="958"/>
      <c r="R73" s="958"/>
      <c r="S73" s="958"/>
      <c r="T73" s="958"/>
    </row>
    <row r="74" spans="1:20" s="983" customFormat="1" ht="16.5" x14ac:dyDescent="0.3">
      <c r="A74" s="1099" t="s">
        <v>399</v>
      </c>
      <c r="B74" s="1100"/>
      <c r="C74" s="1100"/>
      <c r="D74" s="1100"/>
      <c r="E74" s="1101" t="s">
        <v>754</v>
      </c>
      <c r="F74" s="992"/>
      <c r="G74" s="1102">
        <f>Rechnungen!AF298</f>
        <v>1.34</v>
      </c>
      <c r="H74" s="1102"/>
      <c r="I74" s="1102" t="s">
        <v>365</v>
      </c>
      <c r="J74" s="988"/>
      <c r="K74" s="1099" t="s">
        <v>823</v>
      </c>
      <c r="L74" s="1100"/>
      <c r="M74" s="1102">
        <f>Rechnungen!AH298</f>
        <v>0.05</v>
      </c>
      <c r="N74" s="1102"/>
      <c r="O74" s="1102" t="s">
        <v>365</v>
      </c>
      <c r="P74" s="988"/>
      <c r="Q74" s="958"/>
      <c r="R74" s="958"/>
      <c r="S74" s="958"/>
      <c r="T74" s="958"/>
    </row>
    <row r="75" spans="1:20" s="983" customFormat="1" ht="16.5" x14ac:dyDescent="0.3">
      <c r="A75" s="1073" t="s">
        <v>424</v>
      </c>
      <c r="B75" s="1074"/>
      <c r="C75" s="1074"/>
      <c r="D75" s="1074"/>
      <c r="E75" s="1075" t="s">
        <v>818</v>
      </c>
      <c r="F75" s="997"/>
      <c r="G75" s="1004">
        <f>Rechnungen!AF305</f>
        <v>0.502883238565493</v>
      </c>
      <c r="H75" s="1004"/>
      <c r="I75" s="1004" t="s">
        <v>443</v>
      </c>
      <c r="J75" s="1076"/>
      <c r="K75" s="1075" t="s">
        <v>818</v>
      </c>
      <c r="L75" s="997"/>
      <c r="M75" s="1004">
        <f>G75</f>
        <v>0.502883238565493</v>
      </c>
      <c r="N75" s="1004"/>
      <c r="O75" s="1004" t="s">
        <v>443</v>
      </c>
      <c r="P75" s="1076"/>
      <c r="Q75" s="958"/>
      <c r="R75" s="958"/>
      <c r="S75" s="958"/>
      <c r="T75" s="958"/>
    </row>
    <row r="76" spans="1:20" s="983" customFormat="1" ht="16.5" x14ac:dyDescent="0.3">
      <c r="A76" s="1069" t="s">
        <v>707</v>
      </c>
      <c r="E76" s="957" t="s">
        <v>819</v>
      </c>
      <c r="F76" s="958"/>
      <c r="G76" s="1070">
        <f>Rechnungen!AF307</f>
        <v>0</v>
      </c>
      <c r="H76" s="1070"/>
      <c r="I76" s="1070" t="s">
        <v>443</v>
      </c>
      <c r="J76" s="1072"/>
      <c r="K76" s="957" t="s">
        <v>819</v>
      </c>
      <c r="L76" s="958"/>
      <c r="M76" s="1070">
        <f>IF(M75=0,0,FP!B12)</f>
        <v>1.8</v>
      </c>
      <c r="N76" s="1070"/>
      <c r="O76" s="1070" t="s">
        <v>443</v>
      </c>
      <c r="P76" s="1072"/>
      <c r="Q76" s="958"/>
      <c r="R76" s="958"/>
      <c r="S76" s="958"/>
      <c r="T76" s="958"/>
    </row>
    <row r="77" spans="1:20" s="983" customFormat="1" ht="16.5" x14ac:dyDescent="0.3">
      <c r="A77" s="816"/>
      <c r="B77" s="951"/>
      <c r="C77" s="951"/>
      <c r="D77" s="951"/>
      <c r="E77" s="1077" t="s">
        <v>820</v>
      </c>
      <c r="F77" s="953"/>
      <c r="G77" s="1098">
        <f>Rechnungen!AF306</f>
        <v>0</v>
      </c>
      <c r="H77" s="1098"/>
      <c r="I77" s="1098" t="s">
        <v>443</v>
      </c>
      <c r="J77" s="1078"/>
      <c r="K77" s="816" t="s">
        <v>824</v>
      </c>
      <c r="L77" s="951"/>
      <c r="M77" s="1098">
        <f>IF(M75=0,0,Rechnungen!AF308)</f>
        <v>0.50024037531574594</v>
      </c>
      <c r="N77" s="1098"/>
      <c r="O77" s="1098" t="s">
        <v>365</v>
      </c>
      <c r="P77" s="1078"/>
      <c r="Q77" s="958"/>
      <c r="R77" s="958"/>
      <c r="S77" s="958"/>
      <c r="T77" s="958"/>
    </row>
    <row r="78" spans="1:20" s="983" customFormat="1" ht="16.5" x14ac:dyDescent="0.3">
      <c r="A78" s="1073" t="s">
        <v>424</v>
      </c>
      <c r="B78" s="1074"/>
      <c r="C78" s="1074"/>
      <c r="D78" s="1074"/>
      <c r="E78" s="1075" t="s">
        <v>818</v>
      </c>
      <c r="F78" s="997"/>
      <c r="G78" s="1004">
        <f>Rechnungen!AG377</f>
        <v>0.5</v>
      </c>
      <c r="H78" s="1004"/>
      <c r="I78" s="1004" t="s">
        <v>443</v>
      </c>
      <c r="J78" s="1076"/>
      <c r="K78" s="1075" t="s">
        <v>818</v>
      </c>
      <c r="L78" s="997"/>
      <c r="M78" s="1004">
        <f>G78</f>
        <v>0.5</v>
      </c>
      <c r="N78" s="1004"/>
      <c r="O78" s="1004" t="s">
        <v>443</v>
      </c>
      <c r="P78" s="1076"/>
      <c r="Q78" s="958"/>
      <c r="R78" s="958"/>
      <c r="S78" s="958"/>
      <c r="T78" s="958"/>
    </row>
    <row r="79" spans="1:20" s="983" customFormat="1" ht="16.5" x14ac:dyDescent="0.3">
      <c r="A79" s="1069" t="s">
        <v>708</v>
      </c>
      <c r="E79" s="957" t="s">
        <v>819</v>
      </c>
      <c r="F79" s="958"/>
      <c r="G79" s="1070">
        <f>Rechnungen!AF323</f>
        <v>1.1000000000000001</v>
      </c>
      <c r="H79" s="1070"/>
      <c r="I79" s="1070" t="s">
        <v>443</v>
      </c>
      <c r="J79" s="1072"/>
      <c r="K79" s="957" t="s">
        <v>819</v>
      </c>
      <c r="L79" s="958"/>
      <c r="M79" s="1070">
        <f>IF(M78=0,0,FP!B12)</f>
        <v>1.8</v>
      </c>
      <c r="N79" s="1070"/>
      <c r="O79" s="1070" t="s">
        <v>443</v>
      </c>
      <c r="P79" s="1072"/>
      <c r="Q79" s="958"/>
      <c r="R79" s="958"/>
      <c r="S79" s="958"/>
      <c r="T79" s="958"/>
    </row>
    <row r="80" spans="1:20" s="983" customFormat="1" ht="16.5" x14ac:dyDescent="0.3">
      <c r="A80" s="816"/>
      <c r="B80" s="951"/>
      <c r="C80" s="951"/>
      <c r="D80" s="951"/>
      <c r="E80" s="1077" t="s">
        <v>820</v>
      </c>
      <c r="F80" s="953"/>
      <c r="G80" s="1098">
        <f>Rechnungen!AE359</f>
        <v>1.1200000000000001</v>
      </c>
      <c r="H80" s="1098"/>
      <c r="I80" s="1098" t="s">
        <v>443</v>
      </c>
      <c r="J80" s="1078"/>
      <c r="K80" s="816" t="s">
        <v>824</v>
      </c>
      <c r="L80" s="951"/>
      <c r="M80" s="1098">
        <f>Rechnungen!AF359</f>
        <v>0.17</v>
      </c>
      <c r="N80" s="1098"/>
      <c r="O80" s="1098" t="s">
        <v>365</v>
      </c>
      <c r="P80" s="1078"/>
      <c r="Q80" s="958"/>
      <c r="R80" s="958"/>
      <c r="S80" s="958"/>
      <c r="T80" s="958"/>
    </row>
    <row r="81" spans="1:20" s="983" customFormat="1" ht="16.5" x14ac:dyDescent="0.3">
      <c r="A81" s="1069" t="s">
        <v>424</v>
      </c>
      <c r="E81" s="1075" t="s">
        <v>818</v>
      </c>
      <c r="F81" s="958"/>
      <c r="G81" s="1070">
        <f>Rechnungen!AG378</f>
        <v>0</v>
      </c>
      <c r="H81" s="1070"/>
      <c r="I81" s="1070" t="s">
        <v>443</v>
      </c>
      <c r="J81" s="1072"/>
      <c r="K81" s="1075" t="s">
        <v>818</v>
      </c>
      <c r="L81" s="958"/>
      <c r="M81" s="1070">
        <f>G81</f>
        <v>0</v>
      </c>
      <c r="N81" s="1070"/>
      <c r="O81" s="1070" t="s">
        <v>443</v>
      </c>
      <c r="P81" s="1072"/>
      <c r="Q81" s="958"/>
      <c r="R81" s="958"/>
      <c r="S81" s="958"/>
      <c r="T81" s="958"/>
    </row>
    <row r="82" spans="1:20" s="983" customFormat="1" ht="16.5" x14ac:dyDescent="0.3">
      <c r="A82" s="1069" t="s">
        <v>709</v>
      </c>
      <c r="E82" s="957" t="s">
        <v>819</v>
      </c>
      <c r="F82" s="958"/>
      <c r="G82" s="1070">
        <f>Rechnungen!AF328</f>
        <v>0</v>
      </c>
      <c r="H82" s="1070"/>
      <c r="I82" s="1070" t="s">
        <v>443</v>
      </c>
      <c r="J82" s="1072"/>
      <c r="K82" s="957" t="s">
        <v>819</v>
      </c>
      <c r="L82" s="958"/>
      <c r="M82" s="1070">
        <f>IF(M81=0,0,FP!B12)</f>
        <v>0</v>
      </c>
      <c r="N82" s="1070"/>
      <c r="O82" s="1070" t="s">
        <v>443</v>
      </c>
      <c r="P82" s="1072"/>
      <c r="Q82" s="958"/>
      <c r="R82" s="958"/>
      <c r="S82" s="958"/>
      <c r="T82" s="958"/>
    </row>
    <row r="83" spans="1:20" s="983" customFormat="1" ht="16.5" x14ac:dyDescent="0.3">
      <c r="A83" s="1069"/>
      <c r="E83" s="1077" t="s">
        <v>820</v>
      </c>
      <c r="F83" s="958"/>
      <c r="G83" s="1070">
        <f>Rechnungen!AE376</f>
        <v>0</v>
      </c>
      <c r="H83" s="1070"/>
      <c r="I83" s="1070" t="s">
        <v>443</v>
      </c>
      <c r="J83" s="1072"/>
      <c r="K83" s="816" t="s">
        <v>824</v>
      </c>
      <c r="M83" s="1070">
        <f>Rechnungen!AF376</f>
        <v>0</v>
      </c>
      <c r="N83" s="1070"/>
      <c r="O83" s="1070" t="s">
        <v>365</v>
      </c>
      <c r="P83" s="1072"/>
      <c r="Q83" s="958"/>
      <c r="R83" s="958"/>
      <c r="S83" s="958"/>
      <c r="T83" s="958"/>
    </row>
    <row r="84" spans="1:20" s="983" customFormat="1" ht="16.5" x14ac:dyDescent="0.3">
      <c r="A84" s="1073" t="s">
        <v>521</v>
      </c>
      <c r="B84" s="1074"/>
      <c r="C84" s="1074"/>
      <c r="D84" s="1074"/>
      <c r="E84" s="1075" t="s">
        <v>827</v>
      </c>
      <c r="F84" s="997"/>
      <c r="G84" s="1004">
        <f>(G71+G72+G73+G74)*(G75*G77+G78*G80+G81*G83)</f>
        <v>11.984</v>
      </c>
      <c r="H84" s="1004"/>
      <c r="I84" s="1004" t="s">
        <v>365</v>
      </c>
      <c r="J84" s="1076"/>
      <c r="K84" s="1073" t="s">
        <v>825</v>
      </c>
      <c r="L84" s="1074"/>
      <c r="M84" s="1004">
        <f>(M72+M73+M74+M75*M77+M78*M80+M81*M83)</f>
        <v>0.8565625</v>
      </c>
      <c r="N84" s="1004"/>
      <c r="O84" s="1004" t="s">
        <v>365</v>
      </c>
      <c r="P84" s="1076"/>
      <c r="Q84" s="958"/>
      <c r="R84" s="958"/>
      <c r="S84" s="958"/>
      <c r="T84" s="958"/>
    </row>
    <row r="85" spans="1:20" s="983" customFormat="1" ht="17" thickBot="1" x14ac:dyDescent="0.35">
      <c r="A85" s="1079" t="s">
        <v>522</v>
      </c>
      <c r="B85" s="1080"/>
      <c r="C85" s="1080"/>
      <c r="D85" s="1080"/>
      <c r="E85" s="1083" t="s">
        <v>828</v>
      </c>
      <c r="F85" s="1081"/>
      <c r="G85" s="1082">
        <f>(G71+G72+G73+G74)*(G75*G76*G77+G78*G79*G80+G81*G82*G83)</f>
        <v>13.182400000000001</v>
      </c>
      <c r="H85" s="1082"/>
      <c r="I85" s="1082" t="s">
        <v>365</v>
      </c>
      <c r="J85" s="1085"/>
      <c r="K85" s="1079" t="s">
        <v>826</v>
      </c>
      <c r="L85" s="1080"/>
      <c r="M85" s="1082">
        <f>(M72+M73+M74+M75*M77+M78*M80+M81*M83)*M79</f>
        <v>1.5418125</v>
      </c>
      <c r="N85" s="1082"/>
      <c r="O85" s="1082" t="s">
        <v>365</v>
      </c>
      <c r="P85" s="1085"/>
      <c r="Q85" s="958"/>
      <c r="R85" s="958"/>
      <c r="S85" s="958"/>
      <c r="T85" s="958"/>
    </row>
    <row r="86" spans="1:20" s="1105" customFormat="1" ht="28.5" thickBot="1" x14ac:dyDescent="0.35">
      <c r="A86" s="971" t="s">
        <v>636</v>
      </c>
      <c r="B86" s="972"/>
      <c r="C86" s="972"/>
      <c r="D86" s="972"/>
      <c r="E86" s="1103"/>
      <c r="F86" s="1103"/>
      <c r="G86" s="1104"/>
      <c r="H86" s="1104"/>
      <c r="I86" s="1104"/>
      <c r="J86" s="1103"/>
      <c r="K86" s="972"/>
      <c r="L86" s="972"/>
      <c r="M86" s="1104"/>
      <c r="N86" s="1104"/>
      <c r="O86" s="1104"/>
      <c r="P86" s="1062" t="s">
        <v>883</v>
      </c>
      <c r="Q86" s="1093"/>
      <c r="R86" s="1093"/>
      <c r="S86" s="1093"/>
      <c r="T86" s="1093"/>
    </row>
    <row r="87" spans="1:20" s="983" customFormat="1" ht="14" x14ac:dyDescent="0.3">
      <c r="A87" s="1644" t="s">
        <v>1180</v>
      </c>
      <c r="B87" s="1645"/>
      <c r="C87" s="1645"/>
      <c r="D87" s="1645"/>
      <c r="E87" s="1656" t="s">
        <v>1199</v>
      </c>
      <c r="F87" s="1645"/>
      <c r="G87" s="1650" t="str">
        <f>Rechnungen!AK392</f>
        <v>Luftwechsel der Anlage nA=0,40 h-1</v>
      </c>
      <c r="H87" s="1650"/>
      <c r="I87" s="1650"/>
      <c r="J87" s="1650"/>
      <c r="K87" s="1650"/>
      <c r="L87" s="1650"/>
      <c r="M87" s="1650"/>
      <c r="N87" s="1650"/>
      <c r="O87" s="1650"/>
      <c r="P87" s="1651"/>
      <c r="Q87" s="958"/>
      <c r="R87" s="958"/>
      <c r="S87" s="958"/>
      <c r="T87" s="958"/>
    </row>
    <row r="88" spans="1:20" s="983" customFormat="1" ht="14" x14ac:dyDescent="0.3">
      <c r="A88" s="1646"/>
      <c r="B88" s="1647"/>
      <c r="C88" s="1647"/>
      <c r="D88" s="1647"/>
      <c r="E88" s="1657" t="s">
        <v>1200</v>
      </c>
      <c r="F88" s="1658"/>
      <c r="G88" s="1652" t="str">
        <f>IF(Rechnungen!AK415=Rechnungen!AK386,Rechnungen!AK386,Rechnungen!AK415&amp;", "&amp;Rechnungen!AK386)</f>
        <v>zentrale Abluftanlage, verminderter Restluftwechsel</v>
      </c>
      <c r="H88" s="1652"/>
      <c r="I88" s="1652"/>
      <c r="J88" s="1652"/>
      <c r="K88" s="1652"/>
      <c r="L88" s="1652"/>
      <c r="M88" s="1652"/>
      <c r="N88" s="1652"/>
      <c r="O88" s="1652"/>
      <c r="P88" s="1653"/>
      <c r="Q88" s="958"/>
      <c r="R88" s="958"/>
      <c r="S88" s="958"/>
      <c r="T88" s="958"/>
    </row>
    <row r="89" spans="1:20" s="983" customFormat="1" ht="14" x14ac:dyDescent="0.3">
      <c r="A89" s="1646"/>
      <c r="B89" s="1647"/>
      <c r="C89" s="1647"/>
      <c r="D89" s="1647"/>
      <c r="E89" s="968" t="s">
        <v>1201</v>
      </c>
      <c r="F89" s="969"/>
      <c r="G89" s="1652" t="str">
        <f>Rechnungen!AK403</f>
        <v>Anlage mit Temperaturen unter 20°C</v>
      </c>
      <c r="H89" s="1652"/>
      <c r="I89" s="1652"/>
      <c r="J89" s="1652"/>
      <c r="K89" s="1652"/>
      <c r="L89" s="1652"/>
      <c r="M89" s="1652"/>
      <c r="N89" s="1652"/>
      <c r="O89" s="1652"/>
      <c r="P89" s="1653"/>
      <c r="Q89" s="958"/>
      <c r="R89" s="958"/>
      <c r="S89" s="958"/>
      <c r="T89" s="958"/>
    </row>
    <row r="90" spans="1:20" s="983" customFormat="1" ht="14" x14ac:dyDescent="0.3">
      <c r="A90" s="1646"/>
      <c r="B90" s="1647"/>
      <c r="C90" s="1647"/>
      <c r="D90" s="1647"/>
      <c r="E90" s="1657" t="s">
        <v>1202</v>
      </c>
      <c r="F90" s="1658"/>
      <c r="G90" s="1652" t="str">
        <f>Rechnungen!AK425</f>
        <v>keine Wärmerückgewinnung vorhanden</v>
      </c>
      <c r="H90" s="1652"/>
      <c r="I90" s="1652"/>
      <c r="J90" s="1652"/>
      <c r="K90" s="1652"/>
      <c r="L90" s="1652"/>
      <c r="M90" s="1652"/>
      <c r="N90" s="1652"/>
      <c r="O90" s="1652"/>
      <c r="P90" s="1653"/>
      <c r="Q90" s="958"/>
      <c r="R90" s="958"/>
      <c r="S90" s="958"/>
      <c r="T90" s="958"/>
    </row>
    <row r="91" spans="1:20" s="983" customFormat="1" ht="14" x14ac:dyDescent="0.3">
      <c r="A91" s="1646"/>
      <c r="B91" s="1647"/>
      <c r="C91" s="1647"/>
      <c r="D91" s="1647"/>
      <c r="E91" s="1657" t="s">
        <v>1203</v>
      </c>
      <c r="F91" s="1658"/>
      <c r="G91" s="1652" t="str">
        <f>Rechnungen!AK439</f>
        <v>keine Wärmepumpe vorhanden</v>
      </c>
      <c r="H91" s="1652"/>
      <c r="I91" s="1652"/>
      <c r="J91" s="1652"/>
      <c r="K91" s="1652"/>
      <c r="L91" s="1652"/>
      <c r="M91" s="1652"/>
      <c r="N91" s="1652"/>
      <c r="O91" s="1652"/>
      <c r="P91" s="1653"/>
      <c r="Q91" s="958"/>
      <c r="R91" s="958"/>
      <c r="S91" s="958"/>
      <c r="T91" s="958"/>
    </row>
    <row r="92" spans="1:20" s="983" customFormat="1" ht="14" x14ac:dyDescent="0.3">
      <c r="A92" s="1646"/>
      <c r="B92" s="1647"/>
      <c r="C92" s="1647"/>
      <c r="D92" s="1647"/>
      <c r="E92" s="1657" t="s">
        <v>1205</v>
      </c>
      <c r="F92" s="1658"/>
      <c r="G92" s="1652" t="str">
        <f>IF(Rechnungen!AK446=Rechnungen!AK452,Rechnungen!AK446,Rechnungen!AK446&amp;", "&amp;Rechnungen!AK452)</f>
        <v>kein Heizregister vorhanden</v>
      </c>
      <c r="H92" s="1652"/>
      <c r="I92" s="1652"/>
      <c r="J92" s="1652"/>
      <c r="K92" s="1652"/>
      <c r="L92" s="1652"/>
      <c r="M92" s="1652"/>
      <c r="N92" s="1652"/>
      <c r="O92" s="1652"/>
      <c r="P92" s="1653"/>
      <c r="Q92" s="958"/>
      <c r="R92" s="958"/>
      <c r="S92" s="958"/>
      <c r="T92" s="958"/>
    </row>
    <row r="93" spans="1:20" s="983" customFormat="1" ht="14.5" thickBot="1" x14ac:dyDescent="0.35">
      <c r="A93" s="1646"/>
      <c r="B93" s="1647"/>
      <c r="C93" s="1647"/>
      <c r="D93" s="1647"/>
      <c r="E93" s="1657" t="s">
        <v>1204</v>
      </c>
      <c r="F93" s="1658"/>
      <c r="G93" s="1652" t="str">
        <f>Rechnungen!AK433</f>
        <v>Gleichstromventilator (DC)</v>
      </c>
      <c r="H93" s="1652"/>
      <c r="I93" s="1652"/>
      <c r="J93" s="1652"/>
      <c r="K93" s="1652"/>
      <c r="L93" s="1652"/>
      <c r="M93" s="1652"/>
      <c r="N93" s="1652"/>
      <c r="O93" s="1652"/>
      <c r="P93" s="1653"/>
      <c r="Q93" s="958"/>
      <c r="R93" s="958"/>
      <c r="S93" s="958"/>
      <c r="T93" s="958"/>
    </row>
    <row r="94" spans="1:20" s="1027" customFormat="1" x14ac:dyDescent="0.3">
      <c r="A94" s="1094"/>
      <c r="B94" s="1095"/>
      <c r="C94" s="1095"/>
      <c r="D94" s="1096"/>
      <c r="E94" s="1106" t="s">
        <v>403</v>
      </c>
      <c r="F94" s="1107"/>
      <c r="G94" s="1108"/>
      <c r="H94" s="1108"/>
      <c r="I94" s="1108"/>
      <c r="J94" s="1109"/>
      <c r="K94" s="1110" t="s">
        <v>400</v>
      </c>
      <c r="L94" s="1111"/>
      <c r="M94" s="1108"/>
      <c r="N94" s="1108"/>
      <c r="O94" s="1108"/>
      <c r="P94" s="1109"/>
      <c r="Q94" s="1097"/>
      <c r="R94" s="1097"/>
      <c r="S94" s="1097"/>
      <c r="T94" s="1097"/>
    </row>
    <row r="95" spans="1:20" s="983" customFormat="1" ht="16.5" x14ac:dyDescent="0.3">
      <c r="A95" s="816" t="s">
        <v>438</v>
      </c>
      <c r="B95" s="951"/>
      <c r="C95" s="951"/>
      <c r="D95" s="951"/>
      <c r="E95" s="1101" t="s">
        <v>837</v>
      </c>
      <c r="F95" s="992"/>
      <c r="G95" s="1102">
        <f>G98+G101+G104-G96-G97-Rechnungen!AC400</f>
        <v>0</v>
      </c>
      <c r="H95" s="1102"/>
      <c r="I95" s="1102" t="s">
        <v>365</v>
      </c>
      <c r="J95" s="988"/>
      <c r="K95" s="1099" t="s">
        <v>443</v>
      </c>
      <c r="L95" s="1100"/>
      <c r="M95" s="1102" t="s">
        <v>443</v>
      </c>
      <c r="N95" s="1102"/>
      <c r="O95" s="1102" t="s">
        <v>443</v>
      </c>
      <c r="P95" s="988"/>
      <c r="Q95" s="958"/>
      <c r="R95" s="958"/>
      <c r="S95" s="958"/>
      <c r="T95" s="958"/>
    </row>
    <row r="96" spans="1:20" s="983" customFormat="1" ht="16.5" x14ac:dyDescent="0.3">
      <c r="A96" s="1069" t="s">
        <v>439</v>
      </c>
      <c r="E96" s="957" t="s">
        <v>838</v>
      </c>
      <c r="F96" s="958"/>
      <c r="G96" s="1070">
        <f>Rechnungen!AF412</f>
        <v>0</v>
      </c>
      <c r="H96" s="1070"/>
      <c r="I96" s="1070" t="s">
        <v>365</v>
      </c>
      <c r="J96" s="1072"/>
      <c r="K96" s="1069" t="s">
        <v>848</v>
      </c>
      <c r="M96" s="1070">
        <v>0</v>
      </c>
      <c r="N96" s="1070"/>
      <c r="O96" s="1070" t="s">
        <v>365</v>
      </c>
      <c r="P96" s="1072"/>
      <c r="Q96" s="958"/>
      <c r="R96" s="958"/>
      <c r="S96" s="958"/>
      <c r="T96" s="958"/>
    </row>
    <row r="97" spans="1:20" s="983" customFormat="1" ht="16.5" x14ac:dyDescent="0.3">
      <c r="A97" s="1099" t="s">
        <v>367</v>
      </c>
      <c r="B97" s="1100"/>
      <c r="C97" s="1100"/>
      <c r="D97" s="1100"/>
      <c r="E97" s="1101" t="s">
        <v>839</v>
      </c>
      <c r="F97" s="992"/>
      <c r="G97" s="1102">
        <f>Rechnungen!AH421</f>
        <v>0</v>
      </c>
      <c r="H97" s="1102"/>
      <c r="I97" s="1102" t="s">
        <v>365</v>
      </c>
      <c r="J97" s="988"/>
      <c r="K97" s="1099" t="s">
        <v>849</v>
      </c>
      <c r="L97" s="1100"/>
      <c r="M97" s="1102">
        <v>0</v>
      </c>
      <c r="N97" s="1102"/>
      <c r="O97" s="1102" t="s">
        <v>365</v>
      </c>
      <c r="P97" s="988"/>
      <c r="Q97" s="958"/>
      <c r="R97" s="958"/>
      <c r="S97" s="958"/>
      <c r="T97" s="958"/>
    </row>
    <row r="98" spans="1:20" s="983" customFormat="1" ht="16.5" x14ac:dyDescent="0.3">
      <c r="A98" s="1069" t="s">
        <v>424</v>
      </c>
      <c r="E98" s="957" t="s">
        <v>840</v>
      </c>
      <c r="F98" s="958"/>
      <c r="G98" s="1070">
        <f>Rechnungen!AD429</f>
        <v>0</v>
      </c>
      <c r="H98" s="1070"/>
      <c r="I98" s="1070" t="s">
        <v>365</v>
      </c>
      <c r="J98" s="1072"/>
      <c r="K98" s="1073"/>
      <c r="L98" s="1074"/>
      <c r="M98" s="1004"/>
      <c r="N98" s="1004"/>
      <c r="O98" s="1004"/>
      <c r="P98" s="1076"/>
      <c r="Q98" s="958"/>
      <c r="R98" s="958"/>
      <c r="S98" s="958"/>
      <c r="T98" s="958"/>
    </row>
    <row r="99" spans="1:20" s="983" customFormat="1" ht="16.5" x14ac:dyDescent="0.3">
      <c r="A99" s="1069" t="s">
        <v>712</v>
      </c>
      <c r="E99" s="957" t="s">
        <v>841</v>
      </c>
      <c r="F99" s="958"/>
      <c r="G99" s="1070">
        <v>0</v>
      </c>
      <c r="H99" s="1070"/>
      <c r="I99" s="1070" t="s">
        <v>443</v>
      </c>
      <c r="J99" s="1072"/>
      <c r="K99" s="1069"/>
      <c r="M99" s="1070"/>
      <c r="N99" s="1070"/>
      <c r="O99" s="1070"/>
      <c r="P99" s="1072"/>
      <c r="Q99" s="958"/>
      <c r="R99" s="958"/>
      <c r="S99" s="958"/>
      <c r="T99" s="958"/>
    </row>
    <row r="100" spans="1:20" s="983" customFormat="1" ht="16.5" x14ac:dyDescent="0.3">
      <c r="A100" s="1069"/>
      <c r="E100" s="957" t="s">
        <v>819</v>
      </c>
      <c r="F100" s="958"/>
      <c r="G100" s="1070">
        <v>0</v>
      </c>
      <c r="H100" s="1070"/>
      <c r="I100" s="1070" t="s">
        <v>443</v>
      </c>
      <c r="J100" s="1072"/>
      <c r="K100" s="1069"/>
      <c r="M100" s="1070"/>
      <c r="N100" s="1070"/>
      <c r="O100" s="1070"/>
      <c r="P100" s="1072"/>
      <c r="Q100" s="958"/>
      <c r="R100" s="958"/>
      <c r="S100" s="958"/>
      <c r="T100" s="958"/>
    </row>
    <row r="101" spans="1:20" s="983" customFormat="1" ht="16.5" x14ac:dyDescent="0.3">
      <c r="A101" s="1073" t="s">
        <v>424</v>
      </c>
      <c r="B101" s="1074"/>
      <c r="C101" s="1074"/>
      <c r="D101" s="1074"/>
      <c r="E101" s="1075" t="s">
        <v>842</v>
      </c>
      <c r="F101" s="997"/>
      <c r="G101" s="1004">
        <f>Rechnungen!AF442</f>
        <v>0</v>
      </c>
      <c r="H101" s="1004"/>
      <c r="I101" s="1004" t="s">
        <v>365</v>
      </c>
      <c r="J101" s="1076"/>
      <c r="K101" s="1069" t="s">
        <v>850</v>
      </c>
      <c r="M101" s="1070">
        <f>Rechnungen!AF436</f>
        <v>1.1100000000000001</v>
      </c>
      <c r="N101" s="1070"/>
      <c r="O101" s="1070" t="s">
        <v>365</v>
      </c>
      <c r="P101" s="1072"/>
      <c r="Q101" s="958"/>
      <c r="R101" s="958"/>
      <c r="S101" s="958"/>
      <c r="T101" s="958"/>
    </row>
    <row r="102" spans="1:20" s="983" customFormat="1" ht="16.5" x14ac:dyDescent="0.3">
      <c r="A102" s="1069" t="s">
        <v>713</v>
      </c>
      <c r="E102" s="957" t="s">
        <v>843</v>
      </c>
      <c r="F102" s="958"/>
      <c r="G102" s="1070">
        <f>IF(G101=0,0,Rechnungen!AG442)</f>
        <v>0</v>
      </c>
      <c r="H102" s="1070"/>
      <c r="I102" s="1070" t="s">
        <v>443</v>
      </c>
      <c r="J102" s="1072"/>
      <c r="K102" s="1069" t="s">
        <v>443</v>
      </c>
      <c r="M102" s="1070" t="s">
        <v>443</v>
      </c>
      <c r="N102" s="1070"/>
      <c r="O102" s="1070" t="s">
        <v>443</v>
      </c>
      <c r="P102" s="1072"/>
      <c r="Q102" s="958"/>
      <c r="R102" s="958"/>
      <c r="S102" s="958"/>
      <c r="T102" s="958"/>
    </row>
    <row r="103" spans="1:20" s="983" customFormat="1" ht="16.5" x14ac:dyDescent="0.3">
      <c r="A103" s="816"/>
      <c r="B103" s="951"/>
      <c r="C103" s="951"/>
      <c r="D103" s="951"/>
      <c r="E103" s="1077" t="s">
        <v>819</v>
      </c>
      <c r="F103" s="953"/>
      <c r="G103" s="1098">
        <f>IF(G101=0,0,IF(M101=0,0,FP!B12))</f>
        <v>0</v>
      </c>
      <c r="H103" s="1098"/>
      <c r="I103" s="1098" t="s">
        <v>443</v>
      </c>
      <c r="J103" s="1078"/>
      <c r="K103" s="1069" t="s">
        <v>819</v>
      </c>
      <c r="M103" s="1070">
        <f>IF(M101=0,0,FP!B12)</f>
        <v>1.8</v>
      </c>
      <c r="N103" s="1070"/>
      <c r="O103" s="1070" t="s">
        <v>443</v>
      </c>
      <c r="P103" s="1072"/>
      <c r="Q103" s="958"/>
      <c r="R103" s="958"/>
      <c r="S103" s="958"/>
      <c r="T103" s="958"/>
    </row>
    <row r="104" spans="1:20" s="983" customFormat="1" ht="16.5" x14ac:dyDescent="0.3">
      <c r="A104" s="1069" t="s">
        <v>424</v>
      </c>
      <c r="E104" s="957" t="s">
        <v>844</v>
      </c>
      <c r="F104" s="958"/>
      <c r="G104" s="1070">
        <f>Rechnungen!AF449</f>
        <v>0</v>
      </c>
      <c r="H104" s="1070"/>
      <c r="I104" s="1070" t="s">
        <v>365</v>
      </c>
      <c r="J104" s="1072"/>
      <c r="K104" s="1069"/>
      <c r="M104" s="1070"/>
      <c r="N104" s="1070"/>
      <c r="O104" s="1070"/>
      <c r="P104" s="1072"/>
      <c r="Q104" s="958"/>
      <c r="R104" s="958"/>
      <c r="S104" s="958"/>
      <c r="T104" s="958"/>
    </row>
    <row r="105" spans="1:20" s="983" customFormat="1" ht="16.5" x14ac:dyDescent="0.3">
      <c r="A105" s="1069" t="s">
        <v>714</v>
      </c>
      <c r="E105" s="957" t="s">
        <v>845</v>
      </c>
      <c r="F105" s="958"/>
      <c r="G105" s="1070">
        <f>IF(G104=0,0,Rechnungen!AF455)</f>
        <v>0</v>
      </c>
      <c r="H105" s="1070"/>
      <c r="I105" s="1070" t="s">
        <v>443</v>
      </c>
      <c r="J105" s="1072"/>
      <c r="K105" s="1069"/>
      <c r="M105" s="1070"/>
      <c r="N105" s="1070"/>
      <c r="O105" s="1070"/>
      <c r="P105" s="1072"/>
      <c r="Q105" s="958"/>
      <c r="R105" s="958"/>
      <c r="S105" s="958"/>
      <c r="T105" s="958"/>
    </row>
    <row r="106" spans="1:20" s="983" customFormat="1" ht="16.5" x14ac:dyDescent="0.3">
      <c r="A106" s="1069"/>
      <c r="E106" s="957" t="s">
        <v>819</v>
      </c>
      <c r="F106" s="958"/>
      <c r="G106" s="1070">
        <f>IF(G104=0,0,Rechnungen!AE455)</f>
        <v>0</v>
      </c>
      <c r="H106" s="1070"/>
      <c r="I106" s="1070" t="s">
        <v>443</v>
      </c>
      <c r="J106" s="1072"/>
      <c r="K106" s="816"/>
      <c r="L106" s="951"/>
      <c r="M106" s="1098"/>
      <c r="N106" s="1098"/>
      <c r="O106" s="1098"/>
      <c r="P106" s="1078"/>
      <c r="Q106" s="958"/>
      <c r="R106" s="958"/>
      <c r="S106" s="958"/>
      <c r="T106" s="958"/>
    </row>
    <row r="107" spans="1:20" s="983" customFormat="1" ht="16.5" x14ac:dyDescent="0.3">
      <c r="A107" s="1073" t="s">
        <v>521</v>
      </c>
      <c r="B107" s="1074"/>
      <c r="C107" s="1074"/>
      <c r="D107" s="1074"/>
      <c r="E107" s="1075" t="s">
        <v>846</v>
      </c>
      <c r="F107" s="997"/>
      <c r="G107" s="1004">
        <f>G98*G99+G101*G102+G104*G105</f>
        <v>0</v>
      </c>
      <c r="H107" s="1004"/>
      <c r="I107" s="1004" t="s">
        <v>365</v>
      </c>
      <c r="J107" s="1076"/>
      <c r="K107" s="1073" t="s">
        <v>851</v>
      </c>
      <c r="L107" s="1074"/>
      <c r="M107" s="1004">
        <f>M101+M97+M96</f>
        <v>1.1100000000000001</v>
      </c>
      <c r="N107" s="1004"/>
      <c r="O107" s="1004" t="s">
        <v>365</v>
      </c>
      <c r="P107" s="1076"/>
      <c r="Q107" s="958"/>
      <c r="R107" s="958"/>
      <c r="S107" s="958"/>
      <c r="T107" s="958"/>
    </row>
    <row r="108" spans="1:20" s="983" customFormat="1" ht="17" thickBot="1" x14ac:dyDescent="0.35">
      <c r="A108" s="1079" t="s">
        <v>522</v>
      </c>
      <c r="B108" s="1080"/>
      <c r="C108" s="1080"/>
      <c r="D108" s="1080"/>
      <c r="E108" s="1083" t="s">
        <v>847</v>
      </c>
      <c r="F108" s="1081"/>
      <c r="G108" s="1082">
        <f>G98*G99*G100+G101*G102*G103+G104*G105*G106</f>
        <v>0</v>
      </c>
      <c r="H108" s="1082"/>
      <c r="I108" s="1082" t="s">
        <v>365</v>
      </c>
      <c r="J108" s="1085"/>
      <c r="K108" s="1079" t="s">
        <v>852</v>
      </c>
      <c r="L108" s="1080"/>
      <c r="M108" s="1082">
        <f>(M96+M97+M101)*M103</f>
        <v>1.9980000000000002</v>
      </c>
      <c r="N108" s="1082"/>
      <c r="O108" s="1082" t="s">
        <v>365</v>
      </c>
      <c r="P108" s="1085"/>
      <c r="Q108" s="958"/>
      <c r="R108" s="958"/>
      <c r="S108" s="958"/>
      <c r="T108" s="958"/>
    </row>
    <row r="109" spans="1:20" s="1010" customFormat="1" ht="28.5" thickBot="1" x14ac:dyDescent="0.35">
      <c r="A109" s="1087" t="s">
        <v>637</v>
      </c>
      <c r="B109" s="1088"/>
      <c r="C109" s="1088"/>
      <c r="D109" s="1088"/>
      <c r="E109" s="1006"/>
      <c r="F109" s="1006"/>
      <c r="G109" s="970"/>
      <c r="H109" s="970"/>
      <c r="I109" s="970"/>
      <c r="J109" s="1006"/>
      <c r="K109" s="1007"/>
      <c r="L109" s="1007"/>
      <c r="M109" s="970"/>
      <c r="N109" s="970"/>
      <c r="O109" s="970"/>
      <c r="P109" s="1207" t="s">
        <v>883</v>
      </c>
      <c r="Q109" s="1009"/>
      <c r="R109" s="1009"/>
      <c r="S109" s="1009"/>
      <c r="T109" s="1009"/>
    </row>
    <row r="110" spans="1:20" s="983" customFormat="1" ht="14" x14ac:dyDescent="0.3">
      <c r="A110" s="1644" t="s">
        <v>1180</v>
      </c>
      <c r="B110" s="1645"/>
      <c r="C110" s="1645"/>
      <c r="D110" s="1645"/>
      <c r="E110" s="1656" t="s">
        <v>1201</v>
      </c>
      <c r="F110" s="1656"/>
      <c r="G110" s="1650" t="str">
        <f>Rechnungen!AK464</f>
        <v>Wasserheizung; freie Heizflächen; Anordnung Außenwandbereich; Xp=1K</v>
      </c>
      <c r="H110" s="1650"/>
      <c r="I110" s="1650"/>
      <c r="J110" s="1650"/>
      <c r="K110" s="1650"/>
      <c r="L110" s="1650"/>
      <c r="M110" s="1650"/>
      <c r="N110" s="1650"/>
      <c r="O110" s="1650"/>
      <c r="P110" s="1651"/>
      <c r="Q110" s="958"/>
      <c r="R110" s="958"/>
      <c r="S110" s="958"/>
      <c r="T110" s="958"/>
    </row>
    <row r="111" spans="1:20" s="983" customFormat="1" ht="14" x14ac:dyDescent="0.3">
      <c r="A111" s="1646"/>
      <c r="B111" s="1647"/>
      <c r="C111" s="1647"/>
      <c r="D111" s="1647"/>
      <c r="E111" s="1657" t="s">
        <v>1194</v>
      </c>
      <c r="F111" s="1657"/>
      <c r="G111" s="1652" t="str">
        <f>Rechnungen!AK493</f>
        <v>Verteilung im beheizten Bereich; Steigestränge innenliegend</v>
      </c>
      <c r="H111" s="1652"/>
      <c r="I111" s="1652"/>
      <c r="J111" s="1652"/>
      <c r="K111" s="1652"/>
      <c r="L111" s="1652"/>
      <c r="M111" s="1652"/>
      <c r="N111" s="1652"/>
      <c r="O111" s="1652"/>
      <c r="P111" s="1653"/>
      <c r="Q111" s="958"/>
      <c r="R111" s="958"/>
      <c r="S111" s="958"/>
      <c r="T111" s="958"/>
    </row>
    <row r="112" spans="1:20" s="983" customFormat="1" ht="14" x14ac:dyDescent="0.3">
      <c r="A112" s="1646"/>
      <c r="B112" s="1647"/>
      <c r="C112" s="1647"/>
      <c r="D112" s="1647"/>
      <c r="E112" s="1657" t="s">
        <v>1206</v>
      </c>
      <c r="F112" s="1657"/>
      <c r="G112" s="1652" t="str">
        <f>Rechnungen!AK486</f>
        <v>55/45°C</v>
      </c>
      <c r="H112" s="1652"/>
      <c r="I112" s="1652"/>
      <c r="J112" s="1652"/>
      <c r="K112" s="1652"/>
      <c r="L112" s="1652"/>
      <c r="M112" s="1652"/>
      <c r="N112" s="1652"/>
      <c r="O112" s="1652"/>
      <c r="P112" s="1653"/>
      <c r="Q112" s="958"/>
      <c r="R112" s="958"/>
      <c r="S112" s="958"/>
      <c r="T112" s="958"/>
    </row>
    <row r="113" spans="1:20" s="983" customFormat="1" ht="14" x14ac:dyDescent="0.3">
      <c r="A113" s="1646"/>
      <c r="B113" s="1647"/>
      <c r="C113" s="1647"/>
      <c r="D113" s="1647"/>
      <c r="E113" s="1657" t="s">
        <v>1207</v>
      </c>
      <c r="F113" s="1657"/>
      <c r="G113" s="1652" t="str">
        <f>Rechnungen!AK505</f>
        <v>geregelte Pumpe</v>
      </c>
      <c r="H113" s="1652"/>
      <c r="I113" s="1652"/>
      <c r="J113" s="1652"/>
      <c r="K113" s="1652"/>
      <c r="L113" s="1652"/>
      <c r="M113" s="1652"/>
      <c r="N113" s="1652"/>
      <c r="O113" s="1652"/>
      <c r="P113" s="1653"/>
      <c r="Q113" s="958"/>
      <c r="R113" s="958"/>
      <c r="S113" s="958"/>
      <c r="T113" s="958"/>
    </row>
    <row r="114" spans="1:20" s="983" customFormat="1" ht="14" x14ac:dyDescent="0.3">
      <c r="A114" s="1646"/>
      <c r="B114" s="1647"/>
      <c r="C114" s="1647"/>
      <c r="D114" s="1647"/>
      <c r="E114" s="1657" t="s">
        <v>1195</v>
      </c>
      <c r="F114" s="1657"/>
      <c r="G114" s="1652" t="str">
        <f>Rechnungen!AK511</f>
        <v>kein Pufferspeicher vorhanden</v>
      </c>
      <c r="H114" s="1652"/>
      <c r="I114" s="1652"/>
      <c r="J114" s="1652"/>
      <c r="K114" s="1652"/>
      <c r="L114" s="1652"/>
      <c r="M114" s="1652"/>
      <c r="N114" s="1652"/>
      <c r="O114" s="1652"/>
      <c r="P114" s="1653"/>
      <c r="Q114" s="958"/>
      <c r="R114" s="958"/>
      <c r="S114" s="958"/>
      <c r="T114" s="958"/>
    </row>
    <row r="115" spans="1:20" s="983" customFormat="1" ht="14" x14ac:dyDescent="0.3">
      <c r="A115" s="1646"/>
      <c r="B115" s="1647"/>
      <c r="C115" s="1647"/>
      <c r="D115" s="1647"/>
      <c r="E115" s="1657" t="s">
        <v>1196</v>
      </c>
      <c r="F115" s="1657"/>
      <c r="G115" s="1652" t="str">
        <f>Rechnungen!AK521</f>
        <v>keine Solaranlage vorhanden</v>
      </c>
      <c r="H115" s="1652"/>
      <c r="I115" s="1652"/>
      <c r="J115" s="1652"/>
      <c r="K115" s="1652"/>
      <c r="L115" s="1652"/>
      <c r="M115" s="1652"/>
      <c r="N115" s="1652"/>
      <c r="O115" s="1652"/>
      <c r="P115" s="1653"/>
      <c r="Q115" s="958"/>
      <c r="R115" s="958"/>
      <c r="S115" s="958"/>
      <c r="T115" s="958"/>
    </row>
    <row r="116" spans="1:20" s="983" customFormat="1" ht="14" x14ac:dyDescent="0.3">
      <c r="A116" s="1646"/>
      <c r="B116" s="1647"/>
      <c r="C116" s="1647"/>
      <c r="D116" s="1647"/>
      <c r="E116" s="1657" t="s">
        <v>1197</v>
      </c>
      <c r="F116" s="1658"/>
      <c r="G116" s="1652" t="str">
        <f>Rechnungen!AK537&amp;", "&amp;Rechnungen!AK564</f>
        <v>Brennwertkessel; Aufstellung im beheizten Bereich, verbessert, Erdgas H</v>
      </c>
      <c r="H116" s="1652"/>
      <c r="I116" s="1652"/>
      <c r="J116" s="1652"/>
      <c r="K116" s="1652"/>
      <c r="L116" s="1652"/>
      <c r="M116" s="1652"/>
      <c r="N116" s="1652"/>
      <c r="O116" s="1652"/>
      <c r="P116" s="1653"/>
      <c r="Q116" s="958"/>
      <c r="R116" s="958"/>
      <c r="S116" s="958"/>
      <c r="T116" s="958"/>
    </row>
    <row r="117" spans="1:20" s="983" customFormat="1" ht="14.5" thickBot="1" x14ac:dyDescent="0.35">
      <c r="A117" s="1648"/>
      <c r="B117" s="1649"/>
      <c r="C117" s="1649"/>
      <c r="D117" s="1649"/>
      <c r="E117" s="1659" t="s">
        <v>1198</v>
      </c>
      <c r="F117" s="1660"/>
      <c r="G117" s="1654" t="str">
        <f>Rechnungen!AK580</f>
        <v>kein weiterer Erzeuger vorhanden</v>
      </c>
      <c r="H117" s="1654"/>
      <c r="I117" s="1654"/>
      <c r="J117" s="1654"/>
      <c r="K117" s="1654"/>
      <c r="L117" s="1654"/>
      <c r="M117" s="1654"/>
      <c r="N117" s="1654"/>
      <c r="O117" s="1654"/>
      <c r="P117" s="1655"/>
      <c r="Q117" s="958"/>
      <c r="R117" s="958"/>
      <c r="S117" s="958"/>
      <c r="T117" s="958"/>
    </row>
    <row r="118" spans="1:20" s="1027" customFormat="1" x14ac:dyDescent="0.3">
      <c r="A118" s="1112"/>
      <c r="B118" s="1113"/>
      <c r="C118" s="1113"/>
      <c r="D118" s="1114"/>
      <c r="E118" s="1201" t="s">
        <v>403</v>
      </c>
      <c r="F118" s="1202"/>
      <c r="G118" s="1203"/>
      <c r="H118" s="1203"/>
      <c r="I118" s="1203"/>
      <c r="J118" s="1204"/>
      <c r="K118" s="1205" t="s">
        <v>400</v>
      </c>
      <c r="L118" s="1206"/>
      <c r="M118" s="1203"/>
      <c r="N118" s="1203"/>
      <c r="O118" s="1203"/>
      <c r="P118" s="1204"/>
      <c r="Q118" s="1097"/>
      <c r="R118" s="1097"/>
      <c r="S118" s="1097"/>
      <c r="T118" s="1097"/>
    </row>
    <row r="119" spans="1:20" s="983" customFormat="1" ht="16.5" x14ac:dyDescent="0.3">
      <c r="A119" s="816" t="s">
        <v>438</v>
      </c>
      <c r="B119" s="951"/>
      <c r="C119" s="951"/>
      <c r="D119" s="951"/>
      <c r="E119" s="1101" t="s">
        <v>832</v>
      </c>
      <c r="F119" s="992"/>
      <c r="G119" s="1102">
        <f>Rechnungen!H4</f>
        <v>81.969713287155201</v>
      </c>
      <c r="H119" s="1102"/>
      <c r="I119" s="1102" t="s">
        <v>365</v>
      </c>
      <c r="J119" s="988"/>
      <c r="K119" s="1115" t="s">
        <v>443</v>
      </c>
      <c r="L119" s="1116"/>
      <c r="M119" s="1117" t="s">
        <v>443</v>
      </c>
      <c r="N119" s="1117"/>
      <c r="O119" s="1117" t="s">
        <v>443</v>
      </c>
      <c r="P119" s="988"/>
      <c r="Q119" s="958"/>
      <c r="R119" s="958"/>
      <c r="S119" s="958"/>
      <c r="T119" s="958"/>
    </row>
    <row r="120" spans="1:20" s="983" customFormat="1" ht="16.5" x14ac:dyDescent="0.3">
      <c r="A120" s="1069" t="s">
        <v>518</v>
      </c>
      <c r="E120" s="957" t="s">
        <v>853</v>
      </c>
      <c r="F120" s="958"/>
      <c r="G120" s="1070">
        <f>Rechnungen!AG281</f>
        <v>3.4</v>
      </c>
      <c r="H120" s="1070"/>
      <c r="I120" s="1070" t="s">
        <v>365</v>
      </c>
      <c r="J120" s="1072"/>
      <c r="K120" s="1118" t="s">
        <v>443</v>
      </c>
      <c r="L120" s="547"/>
      <c r="M120" s="1119" t="s">
        <v>443</v>
      </c>
      <c r="N120" s="1119"/>
      <c r="O120" s="1119" t="s">
        <v>443</v>
      </c>
      <c r="P120" s="1072"/>
      <c r="Q120" s="958"/>
      <c r="R120" s="958"/>
      <c r="S120" s="958"/>
      <c r="T120" s="958"/>
    </row>
    <row r="121" spans="1:20" s="983" customFormat="1" ht="16.5" x14ac:dyDescent="0.3">
      <c r="A121" s="1069"/>
      <c r="E121" s="957" t="s">
        <v>854</v>
      </c>
      <c r="F121" s="958"/>
      <c r="G121" s="1070">
        <f>Rechnungen!AG298+Rechnungen!AG359</f>
        <v>0.6</v>
      </c>
      <c r="H121" s="1070"/>
      <c r="I121" s="1070" t="s">
        <v>365</v>
      </c>
      <c r="J121" s="1072"/>
      <c r="K121" s="1118" t="s">
        <v>443</v>
      </c>
      <c r="L121" s="547"/>
      <c r="M121" s="1119" t="s">
        <v>443</v>
      </c>
      <c r="N121" s="1119"/>
      <c r="O121" s="1119" t="s">
        <v>443</v>
      </c>
      <c r="P121" s="1072"/>
      <c r="Q121" s="958"/>
      <c r="R121" s="958"/>
      <c r="S121" s="958"/>
      <c r="T121" s="958"/>
    </row>
    <row r="122" spans="1:20" s="983" customFormat="1" ht="16.5" x14ac:dyDescent="0.3">
      <c r="A122" s="1069"/>
      <c r="E122" s="957" t="s">
        <v>837</v>
      </c>
      <c r="F122" s="958"/>
      <c r="G122" s="1070">
        <f>G95</f>
        <v>0</v>
      </c>
      <c r="H122" s="1070"/>
      <c r="I122" s="1070" t="s">
        <v>365</v>
      </c>
      <c r="J122" s="1072"/>
      <c r="K122" s="1118" t="s">
        <v>443</v>
      </c>
      <c r="L122" s="547"/>
      <c r="M122" s="1119" t="s">
        <v>443</v>
      </c>
      <c r="N122" s="1119"/>
      <c r="O122" s="1119" t="s">
        <v>443</v>
      </c>
      <c r="P122" s="1072"/>
      <c r="Q122" s="958"/>
      <c r="R122" s="958"/>
      <c r="S122" s="958"/>
      <c r="T122" s="958"/>
    </row>
    <row r="123" spans="1:20" s="983" customFormat="1" ht="16.5" x14ac:dyDescent="0.3">
      <c r="A123" s="1069"/>
      <c r="E123" s="957" t="s">
        <v>855</v>
      </c>
      <c r="F123" s="958"/>
      <c r="G123" s="1070">
        <f>G119-G120-G121-G122</f>
        <v>77.969713287155201</v>
      </c>
      <c r="H123" s="1070"/>
      <c r="I123" s="1070" t="s">
        <v>365</v>
      </c>
      <c r="J123" s="1072"/>
      <c r="K123" s="1118" t="s">
        <v>443</v>
      </c>
      <c r="L123" s="547"/>
      <c r="M123" s="1119" t="s">
        <v>443</v>
      </c>
      <c r="N123" s="1119"/>
      <c r="O123" s="1119" t="s">
        <v>443</v>
      </c>
      <c r="P123" s="1072"/>
      <c r="Q123" s="958"/>
      <c r="R123" s="958"/>
      <c r="S123" s="958"/>
      <c r="T123" s="958"/>
    </row>
    <row r="124" spans="1:20" s="983" customFormat="1" ht="16.5" x14ac:dyDescent="0.3">
      <c r="A124" s="1099" t="s">
        <v>439</v>
      </c>
      <c r="B124" s="1100"/>
      <c r="C124" s="1100"/>
      <c r="D124" s="1100"/>
      <c r="E124" s="1101" t="s">
        <v>856</v>
      </c>
      <c r="F124" s="992"/>
      <c r="G124" s="1102">
        <f>Rechnungen!AF483</f>
        <v>1.1000000000000001</v>
      </c>
      <c r="H124" s="1102"/>
      <c r="I124" s="1102" t="s">
        <v>365</v>
      </c>
      <c r="J124" s="988"/>
      <c r="K124" s="1099" t="s">
        <v>863</v>
      </c>
      <c r="L124" s="1100"/>
      <c r="M124" s="1102">
        <v>0</v>
      </c>
      <c r="N124" s="1102"/>
      <c r="O124" s="1102" t="s">
        <v>365</v>
      </c>
      <c r="P124" s="988"/>
      <c r="Q124" s="958"/>
      <c r="R124" s="958"/>
      <c r="S124" s="958"/>
      <c r="T124" s="958"/>
    </row>
    <row r="125" spans="1:20" s="983" customFormat="1" ht="16.5" x14ac:dyDescent="0.3">
      <c r="A125" s="1069" t="s">
        <v>367</v>
      </c>
      <c r="E125" s="957" t="s">
        <v>857</v>
      </c>
      <c r="F125" s="958"/>
      <c r="G125" s="1070">
        <f>Rechnungen!AF501</f>
        <v>1.48</v>
      </c>
      <c r="H125" s="1070"/>
      <c r="I125" s="1070" t="s">
        <v>365</v>
      </c>
      <c r="J125" s="1072"/>
      <c r="K125" s="1069" t="s">
        <v>864</v>
      </c>
      <c r="M125" s="1070">
        <f>Rechnungen!AF508</f>
        <v>0.75</v>
      </c>
      <c r="N125" s="1070"/>
      <c r="O125" s="1070" t="s">
        <v>365</v>
      </c>
      <c r="P125" s="1072"/>
      <c r="Q125" s="958"/>
      <c r="R125" s="958"/>
      <c r="S125" s="958"/>
      <c r="T125" s="958"/>
    </row>
    <row r="126" spans="1:20" s="983" customFormat="1" ht="16.5" x14ac:dyDescent="0.3">
      <c r="A126" s="1099" t="s">
        <v>399</v>
      </c>
      <c r="B126" s="1100"/>
      <c r="C126" s="1100"/>
      <c r="D126" s="1100"/>
      <c r="E126" s="1101" t="s">
        <v>858</v>
      </c>
      <c r="F126" s="992"/>
      <c r="G126" s="1102">
        <f>Rechnungen!AE517</f>
        <v>0</v>
      </c>
      <c r="H126" s="1102"/>
      <c r="I126" s="1102" t="s">
        <v>365</v>
      </c>
      <c r="J126" s="988"/>
      <c r="K126" s="1099" t="s">
        <v>865</v>
      </c>
      <c r="L126" s="1100"/>
      <c r="M126" s="1102">
        <f>Rechnungen!AF517</f>
        <v>0</v>
      </c>
      <c r="N126" s="1102"/>
      <c r="O126" s="1102" t="s">
        <v>365</v>
      </c>
      <c r="P126" s="988"/>
      <c r="Q126" s="958"/>
      <c r="R126" s="958"/>
      <c r="S126" s="958"/>
      <c r="T126" s="958"/>
    </row>
    <row r="127" spans="1:20" s="983" customFormat="1" ht="16.5" x14ac:dyDescent="0.3">
      <c r="A127" s="1069" t="s">
        <v>424</v>
      </c>
      <c r="E127" s="1075" t="s">
        <v>859</v>
      </c>
      <c r="F127" s="958"/>
      <c r="G127" s="1070">
        <f>Rechnungen!AD533</f>
        <v>0</v>
      </c>
      <c r="H127" s="1070"/>
      <c r="I127" s="1070" t="s">
        <v>443</v>
      </c>
      <c r="J127" s="1072"/>
      <c r="K127" s="1075" t="s">
        <v>859</v>
      </c>
      <c r="L127" s="958"/>
      <c r="M127" s="1070">
        <f>G127</f>
        <v>0</v>
      </c>
      <c r="N127" s="1070"/>
      <c r="O127" s="1070" t="s">
        <v>443</v>
      </c>
      <c r="P127" s="1072"/>
      <c r="Q127" s="958"/>
      <c r="R127" s="958"/>
      <c r="S127" s="958"/>
      <c r="T127" s="958"/>
    </row>
    <row r="128" spans="1:20" s="983" customFormat="1" ht="16.5" x14ac:dyDescent="0.3">
      <c r="A128" s="1069" t="s">
        <v>707</v>
      </c>
      <c r="E128" s="957" t="s">
        <v>819</v>
      </c>
      <c r="F128" s="958"/>
      <c r="G128" s="1070">
        <f>Rechnungen!AG533</f>
        <v>0</v>
      </c>
      <c r="H128" s="1070"/>
      <c r="I128" s="1070" t="s">
        <v>443</v>
      </c>
      <c r="J128" s="1072"/>
      <c r="K128" s="957" t="s">
        <v>819</v>
      </c>
      <c r="L128" s="958"/>
      <c r="M128" s="1070">
        <f>IF(M127=0,0,FP!B12)</f>
        <v>0</v>
      </c>
      <c r="N128" s="1070"/>
      <c r="O128" s="1070" t="s">
        <v>443</v>
      </c>
      <c r="P128" s="1072"/>
      <c r="Q128" s="958"/>
      <c r="R128" s="958"/>
      <c r="S128" s="958"/>
      <c r="T128" s="958"/>
    </row>
    <row r="129" spans="1:20" s="983" customFormat="1" ht="16.5" x14ac:dyDescent="0.3">
      <c r="A129" s="1069"/>
      <c r="E129" s="1077" t="s">
        <v>860</v>
      </c>
      <c r="F129" s="958"/>
      <c r="G129" s="1070">
        <v>0</v>
      </c>
      <c r="H129" s="1070"/>
      <c r="I129" s="1070" t="s">
        <v>443</v>
      </c>
      <c r="J129" s="1072"/>
      <c r="K129" s="1069" t="s">
        <v>866</v>
      </c>
      <c r="M129" s="1070">
        <v>0</v>
      </c>
      <c r="N129" s="1070"/>
      <c r="O129" s="1070" t="s">
        <v>365</v>
      </c>
      <c r="P129" s="1072"/>
      <c r="Q129" s="958"/>
      <c r="R129" s="958"/>
      <c r="S129" s="958"/>
      <c r="T129" s="958"/>
    </row>
    <row r="130" spans="1:20" s="983" customFormat="1" ht="16.5" x14ac:dyDescent="0.3">
      <c r="A130" s="1073" t="s">
        <v>424</v>
      </c>
      <c r="B130" s="1074"/>
      <c r="C130" s="1074"/>
      <c r="D130" s="1074"/>
      <c r="E130" s="1075" t="s">
        <v>859</v>
      </c>
      <c r="F130" s="997"/>
      <c r="G130" s="1004">
        <f>Rechnungen!AE533</f>
        <v>1</v>
      </c>
      <c r="H130" s="1004"/>
      <c r="I130" s="1004" t="s">
        <v>443</v>
      </c>
      <c r="J130" s="1076"/>
      <c r="K130" s="1075" t="s">
        <v>859</v>
      </c>
      <c r="L130" s="997"/>
      <c r="M130" s="1004">
        <f>G130</f>
        <v>1</v>
      </c>
      <c r="N130" s="1004"/>
      <c r="O130" s="1004" t="s">
        <v>443</v>
      </c>
      <c r="P130" s="1076"/>
      <c r="Q130" s="958"/>
      <c r="R130" s="958"/>
      <c r="S130" s="958"/>
      <c r="T130" s="958"/>
    </row>
    <row r="131" spans="1:20" s="983" customFormat="1" ht="16.5" x14ac:dyDescent="0.3">
      <c r="A131" s="1069" t="s">
        <v>708</v>
      </c>
      <c r="E131" s="957" t="s">
        <v>819</v>
      </c>
      <c r="F131" s="958"/>
      <c r="G131" s="1070">
        <f>Rechnungen!AF577</f>
        <v>1.1000000000000001</v>
      </c>
      <c r="H131" s="1070"/>
      <c r="I131" s="1070" t="s">
        <v>443</v>
      </c>
      <c r="J131" s="1072"/>
      <c r="K131" s="957" t="s">
        <v>819</v>
      </c>
      <c r="L131" s="958"/>
      <c r="M131" s="1070">
        <f>IF(M130=0,0,FP!B12)</f>
        <v>1.8</v>
      </c>
      <c r="N131" s="1070"/>
      <c r="O131" s="1070" t="s">
        <v>443</v>
      </c>
      <c r="P131" s="1072"/>
      <c r="Q131" s="958"/>
      <c r="R131" s="958"/>
      <c r="S131" s="958"/>
      <c r="T131" s="958"/>
    </row>
    <row r="132" spans="1:20" s="983" customFormat="1" ht="16.5" x14ac:dyDescent="0.3">
      <c r="A132" s="816"/>
      <c r="B132" s="951"/>
      <c r="C132" s="951"/>
      <c r="D132" s="951"/>
      <c r="E132" s="1077" t="s">
        <v>860</v>
      </c>
      <c r="F132" s="953"/>
      <c r="G132" s="1098">
        <f>Rechnungen!AF560</f>
        <v>0.96</v>
      </c>
      <c r="H132" s="1098"/>
      <c r="I132" s="1098" t="s">
        <v>443</v>
      </c>
      <c r="J132" s="1078"/>
      <c r="K132" s="1069" t="s">
        <v>866</v>
      </c>
      <c r="L132" s="1098"/>
      <c r="M132" s="1098">
        <f>Rechnungen!AG560</f>
        <v>0.46</v>
      </c>
      <c r="N132" s="1098"/>
      <c r="O132" s="1098" t="s">
        <v>365</v>
      </c>
      <c r="P132" s="1078"/>
      <c r="Q132" s="958"/>
      <c r="R132" s="958"/>
      <c r="S132" s="958"/>
      <c r="T132" s="958"/>
    </row>
    <row r="133" spans="1:20" s="983" customFormat="1" ht="16.5" x14ac:dyDescent="0.3">
      <c r="A133" s="1069" t="s">
        <v>424</v>
      </c>
      <c r="E133" s="1075" t="s">
        <v>859</v>
      </c>
      <c r="F133" s="958"/>
      <c r="G133" s="1070">
        <f>Rechnungen!AF533</f>
        <v>0</v>
      </c>
      <c r="H133" s="1070"/>
      <c r="I133" s="1070" t="s">
        <v>443</v>
      </c>
      <c r="J133" s="1072"/>
      <c r="K133" s="1075" t="s">
        <v>859</v>
      </c>
      <c r="L133" s="958"/>
      <c r="M133" s="1070">
        <f>G133</f>
        <v>0</v>
      </c>
      <c r="N133" s="1070"/>
      <c r="O133" s="1070" t="s">
        <v>443</v>
      </c>
      <c r="P133" s="1072"/>
      <c r="Q133" s="958"/>
      <c r="R133" s="958"/>
      <c r="S133" s="958"/>
      <c r="T133" s="958"/>
    </row>
    <row r="134" spans="1:20" s="983" customFormat="1" ht="16.5" x14ac:dyDescent="0.3">
      <c r="A134" s="1069" t="s">
        <v>709</v>
      </c>
      <c r="E134" s="957" t="s">
        <v>819</v>
      </c>
      <c r="F134" s="958"/>
      <c r="G134" s="1070">
        <f>Rechnungen!AH533</f>
        <v>0</v>
      </c>
      <c r="H134" s="1070"/>
      <c r="I134" s="1070" t="s">
        <v>443</v>
      </c>
      <c r="J134" s="1072"/>
      <c r="K134" s="957" t="s">
        <v>819</v>
      </c>
      <c r="L134" s="958"/>
      <c r="M134" s="1070">
        <f>IF(M133=0,0,FP!B12)</f>
        <v>0</v>
      </c>
      <c r="N134" s="1070"/>
      <c r="O134" s="1070" t="s">
        <v>443</v>
      </c>
      <c r="P134" s="1072"/>
      <c r="Q134" s="958"/>
      <c r="R134" s="958"/>
      <c r="S134" s="958"/>
      <c r="T134" s="958"/>
    </row>
    <row r="135" spans="1:20" s="983" customFormat="1" ht="16.5" x14ac:dyDescent="0.3">
      <c r="A135" s="1069"/>
      <c r="E135" s="1077" t="s">
        <v>860</v>
      </c>
      <c r="F135" s="958"/>
      <c r="G135" s="1070">
        <f>Rechnungen!AF590</f>
        <v>0</v>
      </c>
      <c r="H135" s="1070"/>
      <c r="I135" s="1070" t="s">
        <v>443</v>
      </c>
      <c r="J135" s="1072"/>
      <c r="K135" s="1069" t="s">
        <v>866</v>
      </c>
      <c r="M135" s="1070">
        <f>Rechnungen!AG590</f>
        <v>0</v>
      </c>
      <c r="N135" s="1070"/>
      <c r="O135" s="1070" t="s">
        <v>365</v>
      </c>
      <c r="P135" s="1072"/>
      <c r="Q135" s="958"/>
      <c r="R135" s="958"/>
      <c r="S135" s="958"/>
      <c r="T135" s="958"/>
    </row>
    <row r="136" spans="1:20" s="983" customFormat="1" ht="16.5" x14ac:dyDescent="0.3">
      <c r="A136" s="1073" t="s">
        <v>521</v>
      </c>
      <c r="B136" s="1074"/>
      <c r="C136" s="1074"/>
      <c r="D136" s="1074"/>
      <c r="E136" s="1075" t="s">
        <v>861</v>
      </c>
      <c r="F136" s="997"/>
      <c r="G136" s="1004">
        <f>(G123+G124+G125+G126)*(G127*G129+G130*G132+G133*G135)</f>
        <v>77.327724755668996</v>
      </c>
      <c r="H136" s="1004"/>
      <c r="I136" s="1004" t="s">
        <v>365</v>
      </c>
      <c r="J136" s="1076"/>
      <c r="K136" s="1073" t="s">
        <v>867</v>
      </c>
      <c r="L136" s="1074"/>
      <c r="M136" s="1004">
        <f>(M124+M125+M126)+(M127*M129+M130*M132+M133*M135)</f>
        <v>1.21</v>
      </c>
      <c r="N136" s="1004"/>
      <c r="O136" s="1004" t="s">
        <v>365</v>
      </c>
      <c r="P136" s="1076"/>
      <c r="Q136" s="958"/>
      <c r="R136" s="958"/>
      <c r="S136" s="958"/>
      <c r="T136" s="958"/>
    </row>
    <row r="137" spans="1:20" s="983" customFormat="1" ht="17" thickBot="1" x14ac:dyDescent="0.35">
      <c r="A137" s="1079" t="s">
        <v>522</v>
      </c>
      <c r="B137" s="1080"/>
      <c r="C137" s="1080"/>
      <c r="D137" s="1080"/>
      <c r="E137" s="1083" t="s">
        <v>862</v>
      </c>
      <c r="F137" s="1081"/>
      <c r="G137" s="1082">
        <f>(G123+G124+G125+G126)*(G127*G128*G129+G130*G131*G132+G133*G134*G135)</f>
        <v>85.0604972312359</v>
      </c>
      <c r="H137" s="1082"/>
      <c r="I137" s="1082" t="s">
        <v>365</v>
      </c>
      <c r="J137" s="1085"/>
      <c r="K137" s="1079" t="s">
        <v>868</v>
      </c>
      <c r="L137" s="1080"/>
      <c r="M137" s="1082">
        <f>(M124+M125+M126+M127*M129+M130*M132+M133*M135)*M131</f>
        <v>2.1779999999999999</v>
      </c>
      <c r="N137" s="1082"/>
      <c r="O137" s="1082" t="s">
        <v>365</v>
      </c>
      <c r="P137" s="1085"/>
      <c r="Q137" s="958"/>
      <c r="R137" s="958"/>
      <c r="S137" s="958"/>
      <c r="T137" s="958"/>
    </row>
    <row r="138" spans="1:20" s="1027" customFormat="1" ht="18.5" thickBot="1" x14ac:dyDescent="0.35">
      <c r="A138" s="1120" t="str">
        <f>'Anlage (04)'!A68</f>
        <v>Primärenergieaufwand für Wohngebäude; Programm erstellt von K. Jagnow, 2001-2023</v>
      </c>
      <c r="B138" s="1121"/>
      <c r="C138" s="1121"/>
      <c r="D138" s="1121"/>
      <c r="E138" s="1122"/>
      <c r="F138" s="1122"/>
      <c r="G138" s="1123"/>
      <c r="H138" s="1123"/>
      <c r="I138" s="1123"/>
      <c r="J138" s="1124"/>
      <c r="K138" s="1122"/>
      <c r="L138" s="1122"/>
      <c r="M138" s="1122"/>
      <c r="N138" s="1122"/>
      <c r="O138" s="1122"/>
      <c r="P138" s="1125"/>
      <c r="Q138" s="958"/>
      <c r="R138" s="958"/>
      <c r="S138" s="958"/>
      <c r="T138" s="958"/>
    </row>
    <row r="139" spans="1:20" s="976" customFormat="1" ht="28.5" thickBot="1" x14ac:dyDescent="0.35">
      <c r="A139" s="971" t="s">
        <v>1342</v>
      </c>
      <c r="B139" s="972"/>
      <c r="C139" s="972"/>
      <c r="D139" s="972"/>
      <c r="E139" s="1126"/>
      <c r="F139" s="1126"/>
      <c r="G139" s="1127"/>
      <c r="H139" s="1127"/>
      <c r="I139" s="1127"/>
      <c r="J139" s="1128"/>
      <c r="K139" s="1129"/>
      <c r="L139" s="1129"/>
      <c r="M139" s="544">
        <f>N1</f>
        <v>0</v>
      </c>
      <c r="N139" s="544"/>
      <c r="O139" s="544"/>
      <c r="P139" s="1292" t="str">
        <f>"10/" &amp;Rechnungen!D647</f>
        <v>10/11</v>
      </c>
      <c r="Q139" s="975"/>
      <c r="R139" s="975"/>
      <c r="S139" s="975"/>
      <c r="T139" s="975"/>
    </row>
    <row r="140" spans="1:20" s="983" customFormat="1" ht="14" x14ac:dyDescent="0.3">
      <c r="A140" s="1644" t="s">
        <v>1180</v>
      </c>
      <c r="B140" s="1645"/>
      <c r="C140" s="1645"/>
      <c r="D140" s="1645"/>
      <c r="E140" s="1656" t="s">
        <v>1343</v>
      </c>
      <c r="F140" s="1656"/>
      <c r="G140" s="1650" t="str">
        <f>Rechnungen!AK599</f>
        <v>0 m²</v>
      </c>
      <c r="H140" s="1650"/>
      <c r="I140" s="1650"/>
      <c r="J140" s="1650"/>
      <c r="K140" s="1650"/>
      <c r="L140" s="1650"/>
      <c r="M140" s="1650"/>
      <c r="N140" s="1650"/>
      <c r="O140" s="1650"/>
      <c r="P140" s="1651"/>
      <c r="Q140" s="958"/>
      <c r="R140" s="958"/>
      <c r="S140" s="958"/>
      <c r="T140" s="958"/>
    </row>
    <row r="141" spans="1:20" s="983" customFormat="1" ht="14" x14ac:dyDescent="0.3">
      <c r="A141" s="1661"/>
      <c r="B141" s="1647"/>
      <c r="C141" s="1647"/>
      <c r="D141" s="1647"/>
      <c r="E141" s="1657" t="s">
        <v>1397</v>
      </c>
      <c r="F141" s="1657"/>
      <c r="G141" s="1652" t="str">
        <f>Rechnungen!AK605</f>
        <v>0 kW</v>
      </c>
      <c r="H141" s="1652"/>
      <c r="I141" s="1652"/>
      <c r="J141" s="1652"/>
      <c r="K141" s="1652"/>
      <c r="L141" s="1652"/>
      <c r="M141" s="1652"/>
      <c r="N141" s="1652"/>
      <c r="O141" s="1652"/>
      <c r="P141" s="1653"/>
      <c r="Q141" s="958"/>
      <c r="R141" s="958"/>
      <c r="S141" s="958"/>
      <c r="T141" s="958"/>
    </row>
    <row r="142" spans="1:20" s="983" customFormat="1" ht="14" x14ac:dyDescent="0.3">
      <c r="A142" s="1646"/>
      <c r="B142" s="1647"/>
      <c r="C142" s="1647"/>
      <c r="D142" s="1647"/>
      <c r="E142" s="1657" t="s">
        <v>1344</v>
      </c>
      <c r="F142" s="1657"/>
      <c r="G142" s="1652" t="str">
        <f>Rechnungen!AK602</f>
        <v>keine PV-Anlage vorhanden</v>
      </c>
      <c r="H142" s="1652"/>
      <c r="I142" s="1652"/>
      <c r="J142" s="1652"/>
      <c r="K142" s="1652"/>
      <c r="L142" s="1652"/>
      <c r="M142" s="1652"/>
      <c r="N142" s="1652"/>
      <c r="O142" s="1652"/>
      <c r="P142" s="1653"/>
      <c r="Q142" s="958"/>
      <c r="R142" s="958"/>
      <c r="S142" s="958"/>
      <c r="T142" s="958"/>
    </row>
    <row r="143" spans="1:20" s="983" customFormat="1" ht="14.5" thickBot="1" x14ac:dyDescent="0.35">
      <c r="A143" s="1648"/>
      <c r="B143" s="1649"/>
      <c r="C143" s="1649"/>
      <c r="D143" s="1649"/>
      <c r="E143" s="1659" t="s">
        <v>1345</v>
      </c>
      <c r="F143" s="1659"/>
      <c r="G143" s="1654" t="str">
        <f>Rechnungen!AK608</f>
        <v>keine PV-Anlage vorhanden</v>
      </c>
      <c r="H143" s="1654"/>
      <c r="I143" s="1654"/>
      <c r="J143" s="1654"/>
      <c r="K143" s="1654"/>
      <c r="L143" s="1654"/>
      <c r="M143" s="1654"/>
      <c r="N143" s="1654"/>
      <c r="O143" s="1654"/>
      <c r="P143" s="1655"/>
      <c r="Q143" s="958"/>
      <c r="R143" s="958"/>
      <c r="S143" s="958"/>
      <c r="T143" s="958"/>
    </row>
    <row r="144" spans="1:20" s="1027" customFormat="1" x14ac:dyDescent="0.3">
      <c r="A144" s="1011"/>
      <c r="B144" s="1012"/>
      <c r="C144" s="1013" t="s">
        <v>1163</v>
      </c>
      <c r="D144" s="1013" t="s">
        <v>1162</v>
      </c>
      <c r="E144" s="1570" t="s">
        <v>972</v>
      </c>
      <c r="F144" s="1571" t="s">
        <v>973</v>
      </c>
      <c r="G144" s="1572" t="s">
        <v>974</v>
      </c>
      <c r="H144" s="1570" t="s">
        <v>975</v>
      </c>
      <c r="I144" s="1571" t="s">
        <v>960</v>
      </c>
      <c r="J144" s="1572" t="s">
        <v>976</v>
      </c>
      <c r="K144" s="1570" t="s">
        <v>977</v>
      </c>
      <c r="L144" s="1571" t="s">
        <v>978</v>
      </c>
      <c r="M144" s="1572" t="s">
        <v>979</v>
      </c>
      <c r="N144" s="1571" t="s">
        <v>980</v>
      </c>
      <c r="O144" s="1571" t="s">
        <v>981</v>
      </c>
      <c r="P144" s="1573" t="s">
        <v>982</v>
      </c>
      <c r="Q144" s="750"/>
      <c r="R144" s="750"/>
      <c r="S144" s="750"/>
      <c r="T144" s="750"/>
    </row>
    <row r="145" spans="1:20" s="1027" customFormat="1" x14ac:dyDescent="0.3">
      <c r="A145" s="1347" t="s">
        <v>1346</v>
      </c>
      <c r="B145" s="1353"/>
      <c r="C145" s="1353"/>
      <c r="D145" s="1353"/>
      <c r="E145" s="1020"/>
      <c r="F145" s="1021"/>
      <c r="G145" s="1022"/>
      <c r="H145" s="1023"/>
      <c r="I145" s="1024"/>
      <c r="J145" s="1025"/>
      <c r="K145" s="1020"/>
      <c r="L145" s="1021"/>
      <c r="M145" s="1022"/>
      <c r="N145" s="1024"/>
      <c r="O145" s="1024"/>
      <c r="P145" s="1026"/>
      <c r="Q145" s="750"/>
      <c r="R145" s="750"/>
      <c r="S145" s="750"/>
      <c r="T145" s="750"/>
    </row>
    <row r="146" spans="1:20" s="1027" customFormat="1" x14ac:dyDescent="0.3">
      <c r="A146" s="1069"/>
      <c r="B146" s="1362"/>
      <c r="C146" s="983" t="s">
        <v>1164</v>
      </c>
      <c r="D146" s="1363">
        <f>Rechnungen!AO620</f>
        <v>0</v>
      </c>
      <c r="E146" s="1028">
        <f>Rechnungen!AC620</f>
        <v>0</v>
      </c>
      <c r="F146" s="1029">
        <f>Rechnungen!AD620</f>
        <v>0</v>
      </c>
      <c r="G146" s="1030">
        <f>Rechnungen!AE620</f>
        <v>0</v>
      </c>
      <c r="H146" s="1028">
        <f>Rechnungen!AF620</f>
        <v>0</v>
      </c>
      <c r="I146" s="1029">
        <f>Rechnungen!AG620</f>
        <v>0</v>
      </c>
      <c r="J146" s="1030">
        <f>Rechnungen!AH620</f>
        <v>0</v>
      </c>
      <c r="K146" s="1028">
        <f>Rechnungen!AI620</f>
        <v>0</v>
      </c>
      <c r="L146" s="1029">
        <f>Rechnungen!AJ620</f>
        <v>0</v>
      </c>
      <c r="M146" s="1030">
        <f>Rechnungen!AK620</f>
        <v>0</v>
      </c>
      <c r="N146" s="1029">
        <f>Rechnungen!AL620</f>
        <v>0</v>
      </c>
      <c r="O146" s="1029">
        <f>Rechnungen!AM620</f>
        <v>0</v>
      </c>
      <c r="P146" s="1031">
        <f>Rechnungen!AN620</f>
        <v>0</v>
      </c>
      <c r="Q146" s="750"/>
      <c r="R146" s="750"/>
      <c r="S146" s="750"/>
      <c r="T146" s="750"/>
    </row>
    <row r="147" spans="1:20" s="1027" customFormat="1" x14ac:dyDescent="0.3">
      <c r="A147" s="1347" t="s">
        <v>1347</v>
      </c>
      <c r="B147" s="1353"/>
      <c r="C147" s="1353"/>
      <c r="D147" s="1353"/>
      <c r="E147" s="1020"/>
      <c r="F147" s="1021"/>
      <c r="G147" s="1022"/>
      <c r="H147" s="1023"/>
      <c r="I147" s="1024"/>
      <c r="J147" s="1025"/>
      <c r="K147" s="1020"/>
      <c r="L147" s="1021"/>
      <c r="M147" s="1022"/>
      <c r="N147" s="1024"/>
      <c r="O147" s="1024"/>
      <c r="P147" s="1026"/>
      <c r="Q147" s="750"/>
      <c r="R147" s="750"/>
      <c r="S147" s="750"/>
      <c r="T147" s="750"/>
    </row>
    <row r="148" spans="1:20" s="1027" customFormat="1" x14ac:dyDescent="0.3">
      <c r="A148" s="1069" t="s">
        <v>1348</v>
      </c>
      <c r="B148" s="1362"/>
      <c r="C148" s="983" t="s">
        <v>1164</v>
      </c>
      <c r="D148" s="1363">
        <f>Rechnungen!AO634</f>
        <v>0</v>
      </c>
      <c r="E148" s="1028">
        <f>Rechnungen!AC634</f>
        <v>0</v>
      </c>
      <c r="F148" s="1029">
        <f>Rechnungen!AD634</f>
        <v>0</v>
      </c>
      <c r="G148" s="1030">
        <f>Rechnungen!AE634</f>
        <v>0</v>
      </c>
      <c r="H148" s="1028">
        <f>Rechnungen!AF634</f>
        <v>0</v>
      </c>
      <c r="I148" s="1029">
        <f>Rechnungen!AG634</f>
        <v>0</v>
      </c>
      <c r="J148" s="1030">
        <f>Rechnungen!AH634</f>
        <v>0</v>
      </c>
      <c r="K148" s="1028">
        <f>Rechnungen!AI634</f>
        <v>0</v>
      </c>
      <c r="L148" s="1029">
        <f>Rechnungen!AJ634</f>
        <v>0</v>
      </c>
      <c r="M148" s="1030">
        <f>Rechnungen!AK634</f>
        <v>0</v>
      </c>
      <c r="N148" s="1029">
        <f>Rechnungen!AL634</f>
        <v>0</v>
      </c>
      <c r="O148" s="1029">
        <f>Rechnungen!AM634</f>
        <v>0</v>
      </c>
      <c r="P148" s="1031">
        <f>Rechnungen!AN634</f>
        <v>0</v>
      </c>
      <c r="Q148" s="750"/>
      <c r="R148" s="750"/>
      <c r="S148" s="750"/>
      <c r="T148" s="750"/>
    </row>
    <row r="149" spans="1:20" s="1027" customFormat="1" x14ac:dyDescent="0.3">
      <c r="A149" s="1069" t="s">
        <v>1349</v>
      </c>
      <c r="B149" s="1362"/>
      <c r="C149" s="983" t="s">
        <v>1164</v>
      </c>
      <c r="D149" s="1363">
        <f>Rechnungen!AO635</f>
        <v>0</v>
      </c>
      <c r="E149" s="1028">
        <f>Rechnungen!AC635</f>
        <v>0</v>
      </c>
      <c r="F149" s="1029">
        <f>Rechnungen!AD635</f>
        <v>0</v>
      </c>
      <c r="G149" s="1030">
        <f>Rechnungen!AE635</f>
        <v>0</v>
      </c>
      <c r="H149" s="1028">
        <f>Rechnungen!AF635</f>
        <v>0</v>
      </c>
      <c r="I149" s="1029">
        <f>Rechnungen!AG635</f>
        <v>0</v>
      </c>
      <c r="J149" s="1030">
        <f>Rechnungen!AH635</f>
        <v>0</v>
      </c>
      <c r="K149" s="1028">
        <f>Rechnungen!AI635</f>
        <v>0</v>
      </c>
      <c r="L149" s="1029">
        <f>Rechnungen!AJ635</f>
        <v>0</v>
      </c>
      <c r="M149" s="1030">
        <f>Rechnungen!AK635</f>
        <v>0</v>
      </c>
      <c r="N149" s="1029">
        <f>Rechnungen!AL635</f>
        <v>0</v>
      </c>
      <c r="O149" s="1029">
        <f>Rechnungen!AM635</f>
        <v>0</v>
      </c>
      <c r="P149" s="1031">
        <f>Rechnungen!AN635</f>
        <v>0</v>
      </c>
      <c r="Q149" s="750"/>
      <c r="R149" s="750"/>
      <c r="S149" s="750"/>
      <c r="T149" s="750"/>
    </row>
    <row r="150" spans="1:20" s="1027" customFormat="1" x14ac:dyDescent="0.3">
      <c r="A150" s="1069" t="s">
        <v>1350</v>
      </c>
      <c r="B150" s="1362"/>
      <c r="C150" s="983" t="s">
        <v>1164</v>
      </c>
      <c r="D150" s="1363">
        <f>Rechnungen!AO633</f>
        <v>0</v>
      </c>
      <c r="E150" s="1028">
        <f>Rechnungen!AC633</f>
        <v>0</v>
      </c>
      <c r="F150" s="1029">
        <f>Rechnungen!AD633</f>
        <v>0</v>
      </c>
      <c r="G150" s="1030">
        <f>Rechnungen!AE633</f>
        <v>0</v>
      </c>
      <c r="H150" s="1028">
        <f>Rechnungen!AF633</f>
        <v>0</v>
      </c>
      <c r="I150" s="1029">
        <f>Rechnungen!AG633</f>
        <v>0</v>
      </c>
      <c r="J150" s="1030">
        <f>Rechnungen!AH633</f>
        <v>0</v>
      </c>
      <c r="K150" s="1028">
        <f>Rechnungen!AI633</f>
        <v>0</v>
      </c>
      <c r="L150" s="1029">
        <f>Rechnungen!AJ633</f>
        <v>0</v>
      </c>
      <c r="M150" s="1030">
        <f>Rechnungen!AK633</f>
        <v>0</v>
      </c>
      <c r="N150" s="1029">
        <f>Rechnungen!AL633</f>
        <v>0</v>
      </c>
      <c r="O150" s="1029">
        <f>Rechnungen!AM633</f>
        <v>0</v>
      </c>
      <c r="P150" s="1031">
        <f>Rechnungen!AN633</f>
        <v>0</v>
      </c>
      <c r="Q150" s="750"/>
      <c r="R150" s="750"/>
      <c r="S150" s="750"/>
      <c r="T150" s="750"/>
    </row>
    <row r="151" spans="1:20" s="1027" customFormat="1" x14ac:dyDescent="0.3">
      <c r="A151" s="1069" t="s">
        <v>615</v>
      </c>
      <c r="B151" s="1362"/>
      <c r="C151" s="983" t="s">
        <v>1164</v>
      </c>
      <c r="D151" s="1363">
        <f>SUM(D148:D150)</f>
        <v>0</v>
      </c>
      <c r="E151" s="1028">
        <f>SUM(E148:E150)</f>
        <v>0</v>
      </c>
      <c r="F151" s="1029">
        <f t="shared" ref="F151:P151" si="1">SUM(F148:F150)</f>
        <v>0</v>
      </c>
      <c r="G151" s="1030">
        <f t="shared" si="1"/>
        <v>0</v>
      </c>
      <c r="H151" s="1028">
        <f t="shared" si="1"/>
        <v>0</v>
      </c>
      <c r="I151" s="1029">
        <f t="shared" si="1"/>
        <v>0</v>
      </c>
      <c r="J151" s="1030">
        <f t="shared" si="1"/>
        <v>0</v>
      </c>
      <c r="K151" s="1028">
        <f t="shared" si="1"/>
        <v>0</v>
      </c>
      <c r="L151" s="1029">
        <f t="shared" si="1"/>
        <v>0</v>
      </c>
      <c r="M151" s="1030">
        <f t="shared" si="1"/>
        <v>0</v>
      </c>
      <c r="N151" s="1029">
        <f t="shared" si="1"/>
        <v>0</v>
      </c>
      <c r="O151" s="1029">
        <f t="shared" si="1"/>
        <v>0</v>
      </c>
      <c r="P151" s="1031">
        <f t="shared" si="1"/>
        <v>0</v>
      </c>
      <c r="Q151" s="750"/>
      <c r="R151" s="750"/>
      <c r="S151" s="750"/>
      <c r="T151" s="750"/>
    </row>
    <row r="152" spans="1:20" s="1027" customFormat="1" x14ac:dyDescent="0.3">
      <c r="A152" s="1536" t="s">
        <v>1398</v>
      </c>
      <c r="B152" s="1353"/>
      <c r="C152" s="1353"/>
      <c r="D152" s="1353"/>
      <c r="E152" s="1020"/>
      <c r="F152" s="1021"/>
      <c r="G152" s="1022"/>
      <c r="H152" s="1023"/>
      <c r="I152" s="1024"/>
      <c r="J152" s="1025"/>
      <c r="K152" s="1020"/>
      <c r="L152" s="1021"/>
      <c r="M152" s="1022"/>
      <c r="N152" s="1024"/>
      <c r="O152" s="1024"/>
      <c r="P152" s="1026"/>
      <c r="Q152" s="750"/>
      <c r="R152" s="750"/>
      <c r="S152" s="750"/>
      <c r="T152" s="750"/>
    </row>
    <row r="153" spans="1:20" s="1027" customFormat="1" ht="16" thickBot="1" x14ac:dyDescent="0.35">
      <c r="A153" s="1069"/>
      <c r="B153" s="1362"/>
      <c r="C153" s="983" t="s">
        <v>1164</v>
      </c>
      <c r="D153" s="1363">
        <f>Rechnungen!AO636</f>
        <v>0</v>
      </c>
      <c r="E153" s="1028">
        <f>Rechnungen!AC636</f>
        <v>0</v>
      </c>
      <c r="F153" s="1029">
        <f>Rechnungen!AD636</f>
        <v>0</v>
      </c>
      <c r="G153" s="1030">
        <f>Rechnungen!AE636</f>
        <v>0</v>
      </c>
      <c r="H153" s="1028">
        <f>Rechnungen!AF636</f>
        <v>0</v>
      </c>
      <c r="I153" s="1029">
        <f>Rechnungen!AG636</f>
        <v>0</v>
      </c>
      <c r="J153" s="1030">
        <f>Rechnungen!AH636</f>
        <v>0</v>
      </c>
      <c r="K153" s="1028">
        <f>Rechnungen!AI636</f>
        <v>0</v>
      </c>
      <c r="L153" s="1029">
        <f>Rechnungen!AJ636</f>
        <v>0</v>
      </c>
      <c r="M153" s="1030">
        <f>Rechnungen!AK636</f>
        <v>0</v>
      </c>
      <c r="N153" s="1029">
        <f>Rechnungen!AL636</f>
        <v>0</v>
      </c>
      <c r="O153" s="1029">
        <f>Rechnungen!AM636</f>
        <v>0</v>
      </c>
      <c r="P153" s="1031">
        <f>Rechnungen!AN636</f>
        <v>0</v>
      </c>
      <c r="Q153" s="750"/>
      <c r="R153" s="750"/>
      <c r="S153" s="750"/>
      <c r="T153" s="750"/>
    </row>
    <row r="154" spans="1:20" s="976" customFormat="1" ht="28.5" thickBot="1" x14ac:dyDescent="0.35">
      <c r="A154" s="971" t="s">
        <v>218</v>
      </c>
      <c r="B154" s="972"/>
      <c r="C154" s="972"/>
      <c r="D154" s="972"/>
      <c r="E154" s="1126"/>
      <c r="F154" s="1126"/>
      <c r="G154" s="1127"/>
      <c r="H154" s="1127"/>
      <c r="I154" s="1127"/>
      <c r="J154" s="1128"/>
      <c r="K154" s="1129"/>
      <c r="L154" s="1129"/>
      <c r="M154" s="544"/>
      <c r="N154" s="544"/>
      <c r="O154" s="544"/>
      <c r="P154" s="1062" t="s">
        <v>883</v>
      </c>
      <c r="Q154" s="1093"/>
      <c r="R154" s="1093"/>
      <c r="S154" s="1093"/>
      <c r="T154" s="1093"/>
    </row>
    <row r="155" spans="1:20" s="1027" customFormat="1" ht="16" thickBot="1" x14ac:dyDescent="0.35">
      <c r="A155" s="1130"/>
      <c r="B155" s="1131"/>
      <c r="C155" s="1131"/>
      <c r="D155" s="1131"/>
      <c r="E155" s="1110" t="s">
        <v>403</v>
      </c>
      <c r="F155" s="1111"/>
      <c r="G155" s="1111"/>
      <c r="H155" s="1132"/>
      <c r="I155" s="1110" t="s">
        <v>400</v>
      </c>
      <c r="J155" s="1111"/>
      <c r="K155" s="1111"/>
      <c r="L155" s="1132"/>
      <c r="M155" s="1110" t="s">
        <v>520</v>
      </c>
      <c r="N155" s="1111"/>
      <c r="O155" s="1111"/>
      <c r="P155" s="1132"/>
      <c r="Q155" s="1097"/>
      <c r="R155" s="1097"/>
      <c r="S155" s="1097"/>
      <c r="T155" s="1097"/>
    </row>
    <row r="156" spans="1:20" s="983" customFormat="1" ht="14" x14ac:dyDescent="0.3">
      <c r="A156" s="954" t="s">
        <v>438</v>
      </c>
      <c r="B156" s="1065"/>
      <c r="C156" s="1065"/>
      <c r="D156" s="1065"/>
      <c r="E156" s="1133"/>
      <c r="F156" s="1068"/>
      <c r="G156" s="1068"/>
      <c r="H156" s="1134"/>
      <c r="I156" s="1133"/>
      <c r="J156" s="1068"/>
      <c r="K156" s="1068"/>
      <c r="L156" s="1134"/>
      <c r="M156" s="1133"/>
      <c r="N156" s="1068"/>
      <c r="O156" s="1068"/>
      <c r="P156" s="1134"/>
      <c r="Q156" s="1086"/>
      <c r="R156" s="1086"/>
      <c r="S156" s="1086"/>
      <c r="T156" s="1086"/>
    </row>
    <row r="157" spans="1:20" s="983" customFormat="1" ht="14" x14ac:dyDescent="0.3">
      <c r="A157" s="1077"/>
      <c r="B157" s="953" t="s">
        <v>366</v>
      </c>
      <c r="C157" s="952"/>
      <c r="D157" s="952"/>
      <c r="E157" s="950">
        <f>(G2*G71)</f>
        <v>4000</v>
      </c>
      <c r="F157" s="965"/>
      <c r="G157" s="966" t="s">
        <v>523</v>
      </c>
      <c r="H157" s="967"/>
      <c r="I157" s="950"/>
      <c r="J157" s="965"/>
      <c r="K157" s="966"/>
      <c r="L157" s="967"/>
      <c r="M157" s="950">
        <f>(E157)</f>
        <v>4000</v>
      </c>
      <c r="N157" s="965"/>
      <c r="O157" s="966" t="s">
        <v>523</v>
      </c>
      <c r="P157" s="967"/>
      <c r="Q157" s="1086"/>
      <c r="R157" s="1086"/>
      <c r="S157" s="1086"/>
      <c r="T157" s="1086"/>
    </row>
    <row r="158" spans="1:20" s="983" customFormat="1" ht="14" x14ac:dyDescent="0.3">
      <c r="A158" s="1077"/>
      <c r="B158" s="953" t="s">
        <v>1362</v>
      </c>
      <c r="C158" s="952"/>
      <c r="D158" s="952"/>
      <c r="E158" s="950">
        <f>(G2*G119)</f>
        <v>26230.308251889663</v>
      </c>
      <c r="F158" s="965"/>
      <c r="G158" s="966" t="s">
        <v>523</v>
      </c>
      <c r="H158" s="967"/>
      <c r="I158" s="950"/>
      <c r="J158" s="965"/>
      <c r="K158" s="966"/>
      <c r="L158" s="967"/>
      <c r="M158" s="950">
        <f>(E158)</f>
        <v>26230.308251889663</v>
      </c>
      <c r="N158" s="965"/>
      <c r="O158" s="966" t="s">
        <v>523</v>
      </c>
      <c r="P158" s="967"/>
      <c r="Q158" s="1086"/>
      <c r="R158" s="1086"/>
      <c r="S158" s="1086"/>
      <c r="T158" s="1086"/>
    </row>
    <row r="159" spans="1:20" s="983" customFormat="1" ht="14.5" thickBot="1" x14ac:dyDescent="0.35">
      <c r="A159" s="1083"/>
      <c r="B159" s="1081" t="s">
        <v>520</v>
      </c>
      <c r="C159" s="1137"/>
      <c r="D159" s="1137"/>
      <c r="E159" s="1138">
        <f>(E157+E158)</f>
        <v>30230.308251889663</v>
      </c>
      <c r="F159" s="1084"/>
      <c r="G159" s="1139" t="s">
        <v>523</v>
      </c>
      <c r="H159" s="1140"/>
      <c r="I159" s="1138"/>
      <c r="J159" s="1084"/>
      <c r="K159" s="1139"/>
      <c r="L159" s="1140"/>
      <c r="M159" s="1138">
        <f>(E159)</f>
        <v>30230.308251889663</v>
      </c>
      <c r="N159" s="1084"/>
      <c r="O159" s="1139" t="s">
        <v>523</v>
      </c>
      <c r="P159" s="1140"/>
      <c r="Q159" s="1086"/>
      <c r="R159" s="1086"/>
      <c r="S159" s="1086"/>
      <c r="T159" s="1086"/>
    </row>
    <row r="160" spans="1:20" s="983" customFormat="1" ht="14" x14ac:dyDescent="0.3">
      <c r="A160" s="957" t="s">
        <v>521</v>
      </c>
      <c r="E160" s="1135"/>
      <c r="F160" s="1071"/>
      <c r="G160" s="1086"/>
      <c r="H160" s="1136"/>
      <c r="I160" s="1135"/>
      <c r="J160" s="1071"/>
      <c r="K160" s="1086"/>
      <c r="L160" s="1136"/>
      <c r="M160" s="1135"/>
      <c r="N160" s="1071"/>
      <c r="O160" s="1086"/>
      <c r="P160" s="1136"/>
      <c r="Q160" s="1086"/>
      <c r="R160" s="1086"/>
      <c r="S160" s="1086"/>
      <c r="T160" s="1086"/>
    </row>
    <row r="161" spans="1:20" s="983" customFormat="1" ht="14" x14ac:dyDescent="0.3">
      <c r="A161" s="1077"/>
      <c r="B161" s="953" t="s">
        <v>366</v>
      </c>
      <c r="C161" s="952"/>
      <c r="D161" s="952"/>
      <c r="E161" s="950">
        <f>(G2*G84)</f>
        <v>3834.88</v>
      </c>
      <c r="F161" s="965"/>
      <c r="G161" s="966" t="s">
        <v>523</v>
      </c>
      <c r="H161" s="967"/>
      <c r="I161" s="950">
        <f>(G2*M84)</f>
        <v>274.10000000000002</v>
      </c>
      <c r="J161" s="965"/>
      <c r="K161" s="966" t="s">
        <v>523</v>
      </c>
      <c r="L161" s="967"/>
      <c r="M161" s="950">
        <f>(E161+I161)</f>
        <v>4108.9800000000005</v>
      </c>
      <c r="N161" s="965"/>
      <c r="O161" s="966" t="s">
        <v>523</v>
      </c>
      <c r="P161" s="967"/>
      <c r="Q161" s="1086"/>
      <c r="R161" s="1086"/>
      <c r="S161" s="1086"/>
      <c r="T161" s="1086"/>
    </row>
    <row r="162" spans="1:20" s="983" customFormat="1" ht="14" x14ac:dyDescent="0.3">
      <c r="A162" s="1077"/>
      <c r="B162" s="953" t="s">
        <v>519</v>
      </c>
      <c r="C162" s="952"/>
      <c r="D162" s="952"/>
      <c r="E162" s="950">
        <f>(G2*(G107))</f>
        <v>0</v>
      </c>
      <c r="F162" s="965"/>
      <c r="G162" s="966" t="s">
        <v>523</v>
      </c>
      <c r="H162" s="967"/>
      <c r="I162" s="950">
        <f>(G2*M107)</f>
        <v>355.20000000000005</v>
      </c>
      <c r="J162" s="965"/>
      <c r="K162" s="966" t="s">
        <v>523</v>
      </c>
      <c r="L162" s="967"/>
      <c r="M162" s="950">
        <f>(E162+I162)</f>
        <v>355.20000000000005</v>
      </c>
      <c r="N162" s="965"/>
      <c r="O162" s="966" t="s">
        <v>523</v>
      </c>
      <c r="P162" s="967"/>
      <c r="Q162" s="1086"/>
      <c r="R162" s="1086"/>
      <c r="S162" s="1086"/>
      <c r="T162" s="1086"/>
    </row>
    <row r="163" spans="1:20" s="983" customFormat="1" ht="14" x14ac:dyDescent="0.3">
      <c r="A163" s="1077"/>
      <c r="B163" s="953" t="s">
        <v>402</v>
      </c>
      <c r="C163" s="952"/>
      <c r="D163" s="952"/>
      <c r="E163" s="950">
        <f>(G2*(G136))</f>
        <v>24744.87192181408</v>
      </c>
      <c r="F163" s="965"/>
      <c r="G163" s="966" t="s">
        <v>523</v>
      </c>
      <c r="H163" s="967"/>
      <c r="I163" s="950">
        <f>(G2*M136)</f>
        <v>387.2</v>
      </c>
      <c r="J163" s="965"/>
      <c r="K163" s="966" t="s">
        <v>523</v>
      </c>
      <c r="L163" s="967"/>
      <c r="M163" s="950">
        <f>(E163+I163)</f>
        <v>25132.07192181408</v>
      </c>
      <c r="N163" s="965"/>
      <c r="O163" s="966" t="s">
        <v>523</v>
      </c>
      <c r="P163" s="967"/>
      <c r="Q163" s="1086"/>
      <c r="R163" s="1086"/>
      <c r="S163" s="1086"/>
      <c r="T163" s="1086"/>
    </row>
    <row r="164" spans="1:20" s="1582" customFormat="1" ht="14" x14ac:dyDescent="0.3">
      <c r="A164" s="1574"/>
      <c r="B164" s="1575" t="s">
        <v>1412</v>
      </c>
      <c r="C164" s="1576"/>
      <c r="D164" s="1576"/>
      <c r="E164" s="1577">
        <f>(E161+E162+E163)</f>
        <v>28579.751921814081</v>
      </c>
      <c r="F164" s="1578"/>
      <c r="G164" s="1579" t="s">
        <v>523</v>
      </c>
      <c r="H164" s="1580"/>
      <c r="I164" s="1577">
        <f>(I161+I162+I163)</f>
        <v>1016.5</v>
      </c>
      <c r="J164" s="1578"/>
      <c r="K164" s="1579" t="s">
        <v>523</v>
      </c>
      <c r="L164" s="1580"/>
      <c r="M164" s="1577">
        <f>(M161+M162+M163)</f>
        <v>29596.251921814081</v>
      </c>
      <c r="N164" s="1578"/>
      <c r="O164" s="1579" t="s">
        <v>523</v>
      </c>
      <c r="P164" s="1580"/>
      <c r="Q164" s="1581"/>
      <c r="R164" s="1581"/>
      <c r="S164" s="1581"/>
      <c r="T164" s="1581"/>
    </row>
    <row r="165" spans="1:20" s="983" customFormat="1" ht="14" x14ac:dyDescent="0.3">
      <c r="A165" s="1077"/>
      <c r="B165" s="1537" t="s">
        <v>1413</v>
      </c>
      <c r="C165" s="952"/>
      <c r="D165" s="952"/>
      <c r="E165" s="950"/>
      <c r="F165" s="965"/>
      <c r="G165" s="966"/>
      <c r="H165" s="967"/>
      <c r="I165" s="950"/>
      <c r="J165" s="965"/>
      <c r="K165" s="966"/>
      <c r="L165" s="967"/>
      <c r="M165" s="950">
        <f>(D153)</f>
        <v>0</v>
      </c>
      <c r="N165" s="965"/>
      <c r="O165" s="1542" t="s">
        <v>523</v>
      </c>
      <c r="P165" s="967"/>
      <c r="Q165" s="1086"/>
      <c r="R165" s="1086"/>
      <c r="S165" s="1086"/>
      <c r="T165" s="1086"/>
    </row>
    <row r="166" spans="1:20" s="1545" customFormat="1" ht="14.5" thickBot="1" x14ac:dyDescent="0.35">
      <c r="A166" s="1538"/>
      <c r="B166" s="1537" t="s">
        <v>520</v>
      </c>
      <c r="C166" s="1539"/>
      <c r="D166" s="1539"/>
      <c r="E166" s="1540"/>
      <c r="F166" s="1541"/>
      <c r="G166" s="1542"/>
      <c r="H166" s="1543"/>
      <c r="I166" s="1540"/>
      <c r="J166" s="1541"/>
      <c r="K166" s="1542"/>
      <c r="L166" s="1543"/>
      <c r="M166" s="1540">
        <f>(M164-M165)</f>
        <v>29596.251921814081</v>
      </c>
      <c r="N166" s="1541"/>
      <c r="O166" s="1542" t="s">
        <v>523</v>
      </c>
      <c r="P166" s="1543"/>
      <c r="Q166" s="1544"/>
      <c r="R166" s="1544"/>
      <c r="S166" s="1544"/>
      <c r="T166" s="1544"/>
    </row>
    <row r="167" spans="1:20" s="983" customFormat="1" ht="14" x14ac:dyDescent="0.3">
      <c r="A167" s="954" t="s">
        <v>522</v>
      </c>
      <c r="B167" s="1065"/>
      <c r="C167" s="1065"/>
      <c r="D167" s="1065"/>
      <c r="E167" s="1133"/>
      <c r="F167" s="1068"/>
      <c r="G167" s="1141"/>
      <c r="H167" s="1134"/>
      <c r="I167" s="1133"/>
      <c r="J167" s="1068"/>
      <c r="K167" s="1141"/>
      <c r="L167" s="1134"/>
      <c r="M167" s="1133"/>
      <c r="N167" s="1068"/>
      <c r="O167" s="1141"/>
      <c r="P167" s="1134"/>
      <c r="Q167" s="1086"/>
      <c r="R167" s="1086"/>
      <c r="S167" s="1086"/>
      <c r="T167" s="1086"/>
    </row>
    <row r="168" spans="1:20" s="983" customFormat="1" ht="14" x14ac:dyDescent="0.3">
      <c r="A168" s="1077"/>
      <c r="B168" s="953" t="s">
        <v>366</v>
      </c>
      <c r="C168" s="952"/>
      <c r="D168" s="952"/>
      <c r="E168" s="950">
        <f>(G2*G85)</f>
        <v>4218.3680000000004</v>
      </c>
      <c r="F168" s="965"/>
      <c r="G168" s="966" t="s">
        <v>523</v>
      </c>
      <c r="H168" s="967"/>
      <c r="I168" s="950">
        <f>(G2*M85)</f>
        <v>493.38</v>
      </c>
      <c r="J168" s="965"/>
      <c r="K168" s="966" t="s">
        <v>523</v>
      </c>
      <c r="L168" s="967"/>
      <c r="M168" s="950">
        <f>(E168+I168)</f>
        <v>4711.7480000000005</v>
      </c>
      <c r="N168" s="965"/>
      <c r="O168" s="966" t="s">
        <v>523</v>
      </c>
      <c r="P168" s="967"/>
      <c r="Q168" s="1086"/>
      <c r="R168" s="1086"/>
      <c r="S168" s="1086"/>
      <c r="T168" s="1086"/>
    </row>
    <row r="169" spans="1:20" s="983" customFormat="1" ht="14" x14ac:dyDescent="0.3">
      <c r="A169" s="1077"/>
      <c r="B169" s="953" t="s">
        <v>519</v>
      </c>
      <c r="C169" s="952"/>
      <c r="D169" s="952"/>
      <c r="E169" s="950">
        <f>(G2*(G108))</f>
        <v>0</v>
      </c>
      <c r="F169" s="965"/>
      <c r="G169" s="966" t="s">
        <v>523</v>
      </c>
      <c r="H169" s="967"/>
      <c r="I169" s="950">
        <f>(G2*M108)</f>
        <v>639.36000000000013</v>
      </c>
      <c r="J169" s="965"/>
      <c r="K169" s="966" t="s">
        <v>523</v>
      </c>
      <c r="L169" s="967"/>
      <c r="M169" s="950">
        <f>(E169+I169)</f>
        <v>639.36000000000013</v>
      </c>
      <c r="N169" s="965"/>
      <c r="O169" s="966" t="s">
        <v>523</v>
      </c>
      <c r="P169" s="967"/>
      <c r="Q169" s="1086"/>
      <c r="R169" s="1086"/>
      <c r="S169" s="1086"/>
      <c r="T169" s="1086"/>
    </row>
    <row r="170" spans="1:20" s="983" customFormat="1" ht="14" x14ac:dyDescent="0.3">
      <c r="A170" s="1077"/>
      <c r="B170" s="1537" t="s">
        <v>402</v>
      </c>
      <c r="C170" s="952"/>
      <c r="D170" s="952"/>
      <c r="E170" s="950">
        <f>(G2*(G137))</f>
        <v>27219.359113995488</v>
      </c>
      <c r="F170" s="965"/>
      <c r="G170" s="966" t="s">
        <v>523</v>
      </c>
      <c r="H170" s="967"/>
      <c r="I170" s="950">
        <f>(G2*M137)</f>
        <v>696.96</v>
      </c>
      <c r="J170" s="965"/>
      <c r="K170" s="966" t="s">
        <v>523</v>
      </c>
      <c r="L170" s="967"/>
      <c r="M170" s="950">
        <f>(E170+I170)</f>
        <v>27916.319113995487</v>
      </c>
      <c r="N170" s="965"/>
      <c r="O170" s="966" t="s">
        <v>523</v>
      </c>
      <c r="P170" s="967"/>
      <c r="Q170" s="1086"/>
      <c r="R170" s="1086"/>
      <c r="S170" s="1086"/>
      <c r="T170" s="1086"/>
    </row>
    <row r="171" spans="1:20" s="1365" customFormat="1" ht="14" x14ac:dyDescent="0.3">
      <c r="A171" s="1371"/>
      <c r="B171" s="1372" t="s">
        <v>1412</v>
      </c>
      <c r="C171" s="1373"/>
      <c r="D171" s="1373"/>
      <c r="E171" s="1374">
        <f>(E168+E169+E170)</f>
        <v>31437.72711399549</v>
      </c>
      <c r="F171" s="1375"/>
      <c r="G171" s="1376" t="s">
        <v>523</v>
      </c>
      <c r="H171" s="1377"/>
      <c r="I171" s="1374">
        <f>(I168+I169+I170)</f>
        <v>1829.7000000000003</v>
      </c>
      <c r="J171" s="1375"/>
      <c r="K171" s="1376" t="s">
        <v>523</v>
      </c>
      <c r="L171" s="1377"/>
      <c r="M171" s="1374">
        <f>(E171+I171)</f>
        <v>33267.427113995487</v>
      </c>
      <c r="N171" s="1375"/>
      <c r="O171" s="1376" t="s">
        <v>523</v>
      </c>
      <c r="P171" s="1377"/>
      <c r="Q171" s="1364"/>
      <c r="R171" s="1364"/>
      <c r="S171" s="1364"/>
      <c r="T171" s="1364"/>
    </row>
    <row r="172" spans="1:20" s="1365" customFormat="1" ht="14" x14ac:dyDescent="0.3">
      <c r="A172" s="1371"/>
      <c r="B172" s="1537" t="s">
        <v>1413</v>
      </c>
      <c r="C172" s="1373"/>
      <c r="D172" s="1373"/>
      <c r="E172" s="1374"/>
      <c r="F172" s="1375"/>
      <c r="G172" s="1376"/>
      <c r="H172" s="1377"/>
      <c r="I172" s="1374"/>
      <c r="J172" s="1375"/>
      <c r="K172" s="1376"/>
      <c r="L172" s="1377"/>
      <c r="M172" s="1540">
        <f>(M165*FP!B12)</f>
        <v>0</v>
      </c>
      <c r="N172" s="1375"/>
      <c r="O172" s="1542" t="s">
        <v>523</v>
      </c>
      <c r="P172" s="1377"/>
      <c r="Q172" s="1364"/>
      <c r="R172" s="1364"/>
      <c r="S172" s="1364"/>
      <c r="T172" s="1364"/>
    </row>
    <row r="173" spans="1:20" s="983" customFormat="1" ht="14.5" thickBot="1" x14ac:dyDescent="0.35">
      <c r="A173" s="1077"/>
      <c r="B173" s="1537" t="s">
        <v>520</v>
      </c>
      <c r="C173" s="952"/>
      <c r="D173" s="952"/>
      <c r="E173" s="950"/>
      <c r="F173" s="965"/>
      <c r="G173" s="966"/>
      <c r="H173" s="967"/>
      <c r="I173" s="950"/>
      <c r="J173" s="965"/>
      <c r="K173" s="966"/>
      <c r="L173" s="967"/>
      <c r="M173" s="950">
        <f>(M171-M172)</f>
        <v>33267.427113995487</v>
      </c>
      <c r="N173" s="965"/>
      <c r="O173" s="966" t="s">
        <v>523</v>
      </c>
      <c r="P173" s="967"/>
      <c r="Q173" s="1086"/>
      <c r="R173" s="1086"/>
      <c r="S173" s="1086"/>
      <c r="T173" s="1086"/>
    </row>
    <row r="174" spans="1:20" s="976" customFormat="1" ht="28.5" thickBot="1" x14ac:dyDescent="0.35">
      <c r="A174" s="971" t="s">
        <v>178</v>
      </c>
      <c r="B174" s="972"/>
      <c r="C174" s="972"/>
      <c r="D174" s="972"/>
      <c r="E174" s="1126"/>
      <c r="F174" s="1126"/>
      <c r="G174" s="1127"/>
      <c r="H174" s="1127"/>
      <c r="I174" s="1127"/>
      <c r="J174" s="1128"/>
      <c r="K174" s="1129"/>
      <c r="L174" s="1129"/>
      <c r="M174" s="544"/>
      <c r="N174" s="544"/>
      <c r="O174" s="544"/>
      <c r="P174" s="1062" t="s">
        <v>883</v>
      </c>
      <c r="Q174" s="1093"/>
      <c r="R174" s="1093"/>
      <c r="S174" s="1093"/>
      <c r="T174" s="1093"/>
    </row>
    <row r="175" spans="1:20" s="1027" customFormat="1" ht="16" thickBot="1" x14ac:dyDescent="0.35">
      <c r="A175" s="1130"/>
      <c r="B175" s="1131"/>
      <c r="C175" s="1131"/>
      <c r="D175" s="1131"/>
      <c r="E175" s="1142" t="s">
        <v>403</v>
      </c>
      <c r="F175" s="1143"/>
      <c r="G175" s="1143"/>
      <c r="H175" s="1144"/>
      <c r="I175" s="1142" t="s">
        <v>400</v>
      </c>
      <c r="J175" s="1143"/>
      <c r="K175" s="1143"/>
      <c r="L175" s="1144"/>
      <c r="M175" s="1142" t="s">
        <v>520</v>
      </c>
      <c r="N175" s="1143"/>
      <c r="O175" s="1143"/>
      <c r="P175" s="1144"/>
      <c r="Q175" s="1097"/>
      <c r="R175" s="1097"/>
      <c r="S175" s="1097"/>
      <c r="T175" s="1097"/>
    </row>
    <row r="176" spans="1:20" s="983" customFormat="1" ht="14" x14ac:dyDescent="0.3">
      <c r="A176" s="1145" t="s">
        <v>573</v>
      </c>
      <c r="B176" s="1146"/>
      <c r="C176" s="1146"/>
      <c r="D176" s="1146"/>
      <c r="E176" s="1147">
        <f>(E159/G2)</f>
        <v>94.469713287155201</v>
      </c>
      <c r="F176" s="1148"/>
      <c r="G176" s="1148" t="s">
        <v>365</v>
      </c>
      <c r="H176" s="1149"/>
      <c r="I176" s="1147"/>
      <c r="J176" s="1148"/>
      <c r="K176" s="1148"/>
      <c r="L176" s="1149"/>
      <c r="M176" s="1147">
        <f>(M159/G2)</f>
        <v>94.469713287155201</v>
      </c>
      <c r="N176" s="1148"/>
      <c r="O176" s="1148" t="s">
        <v>365</v>
      </c>
      <c r="P176" s="1149"/>
      <c r="Q176" s="1086"/>
      <c r="R176" s="1086"/>
      <c r="S176" s="1086"/>
      <c r="T176" s="1086"/>
    </row>
    <row r="177" spans="1:20" s="983" customFormat="1" ht="14" x14ac:dyDescent="0.3">
      <c r="A177" s="1583" t="s">
        <v>1414</v>
      </c>
      <c r="B177" s="1150"/>
      <c r="C177" s="1150"/>
      <c r="D177" s="1150"/>
      <c r="E177" s="1584">
        <f>(E164/G2)</f>
        <v>89.311724755669005</v>
      </c>
      <c r="F177" s="1585"/>
      <c r="G177" s="1585" t="s">
        <v>365</v>
      </c>
      <c r="H177" s="1586"/>
      <c r="I177" s="1584">
        <f>(I164/G2)</f>
        <v>3.1765625000000002</v>
      </c>
      <c r="J177" s="1585"/>
      <c r="K177" s="1585" t="s">
        <v>365</v>
      </c>
      <c r="L177" s="1586"/>
      <c r="M177" s="1584">
        <f>(M164/G2)</f>
        <v>92.488287255669007</v>
      </c>
      <c r="N177" s="1151"/>
      <c r="O177" s="1585" t="s">
        <v>365</v>
      </c>
      <c r="P177" s="1152"/>
      <c r="Q177" s="1086"/>
      <c r="R177" s="1086"/>
      <c r="S177" s="1086"/>
      <c r="T177" s="1086"/>
    </row>
    <row r="178" spans="1:20" s="1545" customFormat="1" ht="14" x14ac:dyDescent="0.3">
      <c r="A178" s="1546" t="s">
        <v>521</v>
      </c>
      <c r="B178" s="1547"/>
      <c r="C178" s="1547"/>
      <c r="D178" s="1547"/>
      <c r="E178" s="1548"/>
      <c r="F178" s="1549"/>
      <c r="G178" s="1549"/>
      <c r="H178" s="1550"/>
      <c r="I178" s="1548"/>
      <c r="J178" s="1549"/>
      <c r="K178" s="1549"/>
      <c r="L178" s="1550"/>
      <c r="M178" s="1548">
        <f>(M166/G2)</f>
        <v>92.488287255669007</v>
      </c>
      <c r="N178" s="1549"/>
      <c r="O178" s="1549" t="s">
        <v>365</v>
      </c>
      <c r="P178" s="1550"/>
      <c r="Q178" s="1544"/>
      <c r="R178" s="1544"/>
      <c r="S178" s="1544"/>
      <c r="T178" s="1544"/>
    </row>
    <row r="179" spans="1:20" s="1365" customFormat="1" ht="14" x14ac:dyDescent="0.3">
      <c r="A179" s="1366" t="s">
        <v>1415</v>
      </c>
      <c r="B179" s="1367"/>
      <c r="C179" s="1367"/>
      <c r="D179" s="1367"/>
      <c r="E179" s="1368">
        <f>(E171/G2)</f>
        <v>98.242897231235901</v>
      </c>
      <c r="F179" s="1369"/>
      <c r="G179" s="1369" t="s">
        <v>365</v>
      </c>
      <c r="H179" s="1370"/>
      <c r="I179" s="1368">
        <f>(I171/G2)</f>
        <v>5.7178125000000009</v>
      </c>
      <c r="J179" s="1369"/>
      <c r="K179" s="1369" t="s">
        <v>365</v>
      </c>
      <c r="L179" s="1370"/>
      <c r="M179" s="1368">
        <f>(M171/G2)</f>
        <v>103.96070973123589</v>
      </c>
      <c r="N179" s="1369"/>
      <c r="O179" s="1369" t="s">
        <v>365</v>
      </c>
      <c r="P179" s="1370"/>
      <c r="Q179" s="1364"/>
      <c r="R179" s="1364"/>
      <c r="S179" s="1364"/>
      <c r="T179" s="1364"/>
    </row>
    <row r="180" spans="1:20" s="983" customFormat="1" ht="14.5" thickBot="1" x14ac:dyDescent="0.35">
      <c r="A180" s="1546" t="s">
        <v>522</v>
      </c>
      <c r="B180" s="1150"/>
      <c r="C180" s="1150"/>
      <c r="D180" s="1150"/>
      <c r="E180" s="1548"/>
      <c r="F180" s="1549"/>
      <c r="G180" s="1549"/>
      <c r="H180" s="1550"/>
      <c r="I180" s="1548"/>
      <c r="J180" s="1549"/>
      <c r="K180" s="1549"/>
      <c r="L180" s="1550"/>
      <c r="M180" s="1548">
        <f>(M173/G2)</f>
        <v>103.96070973123589</v>
      </c>
      <c r="N180" s="1151"/>
      <c r="O180" s="1549" t="s">
        <v>365</v>
      </c>
      <c r="P180" s="1152"/>
      <c r="Q180" s="1086"/>
      <c r="R180" s="1086"/>
      <c r="S180" s="1086"/>
      <c r="T180" s="1086"/>
    </row>
    <row r="181" spans="1:20" s="983" customFormat="1" ht="16.5" thickBot="1" x14ac:dyDescent="0.35">
      <c r="A181" s="1465" t="s">
        <v>1383</v>
      </c>
      <c r="B181" s="1153"/>
      <c r="C181" s="1153"/>
      <c r="D181" s="1153"/>
      <c r="E181" s="1154"/>
      <c r="F181" s="1154"/>
      <c r="G181" s="1154"/>
      <c r="H181" s="1154"/>
      <c r="I181" s="1154"/>
      <c r="J181" s="1154"/>
      <c r="K181" s="1154"/>
      <c r="L181" s="1154"/>
      <c r="M181" s="1329">
        <f>P181</f>
        <v>1.1004660235945818</v>
      </c>
      <c r="N181" s="1154"/>
      <c r="O181" s="1154"/>
      <c r="P181" s="1155">
        <f>M173/M159</f>
        <v>1.1004660235945818</v>
      </c>
      <c r="Q181" s="1156"/>
      <c r="R181" s="1156"/>
      <c r="S181" s="1156"/>
      <c r="T181" s="1156"/>
    </row>
    <row r="182" spans="1:20" s="1027" customFormat="1" ht="16" thickBot="1" x14ac:dyDescent="0.35">
      <c r="A182" s="1158"/>
      <c r="B182" s="1097"/>
      <c r="C182" s="1097"/>
      <c r="D182" s="1097"/>
      <c r="E182" s="1159"/>
      <c r="F182" s="1159"/>
      <c r="G182" s="1159"/>
      <c r="H182" s="1159"/>
      <c r="I182" s="1159"/>
      <c r="J182" s="1160"/>
      <c r="K182" s="1161"/>
      <c r="L182" s="1161"/>
      <c r="M182" s="1157"/>
      <c r="N182" s="1157"/>
      <c r="O182" s="1157"/>
      <c r="P182" s="1162"/>
      <c r="Q182" s="1157"/>
      <c r="R182" s="1157"/>
      <c r="S182" s="1157"/>
      <c r="T182" s="1157"/>
    </row>
    <row r="183" spans="1:20" s="976" customFormat="1" ht="28.5" thickBot="1" x14ac:dyDescent="0.35">
      <c r="A183" s="971" t="s">
        <v>1208</v>
      </c>
      <c r="B183" s="972"/>
      <c r="C183" s="972"/>
      <c r="D183" s="972"/>
      <c r="E183" s="1126"/>
      <c r="F183" s="1126"/>
      <c r="G183" s="1127"/>
      <c r="H183" s="1127"/>
      <c r="I183" s="1127"/>
      <c r="J183" s="1128"/>
      <c r="K183" s="1129"/>
      <c r="L183" s="1129"/>
      <c r="M183" s="544"/>
      <c r="N183" s="544"/>
      <c r="O183" s="544"/>
      <c r="P183" s="1062" t="s">
        <v>883</v>
      </c>
      <c r="Q183" s="1093"/>
      <c r="R183" s="1093"/>
      <c r="S183" s="1093"/>
      <c r="T183" s="1093"/>
    </row>
    <row r="184" spans="1:20" s="1027" customFormat="1" x14ac:dyDescent="0.3">
      <c r="A184" s="1158"/>
      <c r="B184" s="1097"/>
      <c r="C184" s="1097"/>
      <c r="D184" s="1097"/>
      <c r="E184" s="1159"/>
      <c r="F184" s="1159"/>
      <c r="G184" s="1159"/>
      <c r="H184" s="1159"/>
      <c r="I184" s="1159"/>
      <c r="J184" s="1160"/>
      <c r="K184" s="1161"/>
      <c r="L184" s="1161"/>
      <c r="M184" s="1157"/>
      <c r="N184" s="1157"/>
      <c r="O184" s="1157"/>
      <c r="P184" s="1162"/>
      <c r="Q184" s="1157"/>
      <c r="R184" s="1157"/>
      <c r="S184" s="1157"/>
      <c r="T184" s="1157"/>
    </row>
    <row r="185" spans="1:20" s="1027" customFormat="1" x14ac:dyDescent="0.3">
      <c r="A185" s="1158"/>
      <c r="B185" s="1097"/>
      <c r="C185" s="1097"/>
      <c r="D185" s="1097"/>
      <c r="E185" s="1159"/>
      <c r="F185" s="1159"/>
      <c r="G185" s="1159"/>
      <c r="H185" s="1159"/>
      <c r="I185" s="1159"/>
      <c r="J185" s="1160"/>
      <c r="K185" s="1161"/>
      <c r="L185" s="1161"/>
      <c r="M185" s="1157"/>
      <c r="N185" s="1157"/>
      <c r="O185" s="1157"/>
      <c r="P185" s="1162"/>
      <c r="Q185" s="1157"/>
      <c r="R185" s="1157"/>
      <c r="S185" s="1157"/>
      <c r="T185" s="1157"/>
    </row>
    <row r="186" spans="1:20" s="1027" customFormat="1" x14ac:dyDescent="0.3">
      <c r="A186" s="1163"/>
      <c r="B186" s="1164"/>
      <c r="C186" s="1164"/>
      <c r="D186" s="1164"/>
      <c r="E186" s="1165"/>
      <c r="F186" s="1165"/>
      <c r="G186" s="1165"/>
      <c r="H186" s="1165"/>
      <c r="I186" s="1165"/>
      <c r="J186" s="1166"/>
      <c r="K186" s="1168"/>
      <c r="L186" s="1168"/>
      <c r="M186" s="545"/>
      <c r="N186" s="545"/>
      <c r="O186" s="545"/>
      <c r="P186" s="546"/>
      <c r="Q186" s="750"/>
      <c r="R186" s="750"/>
      <c r="S186" s="750"/>
      <c r="T186" s="750"/>
    </row>
    <row r="187" spans="1:20" s="1027" customFormat="1" x14ac:dyDescent="0.3">
      <c r="A187" s="1158"/>
      <c r="B187" s="1097"/>
      <c r="C187" s="1097"/>
      <c r="D187" s="1097"/>
      <c r="E187" s="1170"/>
      <c r="F187" s="1170"/>
      <c r="G187" s="1170"/>
      <c r="H187" s="1170"/>
      <c r="I187" s="1170"/>
      <c r="J187" s="1166"/>
      <c r="K187" s="1168"/>
      <c r="L187" s="1168"/>
      <c r="P187" s="1167"/>
    </row>
    <row r="188" spans="1:20" s="1027" customFormat="1" x14ac:dyDescent="0.3">
      <c r="A188" s="1158"/>
      <c r="B188" s="1097"/>
      <c r="C188" s="1097"/>
      <c r="D188" s="1097"/>
      <c r="E188" s="1170"/>
      <c r="F188" s="1170"/>
      <c r="G188" s="1170"/>
      <c r="H188" s="1170"/>
      <c r="I188" s="1170"/>
      <c r="J188" s="1166"/>
      <c r="K188" s="1168"/>
      <c r="L188" s="1168"/>
      <c r="P188" s="1167"/>
    </row>
    <row r="189" spans="1:20" s="1027" customFormat="1" x14ac:dyDescent="0.3">
      <c r="A189" s="1158"/>
      <c r="B189" s="1097"/>
      <c r="C189" s="1097"/>
      <c r="D189" s="1097"/>
      <c r="E189" s="1170"/>
      <c r="F189" s="1170"/>
      <c r="G189" s="1170"/>
      <c r="H189" s="1170"/>
      <c r="I189" s="1170"/>
      <c r="J189" s="1166"/>
      <c r="K189" s="1168"/>
      <c r="L189" s="1168"/>
      <c r="P189" s="1167"/>
    </row>
    <row r="190" spans="1:20" s="1027" customFormat="1" x14ac:dyDescent="0.3">
      <c r="A190" s="1158"/>
      <c r="B190" s="1097"/>
      <c r="C190" s="1097"/>
      <c r="D190" s="1097"/>
      <c r="E190" s="1170"/>
      <c r="F190" s="1170"/>
      <c r="G190" s="1170"/>
      <c r="H190" s="1170"/>
      <c r="I190" s="1170"/>
      <c r="J190" s="1166"/>
      <c r="K190" s="1168"/>
      <c r="L190" s="1168"/>
      <c r="P190" s="1167"/>
    </row>
    <row r="191" spans="1:20" s="1027" customFormat="1" x14ac:dyDescent="0.3">
      <c r="A191" s="1158"/>
      <c r="B191" s="1097"/>
      <c r="C191" s="1097"/>
      <c r="D191" s="1097"/>
      <c r="E191" s="1170"/>
      <c r="F191" s="1170"/>
      <c r="G191" s="1170"/>
      <c r="H191" s="1170"/>
      <c r="I191" s="1170"/>
      <c r="J191" s="1166"/>
      <c r="K191" s="1168"/>
      <c r="L191" s="1168"/>
      <c r="P191" s="1167"/>
    </row>
    <row r="192" spans="1:20" s="1027" customFormat="1" x14ac:dyDescent="0.3">
      <c r="A192" s="1158"/>
      <c r="B192" s="1097"/>
      <c r="C192" s="1097"/>
      <c r="D192" s="1097"/>
      <c r="E192" s="1170"/>
      <c r="F192" s="1170"/>
      <c r="G192" s="1170"/>
      <c r="H192" s="1170"/>
      <c r="I192" s="1170"/>
      <c r="J192" s="1166"/>
      <c r="K192" s="1168"/>
      <c r="L192" s="1168"/>
      <c r="P192" s="1167"/>
    </row>
    <row r="193" spans="1:20" s="1027" customFormat="1" x14ac:dyDescent="0.3">
      <c r="A193" s="1158"/>
      <c r="B193" s="1097"/>
      <c r="C193" s="1097"/>
      <c r="D193" s="1097"/>
      <c r="E193" s="1170"/>
      <c r="F193" s="1170"/>
      <c r="G193" s="1170"/>
      <c r="H193" s="1170"/>
      <c r="I193" s="1170"/>
      <c r="J193" s="1166"/>
      <c r="K193" s="1168"/>
      <c r="L193" s="1168"/>
      <c r="P193" s="1167"/>
    </row>
    <row r="194" spans="1:20" s="1027" customFormat="1" x14ac:dyDescent="0.3">
      <c r="A194" s="1158"/>
      <c r="B194" s="1097"/>
      <c r="C194" s="1097"/>
      <c r="D194" s="1097"/>
      <c r="E194" s="1170"/>
      <c r="F194" s="1170"/>
      <c r="G194" s="1170"/>
      <c r="H194" s="1170"/>
      <c r="I194" s="1170"/>
      <c r="J194" s="1166"/>
      <c r="K194" s="1168"/>
      <c r="L194" s="1168"/>
      <c r="P194" s="1167"/>
    </row>
    <row r="195" spans="1:20" s="1027" customFormat="1" x14ac:dyDescent="0.3">
      <c r="A195" s="1158"/>
      <c r="B195" s="1097"/>
      <c r="C195" s="1097"/>
      <c r="D195" s="1097"/>
      <c r="E195" s="1170"/>
      <c r="F195" s="1170"/>
      <c r="G195" s="1170"/>
      <c r="H195" s="1170"/>
      <c r="I195" s="1170"/>
      <c r="J195" s="1166"/>
      <c r="K195" s="1168"/>
      <c r="L195" s="1168"/>
      <c r="P195" s="1167"/>
    </row>
    <row r="196" spans="1:20" s="1027" customFormat="1" x14ac:dyDescent="0.3">
      <c r="A196" s="1158"/>
      <c r="B196" s="1097"/>
      <c r="C196" s="1097"/>
      <c r="D196" s="1097"/>
      <c r="E196" s="1170"/>
      <c r="F196" s="1170"/>
      <c r="G196" s="1170"/>
      <c r="H196" s="1170"/>
      <c r="I196" s="1170"/>
      <c r="J196" s="1166"/>
      <c r="K196" s="1168"/>
      <c r="L196" s="1168"/>
      <c r="P196" s="1167"/>
    </row>
    <row r="197" spans="1:20" s="1027" customFormat="1" x14ac:dyDescent="0.3">
      <c r="A197" s="1158"/>
      <c r="B197" s="1097"/>
      <c r="C197" s="1097"/>
      <c r="D197" s="1097"/>
      <c r="E197" s="1170"/>
      <c r="F197" s="1170"/>
      <c r="G197" s="1170"/>
      <c r="H197" s="1170"/>
      <c r="I197" s="1170"/>
      <c r="J197" s="1166"/>
      <c r="K197" s="1168"/>
      <c r="L197" s="1168"/>
      <c r="P197" s="1167"/>
    </row>
    <row r="198" spans="1:20" s="1027" customFormat="1" x14ac:dyDescent="0.3">
      <c r="A198" s="1158"/>
      <c r="B198" s="1097"/>
      <c r="C198" s="1097"/>
      <c r="D198" s="1097"/>
      <c r="E198" s="1170"/>
      <c r="F198" s="1170"/>
      <c r="G198" s="1170"/>
      <c r="H198" s="1170"/>
      <c r="I198" s="1170"/>
      <c r="J198" s="1166"/>
      <c r="K198" s="1168"/>
      <c r="L198" s="1168"/>
      <c r="P198" s="1167"/>
    </row>
    <row r="199" spans="1:20" s="1027" customFormat="1" x14ac:dyDescent="0.3">
      <c r="A199" s="1158"/>
      <c r="B199" s="1097"/>
      <c r="C199" s="1097"/>
      <c r="D199" s="1097"/>
      <c r="E199" s="1170"/>
      <c r="F199" s="1170"/>
      <c r="G199" s="1170"/>
      <c r="H199" s="1170"/>
      <c r="I199" s="1170"/>
      <c r="J199" s="1166"/>
      <c r="K199" s="1168"/>
      <c r="L199" s="1168"/>
      <c r="P199" s="1167"/>
    </row>
    <row r="200" spans="1:20" s="1027" customFormat="1" x14ac:dyDescent="0.3">
      <c r="A200" s="1158"/>
      <c r="B200" s="1097"/>
      <c r="C200" s="1097"/>
      <c r="D200" s="1097"/>
      <c r="E200" s="1170"/>
      <c r="F200" s="1170"/>
      <c r="G200" s="1170"/>
      <c r="H200" s="1170"/>
      <c r="I200" s="1170"/>
      <c r="J200" s="1166"/>
      <c r="K200" s="1168"/>
      <c r="L200" s="1168"/>
      <c r="P200" s="1167"/>
    </row>
    <row r="201" spans="1:20" s="1027" customFormat="1" x14ac:dyDescent="0.3">
      <c r="A201" s="1163"/>
      <c r="B201" s="1164"/>
      <c r="C201" s="1164"/>
      <c r="D201" s="1164"/>
      <c r="E201" s="1170"/>
      <c r="F201" s="1170"/>
      <c r="G201" s="1170"/>
      <c r="H201" s="1170"/>
      <c r="I201" s="1170"/>
      <c r="J201" s="1166"/>
      <c r="K201" s="1168"/>
      <c r="L201" s="1168"/>
      <c r="P201" s="1171"/>
      <c r="Q201" s="1172"/>
      <c r="R201" s="1172"/>
      <c r="S201" s="1172"/>
      <c r="T201" s="1172"/>
    </row>
    <row r="202" spans="1:20" s="1027" customFormat="1" x14ac:dyDescent="0.3">
      <c r="A202" s="1163"/>
      <c r="B202" s="1164"/>
      <c r="C202" s="1164"/>
      <c r="D202" s="1164"/>
      <c r="E202" s="1170"/>
      <c r="F202" s="1170"/>
      <c r="G202" s="1170"/>
      <c r="H202" s="1170"/>
      <c r="I202" s="1170"/>
      <c r="J202" s="1166"/>
      <c r="K202" s="1168"/>
      <c r="L202" s="1168"/>
      <c r="P202" s="1167"/>
    </row>
    <row r="203" spans="1:20" s="1027" customFormat="1" x14ac:dyDescent="0.3">
      <c r="A203" s="1163"/>
      <c r="B203" s="1164"/>
      <c r="C203" s="1164"/>
      <c r="D203" s="1164"/>
      <c r="E203" s="1170"/>
      <c r="F203" s="1170"/>
      <c r="G203" s="1170"/>
      <c r="H203" s="1170"/>
      <c r="I203" s="1170"/>
      <c r="J203" s="1166"/>
      <c r="K203" s="1168"/>
      <c r="L203" s="1168"/>
      <c r="P203" s="1167"/>
    </row>
    <row r="204" spans="1:20" s="1027" customFormat="1" x14ac:dyDescent="0.3">
      <c r="A204" s="1049"/>
      <c r="E204" s="1097"/>
      <c r="F204" s="1097"/>
      <c r="G204" s="1175"/>
      <c r="H204" s="1175"/>
      <c r="I204" s="1175"/>
      <c r="J204" s="1097"/>
      <c r="M204" s="1175"/>
      <c r="N204" s="1175"/>
      <c r="O204" s="1175"/>
      <c r="P204" s="1176"/>
      <c r="Q204" s="1050"/>
      <c r="R204" s="1050"/>
      <c r="S204" s="1050"/>
      <c r="T204" s="1050"/>
    </row>
    <row r="205" spans="1:20" s="1027" customFormat="1" x14ac:dyDescent="0.3">
      <c r="A205" s="1049"/>
      <c r="E205" s="1097"/>
      <c r="F205" s="1097"/>
      <c r="G205" s="1175"/>
      <c r="H205" s="1175"/>
      <c r="I205" s="1175"/>
      <c r="J205" s="1097"/>
      <c r="M205" s="1175"/>
      <c r="N205" s="1175"/>
      <c r="O205" s="1175"/>
      <c r="P205" s="1176"/>
      <c r="Q205" s="1050"/>
      <c r="R205" s="1050"/>
      <c r="S205" s="1050"/>
      <c r="T205" s="1050"/>
    </row>
    <row r="206" spans="1:20" s="1027" customFormat="1" x14ac:dyDescent="0.3">
      <c r="A206" s="1049"/>
      <c r="E206" s="1097"/>
      <c r="F206" s="1097"/>
      <c r="G206" s="1175"/>
      <c r="H206" s="1175"/>
      <c r="I206" s="1175"/>
      <c r="J206" s="1097"/>
      <c r="M206" s="1175"/>
      <c r="N206" s="1175"/>
      <c r="O206" s="1175"/>
      <c r="P206" s="1176"/>
      <c r="Q206" s="1050"/>
      <c r="R206" s="1050"/>
      <c r="S206" s="1050"/>
      <c r="T206" s="1050"/>
    </row>
    <row r="207" spans="1:20" s="1027" customFormat="1" x14ac:dyDescent="0.3">
      <c r="A207" s="1049"/>
      <c r="E207" s="1097"/>
      <c r="F207" s="1097"/>
      <c r="G207" s="1175"/>
      <c r="H207" s="1175"/>
      <c r="I207" s="1175"/>
      <c r="J207" s="1097"/>
      <c r="M207" s="1175"/>
      <c r="N207" s="1175"/>
      <c r="O207" s="1175"/>
      <c r="P207" s="1176"/>
      <c r="Q207" s="1050"/>
      <c r="R207" s="1050"/>
      <c r="S207" s="1050"/>
      <c r="T207" s="1050"/>
    </row>
    <row r="208" spans="1:20" s="1027" customFormat="1" x14ac:dyDescent="0.3">
      <c r="A208" s="1049"/>
      <c r="E208" s="1097"/>
      <c r="F208" s="1097"/>
      <c r="G208" s="1175"/>
      <c r="H208" s="1175"/>
      <c r="I208" s="1175"/>
      <c r="J208" s="1097"/>
      <c r="M208" s="1175"/>
      <c r="N208" s="1175"/>
      <c r="O208" s="1175"/>
      <c r="P208" s="1176"/>
      <c r="Q208" s="1050"/>
      <c r="R208" s="1050"/>
      <c r="S208" s="1050"/>
      <c r="T208" s="1050"/>
    </row>
    <row r="209" spans="1:20" s="1027" customFormat="1" x14ac:dyDescent="0.3">
      <c r="A209" s="1177"/>
      <c r="B209" s="1178"/>
      <c r="C209" s="1178"/>
      <c r="D209" s="1178"/>
      <c r="E209" s="1179"/>
      <c r="F209" s="1179"/>
      <c r="G209" s="1174"/>
      <c r="H209" s="1174"/>
      <c r="I209" s="1174"/>
      <c r="J209" s="1164"/>
      <c r="K209" s="1169"/>
      <c r="L209" s="1169"/>
      <c r="M209" s="1173"/>
      <c r="N209" s="1173"/>
      <c r="O209" s="1173"/>
      <c r="P209" s="1180"/>
      <c r="Q209" s="1181"/>
      <c r="R209" s="1181"/>
      <c r="S209" s="1181"/>
      <c r="T209" s="1181"/>
    </row>
    <row r="210" spans="1:20" s="1027" customFormat="1" x14ac:dyDescent="0.3">
      <c r="A210" s="1182"/>
      <c r="B210" s="1183"/>
      <c r="C210" s="1183"/>
      <c r="D210" s="1183"/>
      <c r="E210" s="1179"/>
      <c r="F210" s="1179"/>
      <c r="G210" s="1174"/>
      <c r="H210" s="1174"/>
      <c r="I210" s="1174"/>
      <c r="J210" s="1164"/>
      <c r="K210" s="1169"/>
      <c r="L210" s="1169"/>
      <c r="M210" s="1173"/>
      <c r="N210" s="1173"/>
      <c r="O210" s="1173"/>
      <c r="P210" s="1180"/>
      <c r="Q210" s="1181"/>
      <c r="R210" s="1181"/>
      <c r="S210" s="1181"/>
      <c r="T210" s="1181"/>
    </row>
    <row r="211" spans="1:20" s="1027" customFormat="1" x14ac:dyDescent="0.3">
      <c r="A211" s="1182"/>
      <c r="B211" s="1183"/>
      <c r="C211" s="1183"/>
      <c r="D211" s="1183"/>
      <c r="E211" s="1179"/>
      <c r="F211" s="1179"/>
      <c r="G211" s="1174"/>
      <c r="H211" s="1174"/>
      <c r="I211" s="1174"/>
      <c r="J211" s="1164"/>
      <c r="K211" s="1169"/>
      <c r="L211" s="1169"/>
      <c r="P211" s="1180"/>
      <c r="Q211" s="1181"/>
      <c r="R211" s="1181"/>
      <c r="S211" s="1181"/>
      <c r="T211" s="1181"/>
    </row>
    <row r="212" spans="1:20" s="1173" customFormat="1" x14ac:dyDescent="0.3">
      <c r="A212" s="1378"/>
      <c r="G212" s="1379"/>
      <c r="H212" s="1379"/>
      <c r="I212" s="1379"/>
      <c r="J212" s="1178"/>
      <c r="M212" s="1380"/>
      <c r="N212" s="1380"/>
      <c r="O212" s="1380"/>
      <c r="P212" s="1381"/>
      <c r="Q212" s="1382"/>
      <c r="R212" s="1382"/>
      <c r="S212" s="1382"/>
      <c r="T212" s="1382"/>
    </row>
    <row r="213" spans="1:20" s="1181" customFormat="1" x14ac:dyDescent="0.3">
      <c r="A213" s="1555"/>
      <c r="B213" s="1556"/>
      <c r="C213" s="1556"/>
      <c r="D213" s="1556"/>
      <c r="E213" s="1556" t="s">
        <v>573</v>
      </c>
      <c r="F213" s="1557" t="s">
        <v>521</v>
      </c>
      <c r="G213" s="1557" t="s">
        <v>1399</v>
      </c>
      <c r="H213" s="1184"/>
      <c r="J213" s="1185"/>
      <c r="M213" s="545"/>
      <c r="N213" s="545"/>
      <c r="O213" s="545"/>
      <c r="P213" s="546"/>
      <c r="Q213" s="750"/>
      <c r="R213" s="750"/>
      <c r="S213" s="750"/>
      <c r="T213" s="750"/>
    </row>
    <row r="214" spans="1:20" s="1181" customFormat="1" x14ac:dyDescent="0.3">
      <c r="A214" s="1555" t="s">
        <v>237</v>
      </c>
      <c r="B214" s="1556"/>
      <c r="C214" s="1556"/>
      <c r="D214" s="1556"/>
      <c r="E214" s="1558">
        <f>M157</f>
        <v>4000</v>
      </c>
      <c r="F214" s="1559">
        <f>M161</f>
        <v>4108.9800000000005</v>
      </c>
      <c r="G214" s="1559">
        <f>M168</f>
        <v>4711.7480000000005</v>
      </c>
      <c r="H214" s="1170"/>
      <c r="J214" s="1166"/>
      <c r="M214" s="545"/>
      <c r="N214" s="545"/>
      <c r="O214" s="545"/>
      <c r="P214" s="546"/>
      <c r="Q214" s="750"/>
      <c r="R214" s="750"/>
      <c r="S214" s="750"/>
      <c r="T214" s="750"/>
    </row>
    <row r="215" spans="1:20" s="1181" customFormat="1" x14ac:dyDescent="0.3">
      <c r="A215" s="1555" t="s">
        <v>1363</v>
      </c>
      <c r="B215" s="1556"/>
      <c r="C215" s="1556"/>
      <c r="D215" s="1556"/>
      <c r="E215" s="1558">
        <f>M158</f>
        <v>26230.308251889663</v>
      </c>
      <c r="F215" s="1559">
        <f>M162+M163</f>
        <v>25487.271921814081</v>
      </c>
      <c r="G215" s="1559">
        <f>M169+M170</f>
        <v>28555.679113995488</v>
      </c>
      <c r="H215" s="1170"/>
      <c r="J215" s="1166"/>
      <c r="M215" s="545"/>
      <c r="N215" s="545"/>
      <c r="O215" s="545"/>
      <c r="P215" s="546"/>
      <c r="Q215" s="750"/>
      <c r="R215" s="750"/>
      <c r="S215" s="750"/>
      <c r="T215" s="750"/>
    </row>
    <row r="216" spans="1:20" s="1181" customFormat="1" ht="16" thickBot="1" x14ac:dyDescent="0.35">
      <c r="A216" s="1555" t="s">
        <v>520</v>
      </c>
      <c r="B216" s="1556"/>
      <c r="C216" s="1556"/>
      <c r="D216" s="1556"/>
      <c r="E216" s="1558">
        <f>M159</f>
        <v>30230.308251889663</v>
      </c>
      <c r="F216" s="1559">
        <f>M166</f>
        <v>29596.251921814081</v>
      </c>
      <c r="G216" s="1559">
        <f>M173</f>
        <v>33267.427113995487</v>
      </c>
      <c r="H216" s="1170"/>
      <c r="J216" s="1166"/>
      <c r="M216" s="545"/>
      <c r="N216" s="545"/>
      <c r="O216" s="545"/>
      <c r="P216" s="546"/>
      <c r="Q216" s="750"/>
      <c r="R216" s="750"/>
      <c r="S216" s="750"/>
      <c r="T216" s="750"/>
    </row>
    <row r="217" spans="1:20" s="1027" customFormat="1" ht="18.5" thickBot="1" x14ac:dyDescent="0.35">
      <c r="A217" s="1120" t="str">
        <f>A138</f>
        <v>Primärenergieaufwand für Wohngebäude; Programm erstellt von K. Jagnow, 2001-2023</v>
      </c>
      <c r="B217" s="1121"/>
      <c r="C217" s="1121"/>
      <c r="D217" s="1121"/>
      <c r="E217" s="1124"/>
      <c r="F217" s="1124"/>
      <c r="G217" s="1123"/>
      <c r="H217" s="1123"/>
      <c r="I217" s="1123"/>
      <c r="J217" s="1124"/>
      <c r="K217" s="1124"/>
      <c r="L217" s="1124"/>
      <c r="M217" s="1124"/>
      <c r="N217" s="1124"/>
      <c r="O217" s="1124"/>
      <c r="P217" s="1125"/>
      <c r="Q217" s="958"/>
      <c r="R217" s="958"/>
      <c r="S217" s="958"/>
      <c r="T217" s="958"/>
    </row>
    <row r="218" spans="1:20" s="1027" customFormat="1" x14ac:dyDescent="0.3">
      <c r="E218" s="1097"/>
      <c r="F218" s="1097"/>
      <c r="G218" s="1175"/>
      <c r="H218" s="1175"/>
      <c r="I218" s="1175"/>
      <c r="J218" s="1097"/>
      <c r="M218" s="1175"/>
      <c r="N218" s="1175"/>
      <c r="O218" s="1175"/>
      <c r="P218" s="1050"/>
      <c r="Q218" s="1050"/>
      <c r="R218" s="1050"/>
      <c r="S218" s="1050"/>
      <c r="T218" s="1050"/>
    </row>
    <row r="983" ht="15" customHeight="1" x14ac:dyDescent="0.3"/>
  </sheetData>
  <sheetProtection algorithmName="SHA-512" hashValue="eqpVJe7BOQEteo1J9pg7VO/qS4hKjrwnA+sv6YqLQLYd8HOIfr9U91dYxmmL6d1Wfn7/PkEeViIFwp0sCqpJjg==" saltValue="HFv7vaVssEMQgrzusfkx1g==" spinCount="100000" sheet="1"/>
  <mergeCells count="54">
    <mergeCell ref="A110:D117"/>
    <mergeCell ref="G114:P114"/>
    <mergeCell ref="E115:F115"/>
    <mergeCell ref="G115:P115"/>
    <mergeCell ref="A140:D143"/>
    <mergeCell ref="E140:F140"/>
    <mergeCell ref="G140:P140"/>
    <mergeCell ref="E142:F142"/>
    <mergeCell ref="G142:P142"/>
    <mergeCell ref="E143:F143"/>
    <mergeCell ref="G143:P143"/>
    <mergeCell ref="E141:F141"/>
    <mergeCell ref="G141:P141"/>
    <mergeCell ref="E116:F116"/>
    <mergeCell ref="E117:F117"/>
    <mergeCell ref="G117:P117"/>
    <mergeCell ref="E112:F112"/>
    <mergeCell ref="G112:P112"/>
    <mergeCell ref="E113:F113"/>
    <mergeCell ref="G113:P113"/>
    <mergeCell ref="G116:P116"/>
    <mergeCell ref="E114:F114"/>
    <mergeCell ref="E110:F110"/>
    <mergeCell ref="G110:P110"/>
    <mergeCell ref="E111:F111"/>
    <mergeCell ref="G91:P91"/>
    <mergeCell ref="G89:P89"/>
    <mergeCell ref="G90:P90"/>
    <mergeCell ref="E92:F92"/>
    <mergeCell ref="G92:P92"/>
    <mergeCell ref="E93:F93"/>
    <mergeCell ref="G93:P93"/>
    <mergeCell ref="G111:P111"/>
    <mergeCell ref="A15:A16"/>
    <mergeCell ref="B24:B25"/>
    <mergeCell ref="B26:B27"/>
    <mergeCell ref="A65:D69"/>
    <mergeCell ref="A87:D93"/>
    <mergeCell ref="E87:F87"/>
    <mergeCell ref="E88:F88"/>
    <mergeCell ref="E90:F90"/>
    <mergeCell ref="E91:F91"/>
    <mergeCell ref="E69:F69"/>
    <mergeCell ref="G87:P87"/>
    <mergeCell ref="G88:P88"/>
    <mergeCell ref="G65:P65"/>
    <mergeCell ref="G66:P66"/>
    <mergeCell ref="G67:P67"/>
    <mergeCell ref="G68:P68"/>
    <mergeCell ref="E65:F65"/>
    <mergeCell ref="E66:F66"/>
    <mergeCell ref="E67:F67"/>
    <mergeCell ref="E68:F68"/>
    <mergeCell ref="G69:P69"/>
  </mergeCells>
  <phoneticPr fontId="0" type="noConversion"/>
  <dataValidations disablePrompts="1" count="1">
    <dataValidation errorStyle="warning" allowBlank="1" showInputMessage="1" showErrorMessage="1" error="Der Fragebogen ist noch nicht richtig ausgefüllt." sqref="P186:T203" xr:uid="{00000000-0002-0000-0600-000000000000}"/>
  </dataValidations>
  <pageMargins left="0.86614173228346458" right="0.74803149606299213" top="0.98425196850393704" bottom="0.98425196850393704" header="0.51181102362204722" footer="0.51181102362204722"/>
  <pageSetup paperSize="9" scale="53" fitToHeight="3" orientation="portrait" horizontalDpi="300" verticalDpi="300" r:id="rId1"/>
  <headerFooter alignWithMargins="0"/>
  <rowBreaks count="2" manualBreakCount="2">
    <brk id="63" max="15" man="1"/>
    <brk id="138" max="15"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62"/>
  <dimension ref="A1:R387"/>
  <sheetViews>
    <sheetView showGridLines="0" showZeros="0" tabSelected="1" zoomScale="85" zoomScaleNormal="85" zoomScaleSheetLayoutView="100" workbookViewId="0"/>
  </sheetViews>
  <sheetFormatPr baseColWidth="10" defaultColWidth="0" defaultRowHeight="14" zeroHeight="1" x14ac:dyDescent="0.3"/>
  <cols>
    <col min="1" max="1" width="9.58203125" style="300" customWidth="1"/>
    <col min="2" max="2" width="8.58203125" style="300" customWidth="1"/>
    <col min="3" max="3" width="11.75" style="300" customWidth="1"/>
    <col min="4" max="4" width="7.25" style="300" customWidth="1"/>
    <col min="5" max="5" width="9.25" style="300" customWidth="1"/>
    <col min="6" max="7" width="6.83203125" style="300" customWidth="1"/>
    <col min="8" max="8" width="8.58203125" style="300" customWidth="1"/>
    <col min="9" max="9" width="7.5" style="300" customWidth="1"/>
    <col min="10" max="11" width="8.58203125" style="300" customWidth="1"/>
    <col min="12" max="12" width="4.25" style="300" customWidth="1"/>
    <col min="13" max="13" width="19" style="300" customWidth="1"/>
    <col min="14" max="14" width="9.25" style="300" customWidth="1"/>
    <col min="15" max="15" width="0.25" style="300" customWidth="1"/>
    <col min="16" max="16384" width="0" style="300" hidden="1"/>
  </cols>
  <sheetData>
    <row r="1" spans="1:16" ht="25.5" thickBot="1" x14ac:dyDescent="0.55000000000000004">
      <c r="A1" s="1285" t="s">
        <v>1373</v>
      </c>
      <c r="B1" s="313"/>
      <c r="C1" s="313"/>
      <c r="D1" s="314"/>
      <c r="E1" s="315"/>
      <c r="F1" s="548"/>
      <c r="G1" s="316"/>
      <c r="H1" s="549"/>
      <c r="I1" s="550"/>
      <c r="J1" s="551"/>
      <c r="K1" s="317"/>
      <c r="L1" s="1566">
        <f>'Ergebnisse IST (05,06,07)'!N1</f>
        <v>0</v>
      </c>
      <c r="M1" s="552"/>
      <c r="N1" s="1567" t="str">
        <f>"11/" &amp;Rechnungen!D647</f>
        <v>11/11</v>
      </c>
    </row>
    <row r="2" spans="1:16" x14ac:dyDescent="0.3">
      <c r="A2" s="527"/>
      <c r="N2" s="535"/>
    </row>
    <row r="3" spans="1:16" ht="18.75" customHeight="1" x14ac:dyDescent="0.4">
      <c r="A3" s="527"/>
      <c r="B3" s="300" t="s">
        <v>1218</v>
      </c>
      <c r="E3" s="1294">
        <f>'Gebäude (02,03)'!M8</f>
        <v>320</v>
      </c>
      <c r="F3" s="300" t="s">
        <v>357</v>
      </c>
      <c r="H3" s="1678" t="str">
        <f>IF(Rechnungen!H3&gt;90,"Das Gebäude hat einen zu großen Heizwärmebedarf! Die Ergebnisse werden hier nur für Neubauten oder sanierte Bestandsbauten angezeigt. Der Heizwärmebedarf des Gebäudes muss unter 90 kWh/(m²a) liegen.","")</f>
        <v/>
      </c>
      <c r="I3" s="1679"/>
      <c r="J3" s="1679"/>
      <c r="K3" s="1679"/>
      <c r="L3" s="1679"/>
      <c r="M3" s="1679"/>
      <c r="N3" s="535"/>
    </row>
    <row r="4" spans="1:16" ht="22.5" customHeight="1" thickBot="1" x14ac:dyDescent="0.35">
      <c r="A4" s="527"/>
      <c r="H4" s="1679"/>
      <c r="I4" s="1679"/>
      <c r="J4" s="1679"/>
      <c r="K4" s="1679"/>
      <c r="L4" s="1679"/>
      <c r="M4" s="1679"/>
      <c r="N4" s="535"/>
    </row>
    <row r="5" spans="1:16" ht="25.5" thickBot="1" x14ac:dyDescent="0.55000000000000004">
      <c r="A5" s="1285" t="s">
        <v>1385</v>
      </c>
      <c r="B5" s="313"/>
      <c r="C5" s="313"/>
      <c r="D5" s="314"/>
      <c r="E5" s="315"/>
      <c r="F5" s="548"/>
      <c r="G5" s="316"/>
      <c r="H5" s="549"/>
      <c r="I5" s="550"/>
      <c r="J5" s="551"/>
      <c r="K5" s="317"/>
      <c r="L5" s="317"/>
      <c r="M5" s="552"/>
      <c r="N5" s="1286"/>
      <c r="P5" s="604"/>
    </row>
    <row r="6" spans="1:16" x14ac:dyDescent="0.3">
      <c r="A6" s="553"/>
      <c r="B6" s="554"/>
      <c r="C6" s="554"/>
      <c r="D6" s="554"/>
      <c r="E6" s="554"/>
      <c r="F6" s="554"/>
      <c r="G6" s="554"/>
      <c r="H6" s="554"/>
      <c r="I6" s="554"/>
      <c r="J6" s="554"/>
      <c r="K6" s="554"/>
      <c r="L6" s="554"/>
      <c r="M6" s="554"/>
      <c r="N6" s="555"/>
    </row>
    <row r="7" spans="1:16" ht="17" x14ac:dyDescent="0.45">
      <c r="A7" s="1231" t="s">
        <v>1386</v>
      </c>
      <c r="B7" s="1210"/>
      <c r="C7" s="1210"/>
      <c r="D7" s="1334" t="s">
        <v>1297</v>
      </c>
      <c r="E7" s="1210"/>
      <c r="F7" s="1210"/>
      <c r="G7" s="1210"/>
      <c r="H7" s="1210"/>
      <c r="I7" s="1210"/>
      <c r="J7" s="1210"/>
      <c r="K7" s="1210"/>
      <c r="L7" s="1210"/>
      <c r="M7" s="1210"/>
      <c r="N7" s="1212"/>
    </row>
    <row r="8" spans="1:16" x14ac:dyDescent="0.3">
      <c r="A8" s="527"/>
      <c r="N8" s="535"/>
    </row>
    <row r="9" spans="1:16" ht="14.5" thickBot="1" x14ac:dyDescent="0.35">
      <c r="A9" s="527"/>
      <c r="B9" s="1209" t="s">
        <v>5</v>
      </c>
      <c r="C9" s="1210"/>
      <c r="D9" s="1210"/>
      <c r="E9" s="1273"/>
      <c r="F9" s="1277">
        <f>IF(H3&lt;&gt;"","s.o.",Rechnungen!H6)</f>
        <v>0.25</v>
      </c>
      <c r="G9" s="1278" t="s">
        <v>179</v>
      </c>
      <c r="H9" s="1276"/>
      <c r="N9" s="535"/>
    </row>
    <row r="10" spans="1:16" ht="14.5" thickBot="1" x14ac:dyDescent="0.35">
      <c r="A10" s="527"/>
      <c r="B10" s="1209" t="s">
        <v>6</v>
      </c>
      <c r="C10" s="1210"/>
      <c r="D10" s="1211"/>
      <c r="E10" s="1273"/>
      <c r="F10" s="1277">
        <f>IF(H3&lt;&gt;"","s.o.",Rechnungen!H7)</f>
        <v>0.33</v>
      </c>
      <c r="G10" s="1278" t="s">
        <v>179</v>
      </c>
      <c r="H10" s="1276"/>
      <c r="I10" s="485"/>
      <c r="J10" s="1526">
        <f>IF(H3&lt;&gt;"","s.o.",F9/F10)</f>
        <v>0.75757575757575757</v>
      </c>
      <c r="K10" s="1293" t="str">
        <f>IF(J10&gt;1,"Die Nebenanforderung ist nicht erfüllt.","Die Nebenanforderung ist erfüllt.")</f>
        <v>Die Nebenanforderung ist erfüllt.</v>
      </c>
      <c r="N10" s="535"/>
    </row>
    <row r="11" spans="1:16" x14ac:dyDescent="0.3">
      <c r="A11" s="527"/>
      <c r="J11" s="1218"/>
      <c r="N11" s="535"/>
    </row>
    <row r="12" spans="1:16" ht="17" x14ac:dyDescent="0.45">
      <c r="A12" s="1231" t="s">
        <v>1387</v>
      </c>
      <c r="B12" s="1210"/>
      <c r="C12" s="1210"/>
      <c r="D12" s="1334" t="s">
        <v>1298</v>
      </c>
      <c r="E12" s="1210"/>
      <c r="F12" s="1210"/>
      <c r="G12" s="1210"/>
      <c r="H12" s="1210"/>
      <c r="I12" s="1210"/>
      <c r="J12" s="1210"/>
      <c r="K12" s="1210"/>
      <c r="L12" s="1210"/>
      <c r="M12" s="1210"/>
      <c r="N12" s="1212"/>
    </row>
    <row r="13" spans="1:16" x14ac:dyDescent="0.3">
      <c r="A13" s="527"/>
      <c r="N13" s="535"/>
    </row>
    <row r="14" spans="1:16" x14ac:dyDescent="0.3">
      <c r="A14" s="527"/>
      <c r="B14" s="1209" t="s">
        <v>5</v>
      </c>
      <c r="C14" s="1210"/>
      <c r="D14" s="1210"/>
      <c r="E14" s="1273"/>
      <c r="F14" s="1274">
        <f>IF(H3&lt;&gt;"","s.o.",'Ergebnisse IST (05,06,07)'!M180)</f>
        <v>129.08454392699383</v>
      </c>
      <c r="G14" s="1275" t="s">
        <v>365</v>
      </c>
      <c r="H14" s="1276"/>
      <c r="I14" s="485"/>
      <c r="N14" s="535"/>
    </row>
    <row r="15" spans="1:16" s="1443" customFormat="1" ht="14.5" thickBot="1" x14ac:dyDescent="0.35">
      <c r="A15" s="1434"/>
      <c r="B15" s="1435" t="s">
        <v>6</v>
      </c>
      <c r="C15" s="1436"/>
      <c r="D15" s="1437"/>
      <c r="E15" s="1438"/>
      <c r="F15" s="1439">
        <f>IF(H3&lt;&gt;"","s.o.",'Ergebnisse REF (08,09,10)'!M180)</f>
        <v>103.96070973123589</v>
      </c>
      <c r="G15" s="1440" t="s">
        <v>365</v>
      </c>
      <c r="H15" s="1441"/>
      <c r="I15" s="1442"/>
      <c r="N15" s="1444"/>
    </row>
    <row r="16" spans="1:16" ht="14.5" thickBot="1" x14ac:dyDescent="0.35">
      <c r="A16" s="527"/>
      <c r="B16" s="1468" t="s">
        <v>1409</v>
      </c>
      <c r="C16" s="1210"/>
      <c r="D16" s="1211"/>
      <c r="E16" s="1273"/>
      <c r="F16" s="1274">
        <f>IF(H4&lt;&gt;"","s.o.",F15*0.55)</f>
        <v>57.178390352179747</v>
      </c>
      <c r="G16" s="1275" t="s">
        <v>365</v>
      </c>
      <c r="H16" s="1276"/>
      <c r="I16" s="485"/>
      <c r="J16" s="1526">
        <f>IF(H3&lt;&gt;"","s.o.",F14/F16)</f>
        <v>2.257575687806554</v>
      </c>
      <c r="K16" s="1293" t="str">
        <f>IF(J16&gt;1,"Die Hauptanforderung ist nicht erfüllt.","Die Hauptanforderung ist erfüllt.")</f>
        <v>Die Hauptanforderung ist nicht erfüllt.</v>
      </c>
      <c r="N16" s="535"/>
    </row>
    <row r="17" spans="1:16" x14ac:dyDescent="0.3">
      <c r="A17" s="527"/>
      <c r="N17" s="535"/>
    </row>
    <row r="18" spans="1:16" x14ac:dyDescent="0.3">
      <c r="A18" s="1231" t="s">
        <v>8</v>
      </c>
      <c r="B18" s="1210"/>
      <c r="C18" s="1210"/>
      <c r="D18" s="1210"/>
      <c r="E18" s="1210"/>
      <c r="F18" s="1210"/>
      <c r="G18" s="1210"/>
      <c r="H18" s="1210"/>
      <c r="I18" s="1210"/>
      <c r="J18" s="1210"/>
      <c r="K18" s="1210"/>
      <c r="L18" s="1210"/>
      <c r="M18" s="1210"/>
      <c r="N18" s="1212"/>
    </row>
    <row r="19" spans="1:16" s="1480" customFormat="1" x14ac:dyDescent="0.3">
      <c r="A19" s="1503"/>
      <c r="N19" s="1479"/>
    </row>
    <row r="20" spans="1:16" s="1480" customFormat="1" x14ac:dyDescent="0.3">
      <c r="A20" s="1503"/>
      <c r="B20" s="1293" t="str">
        <f>IF(AND(J16&lt;=1,J10&lt;=1),"Das Gebäude erfüllt die Anforderungen des GEG an Neubauten.","Das Gebäude erfüllt die Anforderungen des GEG an Neubauten nicht.")</f>
        <v>Das Gebäude erfüllt die Anforderungen des GEG an Neubauten nicht.</v>
      </c>
      <c r="N20" s="1479"/>
    </row>
    <row r="21" spans="1:16" s="1480" customFormat="1" ht="14.5" thickBot="1" x14ac:dyDescent="0.35">
      <c r="A21" s="1494"/>
      <c r="B21" s="1495"/>
      <c r="C21" s="1495"/>
      <c r="D21" s="1504"/>
      <c r="E21" s="1505"/>
      <c r="F21" s="1504"/>
      <c r="G21" s="1495"/>
      <c r="H21" s="1495"/>
      <c r="I21" s="1495"/>
      <c r="J21" s="1495"/>
      <c r="K21" s="1495"/>
      <c r="L21" s="1495"/>
      <c r="M21" s="1495"/>
      <c r="N21" s="1506"/>
    </row>
    <row r="22" spans="1:16" ht="25.5" thickBot="1" x14ac:dyDescent="0.55000000000000004">
      <c r="A22" s="1285" t="s">
        <v>236</v>
      </c>
      <c r="B22" s="313"/>
      <c r="C22" s="313"/>
      <c r="D22" s="314"/>
      <c r="E22" s="315"/>
      <c r="F22" s="548"/>
      <c r="G22" s="316"/>
      <c r="H22" s="549"/>
      <c r="I22" s="550"/>
      <c r="J22" s="551"/>
      <c r="K22" s="317"/>
      <c r="L22" s="317"/>
      <c r="M22" s="552"/>
      <c r="N22" s="1288"/>
      <c r="P22" s="604"/>
    </row>
    <row r="23" spans="1:16" ht="14.5" thickBot="1" x14ac:dyDescent="0.35">
      <c r="A23" s="553"/>
      <c r="B23" s="554"/>
      <c r="C23" s="554"/>
      <c r="D23" s="554"/>
      <c r="E23" s="554"/>
      <c r="F23" s="554"/>
      <c r="G23" s="554"/>
      <c r="H23" s="554"/>
      <c r="I23" s="554"/>
      <c r="J23" s="554"/>
      <c r="K23" s="554"/>
      <c r="L23" s="554"/>
      <c r="M23" s="554"/>
      <c r="N23" s="555"/>
    </row>
    <row r="24" spans="1:16" s="1480" customFormat="1" ht="14.5" thickBot="1" x14ac:dyDescent="0.35">
      <c r="A24" s="1474" t="s">
        <v>238</v>
      </c>
      <c r="B24" s="1475"/>
      <c r="C24" s="1475"/>
      <c r="D24" s="1475"/>
      <c r="E24" s="1665" t="s">
        <v>237</v>
      </c>
      <c r="F24" s="1666"/>
      <c r="G24" s="1667" t="s">
        <v>519</v>
      </c>
      <c r="H24" s="1666"/>
      <c r="I24" s="1667" t="s">
        <v>402</v>
      </c>
      <c r="J24" s="1683"/>
      <c r="K24" s="1476"/>
      <c r="L24" s="1477"/>
      <c r="M24" s="1478" t="s">
        <v>615</v>
      </c>
      <c r="N24" s="1479"/>
    </row>
    <row r="25" spans="1:16" s="1480" customFormat="1" x14ac:dyDescent="0.3">
      <c r="A25" s="1481" t="s">
        <v>403</v>
      </c>
      <c r="B25" s="1482"/>
      <c r="C25" s="1482"/>
      <c r="D25" s="1482"/>
      <c r="E25" s="1483"/>
      <c r="F25" s="1484"/>
      <c r="G25" s="1485"/>
      <c r="H25" s="1486"/>
      <c r="I25" s="1485"/>
      <c r="J25" s="1484"/>
      <c r="K25" s="1485"/>
      <c r="L25" s="1486"/>
      <c r="M25" s="1487"/>
      <c r="N25" s="1479"/>
    </row>
    <row r="26" spans="1:16" s="1480" customFormat="1" x14ac:dyDescent="0.3">
      <c r="A26" s="1488"/>
      <c r="B26" s="1489" t="str">
        <f>Rechnungen!A672</f>
        <v>Heizöl, Erdgas, Flüssiggas</v>
      </c>
      <c r="C26" s="1489"/>
      <c r="D26" s="1489"/>
      <c r="E26" s="1671">
        <f>IF(H3&lt;&gt;"","s.o.",Rechnungen!D672+Rechnungen!E672)</f>
        <v>30.892399999999999</v>
      </c>
      <c r="F26" s="1672"/>
      <c r="G26" s="1680">
        <f>IF(H3&lt;&gt;"","s.o.",Rechnungen!F672+Rechnungen!G672)</f>
        <v>0</v>
      </c>
      <c r="H26" s="1681"/>
      <c r="I26" s="1682">
        <f>IF(H3&lt;&gt;"","s.o.",Rechnungen!H672+Rechnungen!I672)</f>
        <v>83.397185388176197</v>
      </c>
      <c r="J26" s="1672"/>
      <c r="K26" s="1680"/>
      <c r="L26" s="1681"/>
      <c r="M26" s="1490">
        <f>IF(H3&lt;&gt;"","s.o.",K26+E26+G26+I26)</f>
        <v>114.28958538817619</v>
      </c>
      <c r="N26" s="1479"/>
    </row>
    <row r="27" spans="1:16" s="1480" customFormat="1" x14ac:dyDescent="0.3">
      <c r="A27" s="1491"/>
      <c r="B27" s="1492" t="str">
        <f>Rechnungen!A673</f>
        <v>Steinkohle, Braunkohle</v>
      </c>
      <c r="C27" s="1492"/>
      <c r="D27" s="1492"/>
      <c r="E27" s="1673">
        <f>IF(H3&lt;&gt;"","s.o.",Rechnungen!D673+Rechnungen!E673)</f>
        <v>0</v>
      </c>
      <c r="F27" s="1674"/>
      <c r="G27" s="1680">
        <f>IF(H3&lt;&gt;"","s.o.",Rechnungen!F673+Rechnungen!G673)</f>
        <v>0</v>
      </c>
      <c r="H27" s="1681"/>
      <c r="I27" s="1684">
        <f>IF(H3&lt;&gt;"","s.o.",Rechnungen!H673+Rechnungen!I673)</f>
        <v>0</v>
      </c>
      <c r="J27" s="1674"/>
      <c r="K27" s="1680"/>
      <c r="L27" s="1681"/>
      <c r="M27" s="1493">
        <f>IF(H3&lt;&gt;"","s.o.",K27+E27+G27+I27)</f>
        <v>0</v>
      </c>
      <c r="N27" s="1479"/>
    </row>
    <row r="28" spans="1:16" s="1480" customFormat="1" x14ac:dyDescent="0.3">
      <c r="A28" s="1491"/>
      <c r="B28" s="1492" t="str">
        <f>Rechnungen!A674</f>
        <v>Fernwärme</v>
      </c>
      <c r="C28" s="1492"/>
      <c r="D28" s="1492"/>
      <c r="E28" s="1673">
        <f>IF(H3&lt;&gt;"","s.o.",Rechnungen!D674+Rechnungen!E674)</f>
        <v>0</v>
      </c>
      <c r="F28" s="1674"/>
      <c r="G28" s="1680">
        <f>IF(H3&lt;&gt;"","s.o.",Rechnungen!F674+Rechnungen!G674)</f>
        <v>0</v>
      </c>
      <c r="H28" s="1681"/>
      <c r="I28" s="1684">
        <f>IF(H3&lt;&gt;"","s.o.",Rechnungen!H674+Rechnungen!I674)</f>
        <v>0</v>
      </c>
      <c r="J28" s="1674"/>
      <c r="K28" s="1680"/>
      <c r="L28" s="1681"/>
      <c r="M28" s="1493">
        <f>IF(H3&lt;&gt;"","s.o.",K28+E28+G28+I28)</f>
        <v>0</v>
      </c>
      <c r="N28" s="1479"/>
    </row>
    <row r="29" spans="1:16" s="1480" customFormat="1" x14ac:dyDescent="0.3">
      <c r="A29" s="1491"/>
      <c r="B29" s="1492" t="str">
        <f>Rechnungen!A675</f>
        <v>Strom</v>
      </c>
      <c r="C29" s="1492"/>
      <c r="D29" s="1492"/>
      <c r="E29" s="1673">
        <f>IF(H3&lt;&gt;"","s.o.",Rechnungen!D675+Rechnungen!E675)</f>
        <v>0</v>
      </c>
      <c r="F29" s="1674"/>
      <c r="G29" s="1680">
        <f>IF(H3&lt;&gt;"","s.o.",Rechnungen!F675+Rechnungen!G675)</f>
        <v>0</v>
      </c>
      <c r="H29" s="1681"/>
      <c r="I29" s="1684">
        <f>IF(H3&lt;&gt;"","s.o.",Rechnungen!H675+Rechnungen!I675)</f>
        <v>0</v>
      </c>
      <c r="J29" s="1674"/>
      <c r="K29" s="1680"/>
      <c r="L29" s="1681"/>
      <c r="M29" s="1493">
        <f>IF(H3&lt;&gt;"","s.o.",K29+E29+G29+I29)</f>
        <v>0</v>
      </c>
      <c r="N29" s="1479"/>
    </row>
    <row r="30" spans="1:16" s="1480" customFormat="1" ht="14.5" thickBot="1" x14ac:dyDescent="0.35">
      <c r="A30" s="1494"/>
      <c r="B30" s="1495" t="str">
        <f>Rechnungen!A676</f>
        <v>Holz</v>
      </c>
      <c r="C30" s="1495"/>
      <c r="D30" s="1495"/>
      <c r="E30" s="1669">
        <f>IF(H3&lt;&gt;"","s.o.",Rechnungen!D676+Rechnungen!E676)</f>
        <v>0</v>
      </c>
      <c r="F30" s="1670"/>
      <c r="G30" s="1685">
        <f>IF(H3&lt;&gt;"","s.o.",Rechnungen!F676+Rechnungen!G676)</f>
        <v>0</v>
      </c>
      <c r="H30" s="1686"/>
      <c r="I30" s="1687">
        <f>IF(H3&lt;&gt;"","s.o.",Rechnungen!H676+Rechnungen!I676)</f>
        <v>0</v>
      </c>
      <c r="J30" s="1670"/>
      <c r="K30" s="1685"/>
      <c r="L30" s="1686"/>
      <c r="M30" s="1496">
        <f>IF(H3&lt;&gt;"","s.o.",K30+E30+G30+I30)</f>
        <v>0</v>
      </c>
      <c r="N30" s="1479"/>
    </row>
    <row r="31" spans="1:16" s="1480" customFormat="1" x14ac:dyDescent="0.3">
      <c r="A31" s="1481" t="s">
        <v>400</v>
      </c>
      <c r="B31" s="1482"/>
      <c r="C31" s="1482"/>
      <c r="D31" s="1482"/>
      <c r="E31" s="1497"/>
      <c r="F31" s="1498"/>
      <c r="G31" s="1499"/>
      <c r="H31" s="1498"/>
      <c r="I31" s="1500"/>
      <c r="J31" s="1501"/>
      <c r="K31" s="1499"/>
      <c r="L31" s="1498"/>
      <c r="M31" s="1502"/>
      <c r="N31" s="1479"/>
    </row>
    <row r="32" spans="1:16" s="1480" customFormat="1" ht="14.5" thickBot="1" x14ac:dyDescent="0.35">
      <c r="A32" s="1494"/>
      <c r="B32" s="1495" t="s">
        <v>225</v>
      </c>
      <c r="C32" s="1495"/>
      <c r="D32" s="1495"/>
      <c r="E32" s="1669">
        <f>IF(H3&lt;&gt;"","s.o.",Rechnungen!D678)</f>
        <v>0.64</v>
      </c>
      <c r="F32" s="1670"/>
      <c r="G32" s="1685">
        <f>IF(H3&lt;&gt;"","s.o.",Rechnungen!F678)</f>
        <v>0</v>
      </c>
      <c r="H32" s="1686"/>
      <c r="I32" s="1687">
        <f>IF(H3&lt;&gt;"","s.o.",Rechnungen!H678)</f>
        <v>1.23</v>
      </c>
      <c r="J32" s="1670"/>
      <c r="K32" s="1685"/>
      <c r="L32" s="1686"/>
      <c r="M32" s="1496">
        <f>IF(H3&lt;&gt;"","s.o.",K32+E32+G32+I32)</f>
        <v>1.87</v>
      </c>
      <c r="N32" s="1479"/>
    </row>
    <row r="33" spans="1:18" ht="14.5" thickBot="1" x14ac:dyDescent="0.35">
      <c r="A33" s="556"/>
      <c r="B33" s="557"/>
      <c r="C33" s="557"/>
      <c r="D33" s="557"/>
      <c r="E33" s="557"/>
      <c r="F33" s="557"/>
      <c r="G33" s="557"/>
      <c r="H33" s="557"/>
      <c r="I33" s="557"/>
      <c r="J33" s="557"/>
      <c r="K33" s="557"/>
      <c r="L33" s="557"/>
      <c r="M33" s="557"/>
      <c r="N33" s="558"/>
      <c r="R33" s="300">
        <v>1</v>
      </c>
    </row>
    <row r="34" spans="1:18" ht="25.5" thickBot="1" x14ac:dyDescent="0.55000000000000004">
      <c r="A34" s="1285" t="s">
        <v>1378</v>
      </c>
      <c r="B34" s="313"/>
      <c r="C34" s="313"/>
      <c r="D34" s="314"/>
      <c r="E34" s="315"/>
      <c r="F34" s="548"/>
      <c r="G34" s="316"/>
      <c r="H34" s="549"/>
      <c r="I34" s="550"/>
      <c r="J34" s="551"/>
      <c r="K34" s="317"/>
      <c r="L34" s="1287">
        <f>L1</f>
        <v>0</v>
      </c>
      <c r="M34" s="552"/>
      <c r="N34" s="1288"/>
      <c r="P34" s="604"/>
    </row>
    <row r="35" spans="1:18" x14ac:dyDescent="0.3">
      <c r="A35" s="1219"/>
      <c r="B35" s="603"/>
      <c r="C35" s="603"/>
      <c r="D35" s="603"/>
      <c r="E35" s="603"/>
      <c r="F35" s="603"/>
      <c r="G35" s="603"/>
      <c r="H35" s="603"/>
      <c r="I35" s="603"/>
      <c r="J35" s="603"/>
      <c r="K35" s="603"/>
      <c r="L35" s="603"/>
      <c r="M35" s="603"/>
      <c r="N35" s="1220"/>
    </row>
    <row r="36" spans="1:18" x14ac:dyDescent="0.3">
      <c r="A36" s="1219"/>
      <c r="B36" s="603"/>
      <c r="C36" s="1668" t="s">
        <v>1299</v>
      </c>
      <c r="D36" s="1668"/>
      <c r="E36" s="1668"/>
      <c r="F36" s="1668"/>
      <c r="G36" s="1668"/>
      <c r="H36" s="1668"/>
      <c r="I36" s="1668"/>
      <c r="K36" s="603" t="s">
        <v>9</v>
      </c>
      <c r="L36" s="603"/>
      <c r="M36" s="603"/>
      <c r="N36" s="1220"/>
    </row>
    <row r="37" spans="1:18" x14ac:dyDescent="0.3">
      <c r="A37" s="1219"/>
      <c r="B37" s="603"/>
      <c r="C37" s="1668"/>
      <c r="D37" s="1668"/>
      <c r="E37" s="1668"/>
      <c r="F37" s="1668"/>
      <c r="G37" s="1668"/>
      <c r="H37" s="1668"/>
      <c r="I37" s="1668"/>
      <c r="J37" s="603"/>
      <c r="K37" s="603"/>
      <c r="L37" s="603"/>
      <c r="M37" s="603"/>
      <c r="N37" s="1220"/>
    </row>
    <row r="38" spans="1:18" x14ac:dyDescent="0.3">
      <c r="A38" s="1219"/>
      <c r="B38" s="603"/>
      <c r="C38" s="603"/>
      <c r="D38" s="603"/>
      <c r="E38" s="603"/>
      <c r="F38" s="603"/>
      <c r="G38" s="603"/>
      <c r="H38" s="603"/>
      <c r="I38" s="603"/>
      <c r="J38" s="603"/>
      <c r="K38" s="603"/>
      <c r="L38" s="603"/>
      <c r="M38" s="603"/>
      <c r="N38" s="1220"/>
    </row>
    <row r="39" spans="1:18" x14ac:dyDescent="0.3">
      <c r="A39" s="1219"/>
      <c r="B39" s="603"/>
      <c r="C39" s="603"/>
      <c r="D39" s="1675" t="s">
        <v>1388</v>
      </c>
      <c r="E39" s="1617"/>
      <c r="F39" s="1617"/>
      <c r="G39" s="603"/>
      <c r="H39" s="1675" t="s">
        <v>1389</v>
      </c>
      <c r="I39" s="1639"/>
      <c r="K39" s="603"/>
      <c r="L39" s="603"/>
      <c r="M39" s="1230" t="s">
        <v>13</v>
      </c>
      <c r="N39" s="1220"/>
    </row>
    <row r="40" spans="1:18" x14ac:dyDescent="0.3">
      <c r="A40" s="1664" t="s">
        <v>1211</v>
      </c>
      <c r="B40" s="1663"/>
      <c r="C40" s="603"/>
      <c r="D40" s="1228"/>
      <c r="E40" s="1279">
        <f>IF(H3&lt;&gt;"","s.o.",ROUND(Rechnungen!H6,3))</f>
        <v>0.25</v>
      </c>
      <c r="F40" s="1662" t="s">
        <v>179</v>
      </c>
      <c r="G40" s="1663"/>
      <c r="H40" s="1229"/>
      <c r="I40" s="1280">
        <f>IF(H3&lt;&gt;"","s.o.",ROUND('Ergebnisse IST (05,06,07)'!M180,1))</f>
        <v>129.1</v>
      </c>
      <c r="J40" s="1662" t="s">
        <v>365</v>
      </c>
      <c r="K40" s="1663"/>
      <c r="L40" s="603"/>
      <c r="M40" s="603"/>
      <c r="N40" s="1220"/>
    </row>
    <row r="41" spans="1:18" x14ac:dyDescent="0.3">
      <c r="A41" s="1219"/>
      <c r="B41" s="603"/>
      <c r="C41" s="603"/>
      <c r="D41" s="603"/>
      <c r="E41" s="603"/>
      <c r="F41" s="603"/>
      <c r="G41" s="603"/>
      <c r="H41" s="603"/>
      <c r="I41" s="603"/>
      <c r="J41" s="603"/>
      <c r="K41" s="603"/>
      <c r="L41" s="603"/>
      <c r="M41" s="603"/>
      <c r="N41" s="1220"/>
    </row>
    <row r="42" spans="1:18" x14ac:dyDescent="0.3">
      <c r="A42" s="1664" t="s">
        <v>1214</v>
      </c>
      <c r="B42" s="1663"/>
      <c r="C42" s="603"/>
      <c r="D42" s="1227">
        <v>1</v>
      </c>
      <c r="E42" s="1279">
        <f>IF(H5&lt;&gt;"","s.o.",ROUND(D42*$F$10,3))</f>
        <v>0.33</v>
      </c>
      <c r="F42" s="1662" t="s">
        <v>179</v>
      </c>
      <c r="G42" s="1663"/>
      <c r="H42" s="1227">
        <v>0.85</v>
      </c>
      <c r="I42" s="1280">
        <f>IF(H5&lt;&gt;"","s.o.",ROUND(H42*$F$15,1))</f>
        <v>88.4</v>
      </c>
      <c r="J42" s="1662" t="s">
        <v>365</v>
      </c>
      <c r="K42" s="1663"/>
      <c r="L42" s="603"/>
      <c r="M42" s="1676" t="str">
        <f>IF(H3&lt;&gt;"","s.o.",IF(Rechnungen!$A$683=2,"nicht relevant, weil Neubau",IF(AND($E$40&lt;=E42,$I$40&lt;=I42),"ja","nein")))</f>
        <v>nicht relevant, weil Neubau</v>
      </c>
      <c r="N42" s="1677"/>
    </row>
    <row r="43" spans="1:18" x14ac:dyDescent="0.3">
      <c r="A43" s="1664" t="s">
        <v>1213</v>
      </c>
      <c r="B43" s="1663"/>
      <c r="C43" s="603"/>
      <c r="D43" s="1227">
        <v>0.85</v>
      </c>
      <c r="E43" s="1279">
        <f>IF(H6&lt;&gt;"","s.o.",ROUND(D43*$F$10,3))</f>
        <v>0.28100000000000003</v>
      </c>
      <c r="F43" s="1662" t="s">
        <v>179</v>
      </c>
      <c r="G43" s="1663"/>
      <c r="H43" s="1227">
        <v>0.7</v>
      </c>
      <c r="I43" s="1280">
        <f>IF(H6&lt;&gt;"","s.o.",ROUND(H43*$F$15,1))</f>
        <v>72.8</v>
      </c>
      <c r="J43" s="1662" t="s">
        <v>365</v>
      </c>
      <c r="K43" s="1663"/>
      <c r="L43" s="603"/>
      <c r="M43" s="1676" t="str">
        <f>IF(H3&lt;&gt;"","s.o.",IF(Rechnungen!$A$683=2,"nicht relevant, weil Neubau",IF(AND($E$40&lt;=E43,$I$40&lt;=I43),"ja","nein")))</f>
        <v>nicht relevant, weil Neubau</v>
      </c>
      <c r="N43" s="1677"/>
    </row>
    <row r="44" spans="1:18" x14ac:dyDescent="0.3">
      <c r="A44" s="1664" t="s">
        <v>1212</v>
      </c>
      <c r="B44" s="1663"/>
      <c r="C44" s="603"/>
      <c r="D44" s="1227">
        <v>0.7</v>
      </c>
      <c r="E44" s="1279">
        <f>IF(H6&lt;&gt;"","s.o.",ROUND(D44*$F$10,3))</f>
        <v>0.23100000000000001</v>
      </c>
      <c r="F44" s="1662" t="s">
        <v>179</v>
      </c>
      <c r="G44" s="1663"/>
      <c r="H44" s="1227">
        <v>0.55000000000000004</v>
      </c>
      <c r="I44" s="1280">
        <f>IF(H7&lt;&gt;"","s.o.",ROUND(H44*$F$15,1))</f>
        <v>57.2</v>
      </c>
      <c r="J44" s="1662" t="s">
        <v>365</v>
      </c>
      <c r="K44" s="1663"/>
      <c r="L44" s="603"/>
      <c r="M44" s="1676" t="str">
        <f>IF(H4&lt;&gt;"","s.o.",IF(Rechnungen!$A$683=2,"nicht relevant, weil Neubau",IF(AND($E$40&lt;=E44,$I$40&lt;=I44),"ja","nein")))</f>
        <v>nicht relevant, weil Neubau</v>
      </c>
      <c r="N44" s="1677"/>
    </row>
    <row r="45" spans="1:18" x14ac:dyDescent="0.3">
      <c r="A45" s="1664" t="s">
        <v>1259</v>
      </c>
      <c r="B45" s="1663"/>
      <c r="C45" s="603"/>
      <c r="D45" s="1227">
        <v>0.55000000000000004</v>
      </c>
      <c r="E45" s="1279">
        <f>IF(H7&lt;&gt;"","s.o.",ROUND(D45*$F$10,3))</f>
        <v>0.182</v>
      </c>
      <c r="F45" s="1662" t="s">
        <v>179</v>
      </c>
      <c r="G45" s="1663"/>
      <c r="H45" s="1227">
        <v>0.4</v>
      </c>
      <c r="I45" s="1280">
        <f>IF(H7&lt;&gt;"","s.o.",ROUND(H45*$F$15,1))</f>
        <v>41.6</v>
      </c>
      <c r="J45" s="1662" t="s">
        <v>365</v>
      </c>
      <c r="K45" s="1663"/>
      <c r="L45" s="603"/>
      <c r="M45" s="1676" t="str">
        <f>IF(H3&lt;&gt;"","s.o.",IF(Rechnungen!$A$683=1,"nicht relevant, weil Bestand",IF(AND($E$40&lt;=E45,$I$40&lt;=I45),"ja","nein")))</f>
        <v>nein</v>
      </c>
      <c r="N45" s="1677"/>
    </row>
    <row r="46" spans="1:18" ht="14.5" thickBot="1" x14ac:dyDescent="0.35">
      <c r="A46" s="1219"/>
      <c r="B46" s="603"/>
      <c r="C46" s="603"/>
      <c r="D46" s="603"/>
      <c r="E46" s="603"/>
      <c r="F46" s="603"/>
      <c r="G46" s="603"/>
      <c r="H46" s="603"/>
      <c r="I46" s="603"/>
      <c r="J46" s="603"/>
      <c r="K46" s="603"/>
      <c r="L46" s="603"/>
      <c r="M46" s="603"/>
      <c r="N46" s="1220"/>
    </row>
    <row r="47" spans="1:18" ht="25.5" thickBot="1" x14ac:dyDescent="0.55000000000000004">
      <c r="A47" s="1285" t="s">
        <v>1179</v>
      </c>
      <c r="B47" s="313"/>
      <c r="C47" s="313"/>
      <c r="D47" s="314"/>
      <c r="E47" s="315"/>
      <c r="F47" s="548"/>
      <c r="G47" s="316"/>
      <c r="H47" s="549"/>
      <c r="I47" s="550"/>
      <c r="J47" s="551"/>
      <c r="K47" s="317"/>
      <c r="L47" s="1566"/>
      <c r="M47" s="1566"/>
      <c r="N47" s="1288"/>
      <c r="P47" s="604"/>
    </row>
    <row r="48" spans="1:18" ht="14.5" thickBot="1" x14ac:dyDescent="0.35">
      <c r="A48" s="527"/>
      <c r="E48" s="603"/>
      <c r="F48" s="603"/>
      <c r="G48" s="603"/>
      <c r="J48" s="603"/>
      <c r="K48" s="603"/>
      <c r="L48" s="603"/>
      <c r="M48" s="603"/>
      <c r="N48" s="535"/>
    </row>
    <row r="49" spans="1:14" s="803" customFormat="1" ht="12.5" x14ac:dyDescent="0.25">
      <c r="A49" s="1507"/>
      <c r="B49" s="1470"/>
      <c r="C49" s="1471" t="s">
        <v>1210</v>
      </c>
      <c r="D49" s="1471"/>
      <c r="E49" s="1471"/>
      <c r="F49" s="1471"/>
      <c r="G49" s="1508"/>
      <c r="H49" s="1509" t="s">
        <v>1177</v>
      </c>
      <c r="I49" s="1509"/>
      <c r="J49" s="1510"/>
      <c r="K49" s="1511" t="s">
        <v>1178</v>
      </c>
      <c r="L49" s="1471"/>
      <c r="M49" s="1508"/>
      <c r="N49" s="1469"/>
    </row>
    <row r="50" spans="1:14" s="803" customFormat="1" ht="12.5" x14ac:dyDescent="0.25">
      <c r="A50" s="1507"/>
      <c r="B50" s="1472">
        <f>Rechnungen!A112</f>
        <v>1</v>
      </c>
      <c r="C50" s="1473" t="str">
        <f>'Gebäude (02,03)'!B37</f>
        <v>AW</v>
      </c>
      <c r="D50" s="1473" t="str">
        <f>'Gebäude (02,03)'!C37</f>
        <v>Wand</v>
      </c>
      <c r="E50" s="1512"/>
      <c r="F50" s="1473"/>
      <c r="G50" s="1513"/>
      <c r="H50" s="1473"/>
      <c r="I50" s="1514">
        <f>IF(AND(C50=0,D50=0),0,Rechnungen!B112)</f>
        <v>0.2</v>
      </c>
      <c r="J50" s="1515" t="s">
        <v>179</v>
      </c>
      <c r="K50" s="1516">
        <f>IF(AND(C50=0,D50=0),0,Rechnungen!AB112)</f>
        <v>0.28000000000000003</v>
      </c>
      <c r="L50" s="1473"/>
      <c r="M50" s="1517" t="s">
        <v>179</v>
      </c>
      <c r="N50" s="1469"/>
    </row>
    <row r="51" spans="1:14" s="803" customFormat="1" ht="12.5" x14ac:dyDescent="0.25">
      <c r="A51" s="1507"/>
      <c r="B51" s="1472">
        <f>Rechnungen!A113</f>
        <v>2</v>
      </c>
      <c r="C51" s="1473">
        <f>'Gebäude (02,03)'!B38</f>
        <v>0</v>
      </c>
      <c r="D51" s="1473">
        <f>'Gebäude (02,03)'!C38</f>
        <v>0</v>
      </c>
      <c r="E51" s="1512"/>
      <c r="F51" s="1473"/>
      <c r="G51" s="1513"/>
      <c r="H51" s="1473"/>
      <c r="I51" s="1514">
        <f>IF(AND(C51=0,D51=0),0,Rechnungen!B113)</f>
        <v>0</v>
      </c>
      <c r="J51" s="1515" t="s">
        <v>179</v>
      </c>
      <c r="K51" s="1516">
        <f>IF(AND(C51=0,D51=0),0,Rechnungen!AB113)</f>
        <v>0</v>
      </c>
      <c r="L51" s="1473"/>
      <c r="M51" s="1517" t="s">
        <v>179</v>
      </c>
      <c r="N51" s="1469"/>
    </row>
    <row r="52" spans="1:14" s="803" customFormat="1" ht="12.5" x14ac:dyDescent="0.25">
      <c r="A52" s="1507"/>
      <c r="B52" s="1472">
        <f>Rechnungen!A114</f>
        <v>3</v>
      </c>
      <c r="C52" s="1473">
        <f>'Gebäude (02,03)'!B39</f>
        <v>0</v>
      </c>
      <c r="D52" s="1473">
        <f>'Gebäude (02,03)'!C39</f>
        <v>0</v>
      </c>
      <c r="E52" s="1512"/>
      <c r="F52" s="1473"/>
      <c r="G52" s="1513"/>
      <c r="H52" s="1473"/>
      <c r="I52" s="1514">
        <f>IF(AND(C52=0,D52=0),0,Rechnungen!B114)</f>
        <v>0</v>
      </c>
      <c r="J52" s="1515" t="s">
        <v>179</v>
      </c>
      <c r="K52" s="1516">
        <f>IF(AND(C52=0,D52=0),0,Rechnungen!AB114)</f>
        <v>0</v>
      </c>
      <c r="L52" s="1473"/>
      <c r="M52" s="1517" t="s">
        <v>179</v>
      </c>
      <c r="N52" s="1469"/>
    </row>
    <row r="53" spans="1:14" s="803" customFormat="1" ht="12.5" x14ac:dyDescent="0.25">
      <c r="A53" s="1507"/>
      <c r="B53" s="1472">
        <f>Rechnungen!A115</f>
        <v>4</v>
      </c>
      <c r="C53" s="1473">
        <f>'Gebäude (02,03)'!B40</f>
        <v>0</v>
      </c>
      <c r="D53" s="1473">
        <f>'Gebäude (02,03)'!C40</f>
        <v>0</v>
      </c>
      <c r="E53" s="1512"/>
      <c r="F53" s="1473"/>
      <c r="G53" s="1513"/>
      <c r="H53" s="1473"/>
      <c r="I53" s="1514">
        <f>IF(AND(C53=0,D53=0),0,Rechnungen!B115)</f>
        <v>0</v>
      </c>
      <c r="J53" s="1515" t="s">
        <v>179</v>
      </c>
      <c r="K53" s="1516">
        <f>IF(AND(C53=0,D53=0),0,Rechnungen!AB115)</f>
        <v>0</v>
      </c>
      <c r="L53" s="1473"/>
      <c r="M53" s="1517" t="s">
        <v>179</v>
      </c>
      <c r="N53" s="1469"/>
    </row>
    <row r="54" spans="1:14" s="803" customFormat="1" ht="12.5" x14ac:dyDescent="0.25">
      <c r="A54" s="1507"/>
      <c r="B54" s="1472">
        <f>Rechnungen!A116</f>
        <v>5</v>
      </c>
      <c r="C54" s="1473">
        <f>'Gebäude (02,03)'!B41</f>
        <v>0</v>
      </c>
      <c r="D54" s="1473">
        <f>'Gebäude (02,03)'!C41</f>
        <v>0</v>
      </c>
      <c r="E54" s="1512"/>
      <c r="F54" s="1473"/>
      <c r="G54" s="1513"/>
      <c r="H54" s="1473"/>
      <c r="I54" s="1514">
        <f>IF(AND(C54=0,D54=0),0,Rechnungen!B116)</f>
        <v>0</v>
      </c>
      <c r="J54" s="1515" t="s">
        <v>179</v>
      </c>
      <c r="K54" s="1516">
        <f>IF(AND(C54=0,D54=0),0,Rechnungen!AB116)</f>
        <v>0</v>
      </c>
      <c r="L54" s="1473"/>
      <c r="M54" s="1517" t="s">
        <v>179</v>
      </c>
      <c r="N54" s="1469"/>
    </row>
    <row r="55" spans="1:14" s="803" customFormat="1" ht="12.5" x14ac:dyDescent="0.25">
      <c r="A55" s="1507"/>
      <c r="B55" s="1472">
        <f>Rechnungen!A117</f>
        <v>6</v>
      </c>
      <c r="C55" s="1473">
        <f>'Gebäude (02,03)'!B42</f>
        <v>0</v>
      </c>
      <c r="D55" s="1473">
        <f>'Gebäude (02,03)'!C42</f>
        <v>0</v>
      </c>
      <c r="E55" s="1512"/>
      <c r="F55" s="1473"/>
      <c r="G55" s="1513"/>
      <c r="H55" s="1473"/>
      <c r="I55" s="1514">
        <f>IF(AND(C55=0,D55=0),0,Rechnungen!B117)</f>
        <v>0</v>
      </c>
      <c r="J55" s="1515" t="s">
        <v>179</v>
      </c>
      <c r="K55" s="1516">
        <f>IF(AND(C55=0,D55=0),0,Rechnungen!AB117)</f>
        <v>0</v>
      </c>
      <c r="L55" s="1473"/>
      <c r="M55" s="1517" t="s">
        <v>179</v>
      </c>
      <c r="N55" s="1469"/>
    </row>
    <row r="56" spans="1:14" s="803" customFormat="1" ht="12.5" x14ac:dyDescent="0.25">
      <c r="A56" s="1507"/>
      <c r="B56" s="1472">
        <f>Rechnungen!A118</f>
        <v>7</v>
      </c>
      <c r="C56" s="1473">
        <f>'Gebäude (02,03)'!B43</f>
        <v>0</v>
      </c>
      <c r="D56" s="1473">
        <f>'Gebäude (02,03)'!C43</f>
        <v>0</v>
      </c>
      <c r="E56" s="1512"/>
      <c r="F56" s="1473"/>
      <c r="G56" s="1513"/>
      <c r="H56" s="1473"/>
      <c r="I56" s="1514">
        <f>IF(AND(C56=0,D56=0),0,Rechnungen!B118)</f>
        <v>0</v>
      </c>
      <c r="J56" s="1515" t="s">
        <v>179</v>
      </c>
      <c r="K56" s="1516">
        <f>IF(AND(C56=0,D56=0),0,Rechnungen!AB118)</f>
        <v>0</v>
      </c>
      <c r="L56" s="1473"/>
      <c r="M56" s="1517" t="s">
        <v>179</v>
      </c>
      <c r="N56" s="1469"/>
    </row>
    <row r="57" spans="1:14" s="803" customFormat="1" ht="12.5" x14ac:dyDescent="0.25">
      <c r="A57" s="1507"/>
      <c r="B57" s="1472">
        <f>Rechnungen!A119</f>
        <v>8</v>
      </c>
      <c r="C57" s="1473">
        <f>'Gebäude (02,03)'!B44</f>
        <v>0</v>
      </c>
      <c r="D57" s="1473">
        <f>'Gebäude (02,03)'!C44</f>
        <v>0</v>
      </c>
      <c r="E57" s="1512"/>
      <c r="F57" s="1473"/>
      <c r="G57" s="1513"/>
      <c r="H57" s="1473"/>
      <c r="I57" s="1514">
        <f>IF(AND(C57=0,D57=0),0,Rechnungen!B119)</f>
        <v>0</v>
      </c>
      <c r="J57" s="1515" t="s">
        <v>179</v>
      </c>
      <c r="K57" s="1516">
        <f>IF(AND(C57=0,D57=0),0,Rechnungen!AB119)</f>
        <v>0</v>
      </c>
      <c r="L57" s="1473"/>
      <c r="M57" s="1517" t="s">
        <v>179</v>
      </c>
      <c r="N57" s="1469"/>
    </row>
    <row r="58" spans="1:14" s="803" customFormat="1" ht="12.5" x14ac:dyDescent="0.25">
      <c r="A58" s="1507"/>
      <c r="B58" s="1472">
        <f>Rechnungen!A120</f>
        <v>9</v>
      </c>
      <c r="C58" s="1473">
        <f>'Gebäude (02,03)'!B45</f>
        <v>0</v>
      </c>
      <c r="D58" s="1473">
        <f>'Gebäude (02,03)'!C45</f>
        <v>0</v>
      </c>
      <c r="E58" s="1512"/>
      <c r="F58" s="1473"/>
      <c r="G58" s="1513"/>
      <c r="H58" s="1473"/>
      <c r="I58" s="1514">
        <f>IF(AND(C58=0,D58=0),0,Rechnungen!B120)</f>
        <v>0</v>
      </c>
      <c r="J58" s="1515" t="s">
        <v>179</v>
      </c>
      <c r="K58" s="1516">
        <f>IF(AND(C58=0,D58=0),0,Rechnungen!AB120)</f>
        <v>0</v>
      </c>
      <c r="L58" s="1473"/>
      <c r="M58" s="1517" t="s">
        <v>179</v>
      </c>
      <c r="N58" s="1469"/>
    </row>
    <row r="59" spans="1:14" s="803" customFormat="1" ht="12.5" x14ac:dyDescent="0.25">
      <c r="A59" s="1507"/>
      <c r="B59" s="1472">
        <f>Rechnungen!A121</f>
        <v>10</v>
      </c>
      <c r="C59" s="1473">
        <f>'Gebäude (02,03)'!B46</f>
        <v>0</v>
      </c>
      <c r="D59" s="1473">
        <f>'Gebäude (02,03)'!C46</f>
        <v>0</v>
      </c>
      <c r="E59" s="1512"/>
      <c r="F59" s="1473"/>
      <c r="G59" s="1513"/>
      <c r="H59" s="1473"/>
      <c r="I59" s="1514">
        <f>IF(AND(C59=0,D59=0),0,Rechnungen!B121)</f>
        <v>0</v>
      </c>
      <c r="J59" s="1515" t="s">
        <v>179</v>
      </c>
      <c r="K59" s="1516">
        <f>IF(AND(C59=0,D59=0),0,Rechnungen!AB121)</f>
        <v>0</v>
      </c>
      <c r="L59" s="1473"/>
      <c r="M59" s="1517" t="s">
        <v>179</v>
      </c>
      <c r="N59" s="1469"/>
    </row>
    <row r="60" spans="1:14" s="803" customFormat="1" ht="12.5" x14ac:dyDescent="0.25">
      <c r="A60" s="1507"/>
      <c r="B60" s="1472">
        <f>Rechnungen!A122</f>
        <v>11</v>
      </c>
      <c r="C60" s="1473">
        <f>'Gebäude (02,03)'!B47</f>
        <v>0</v>
      </c>
      <c r="D60" s="1473">
        <f>'Gebäude (02,03)'!C47</f>
        <v>0</v>
      </c>
      <c r="E60" s="1512"/>
      <c r="F60" s="1473"/>
      <c r="G60" s="1513"/>
      <c r="H60" s="1473"/>
      <c r="I60" s="1514">
        <f>IF(AND(C60=0,D60=0),0,Rechnungen!B122)</f>
        <v>0</v>
      </c>
      <c r="J60" s="1515" t="s">
        <v>179</v>
      </c>
      <c r="K60" s="1516">
        <f>IF(AND(C60=0,D60=0),0,Rechnungen!AB122)</f>
        <v>0</v>
      </c>
      <c r="L60" s="1473"/>
      <c r="M60" s="1517" t="s">
        <v>179</v>
      </c>
      <c r="N60" s="1469"/>
    </row>
    <row r="61" spans="1:14" s="803" customFormat="1" ht="12.5" x14ac:dyDescent="0.25">
      <c r="A61" s="1507"/>
      <c r="B61" s="1472">
        <f>Rechnungen!A123</f>
        <v>12</v>
      </c>
      <c r="C61" s="1473">
        <f>'Gebäude (02,03)'!B48</f>
        <v>0</v>
      </c>
      <c r="D61" s="1473">
        <f>'Gebäude (02,03)'!C48</f>
        <v>0</v>
      </c>
      <c r="E61" s="1512"/>
      <c r="F61" s="1473"/>
      <c r="G61" s="1513"/>
      <c r="H61" s="1473"/>
      <c r="I61" s="1514">
        <f>IF(AND(C61=0,D61=0),0,Rechnungen!B123)</f>
        <v>0</v>
      </c>
      <c r="J61" s="1515" t="s">
        <v>179</v>
      </c>
      <c r="K61" s="1516">
        <f>IF(AND(C61=0,D61=0),0,Rechnungen!AB123)</f>
        <v>0</v>
      </c>
      <c r="L61" s="1473"/>
      <c r="M61" s="1517" t="s">
        <v>179</v>
      </c>
      <c r="N61" s="1469"/>
    </row>
    <row r="62" spans="1:14" s="803" customFormat="1" ht="12.5" x14ac:dyDescent="0.25">
      <c r="A62" s="1507"/>
      <c r="B62" s="1472">
        <f>Rechnungen!A124</f>
        <v>13</v>
      </c>
      <c r="C62" s="1473">
        <f>'Gebäude (02,03)'!B49</f>
        <v>0</v>
      </c>
      <c r="D62" s="1473">
        <f>'Gebäude (02,03)'!C49</f>
        <v>0</v>
      </c>
      <c r="E62" s="1512"/>
      <c r="F62" s="1473"/>
      <c r="G62" s="1513"/>
      <c r="H62" s="1473"/>
      <c r="I62" s="1514">
        <f>IF(AND(C62=0,D62=0),0,Rechnungen!B124)</f>
        <v>0</v>
      </c>
      <c r="J62" s="1515" t="s">
        <v>179</v>
      </c>
      <c r="K62" s="1516">
        <f>IF(AND(C62=0,D62=0),0,Rechnungen!AB124)</f>
        <v>0</v>
      </c>
      <c r="L62" s="1473"/>
      <c r="M62" s="1517" t="s">
        <v>179</v>
      </c>
      <c r="N62" s="1469"/>
    </row>
    <row r="63" spans="1:14" s="803" customFormat="1" ht="12.5" x14ac:dyDescent="0.25">
      <c r="A63" s="1507"/>
      <c r="B63" s="1472">
        <f>Rechnungen!A125</f>
        <v>14</v>
      </c>
      <c r="C63" s="1473">
        <f>'Gebäude (02,03)'!B50</f>
        <v>0</v>
      </c>
      <c r="D63" s="1473">
        <f>'Gebäude (02,03)'!C50</f>
        <v>0</v>
      </c>
      <c r="E63" s="1512"/>
      <c r="F63" s="1473"/>
      <c r="G63" s="1513"/>
      <c r="H63" s="1473"/>
      <c r="I63" s="1514">
        <f>IF(AND(C63=0,D63=0),0,Rechnungen!B125)</f>
        <v>0</v>
      </c>
      <c r="J63" s="1515" t="s">
        <v>179</v>
      </c>
      <c r="K63" s="1516">
        <f>IF(AND(C63=0,D63=0),0,Rechnungen!AB125)</f>
        <v>0</v>
      </c>
      <c r="L63" s="1473"/>
      <c r="M63" s="1517" t="s">
        <v>179</v>
      </c>
      <c r="N63" s="1469"/>
    </row>
    <row r="64" spans="1:14" s="803" customFormat="1" ht="12.5" x14ac:dyDescent="0.25">
      <c r="A64" s="1507"/>
      <c r="B64" s="1472">
        <f>Rechnungen!A126</f>
        <v>15</v>
      </c>
      <c r="C64" s="1473">
        <f>'Gebäude (02,03)'!B51</f>
        <v>0</v>
      </c>
      <c r="D64" s="1473">
        <f>'Gebäude (02,03)'!C51</f>
        <v>0</v>
      </c>
      <c r="E64" s="1512"/>
      <c r="F64" s="1473"/>
      <c r="G64" s="1513"/>
      <c r="H64" s="1473"/>
      <c r="I64" s="1514">
        <f>IF(AND(C64=0,D64=0),0,Rechnungen!B126)</f>
        <v>0</v>
      </c>
      <c r="J64" s="1515" t="s">
        <v>179</v>
      </c>
      <c r="K64" s="1516">
        <f>IF(AND(C64=0,D64=0),0,Rechnungen!AB126)</f>
        <v>0</v>
      </c>
      <c r="L64" s="1473"/>
      <c r="M64" s="1517" t="s">
        <v>179</v>
      </c>
      <c r="N64" s="1469"/>
    </row>
    <row r="65" spans="1:14" s="803" customFormat="1" ht="12.5" x14ac:dyDescent="0.25">
      <c r="A65" s="1507"/>
      <c r="B65" s="1472">
        <f>Rechnungen!A127</f>
        <v>16</v>
      </c>
      <c r="C65" s="1473">
        <f>'Gebäude (02,03)'!B52</f>
        <v>0</v>
      </c>
      <c r="D65" s="1473">
        <f>'Gebäude (02,03)'!C52</f>
        <v>0</v>
      </c>
      <c r="E65" s="1512"/>
      <c r="F65" s="1473"/>
      <c r="G65" s="1513"/>
      <c r="H65" s="1473"/>
      <c r="I65" s="1514">
        <f>IF(AND(C65=0,D65=0),0,Rechnungen!B127)</f>
        <v>0</v>
      </c>
      <c r="J65" s="1515" t="s">
        <v>179</v>
      </c>
      <c r="K65" s="1516">
        <f>IF(AND(C65=0,D65=0),0,Rechnungen!AB127)</f>
        <v>0</v>
      </c>
      <c r="L65" s="1473"/>
      <c r="M65" s="1517" t="s">
        <v>179</v>
      </c>
      <c r="N65" s="1469"/>
    </row>
    <row r="66" spans="1:14" s="803" customFormat="1" ht="12.5" x14ac:dyDescent="0.25">
      <c r="A66" s="1507"/>
      <c r="B66" s="1472">
        <f>Rechnungen!A128</f>
        <v>17</v>
      </c>
      <c r="C66" s="1473">
        <f>'Gebäude (02,03)'!B53</f>
        <v>0</v>
      </c>
      <c r="D66" s="1473">
        <f>'Gebäude (02,03)'!C53</f>
        <v>0</v>
      </c>
      <c r="E66" s="1512"/>
      <c r="F66" s="1473"/>
      <c r="G66" s="1513"/>
      <c r="H66" s="1473"/>
      <c r="I66" s="1514">
        <f>IF(AND(C66=0,D66=0),0,Rechnungen!B128)</f>
        <v>0</v>
      </c>
      <c r="J66" s="1515" t="s">
        <v>179</v>
      </c>
      <c r="K66" s="1516">
        <f>IF(AND(C66=0,D66=0),0,Rechnungen!AB128)</f>
        <v>0</v>
      </c>
      <c r="L66" s="1473"/>
      <c r="M66" s="1517" t="s">
        <v>179</v>
      </c>
      <c r="N66" s="1469"/>
    </row>
    <row r="67" spans="1:14" s="803" customFormat="1" ht="12.5" x14ac:dyDescent="0.25">
      <c r="A67" s="1507"/>
      <c r="B67" s="1472">
        <f>Rechnungen!A129</f>
        <v>18</v>
      </c>
      <c r="C67" s="1473">
        <f>'Gebäude (02,03)'!B54</f>
        <v>0</v>
      </c>
      <c r="D67" s="1473">
        <f>'Gebäude (02,03)'!C54</f>
        <v>0</v>
      </c>
      <c r="E67" s="1512"/>
      <c r="F67" s="1473"/>
      <c r="G67" s="1513"/>
      <c r="H67" s="1473"/>
      <c r="I67" s="1514">
        <f>IF(AND(C67=0,D67=0),0,Rechnungen!B129)</f>
        <v>0</v>
      </c>
      <c r="J67" s="1515" t="s">
        <v>179</v>
      </c>
      <c r="K67" s="1516">
        <f>IF(AND(C67=0,D67=0),0,Rechnungen!AB129)</f>
        <v>0</v>
      </c>
      <c r="L67" s="1473"/>
      <c r="M67" s="1517" t="s">
        <v>179</v>
      </c>
      <c r="N67" s="1469"/>
    </row>
    <row r="68" spans="1:14" s="803" customFormat="1" ht="12.5" x14ac:dyDescent="0.25">
      <c r="A68" s="1507"/>
      <c r="B68" s="1472">
        <f>Rechnungen!A130</f>
        <v>19</v>
      </c>
      <c r="C68" s="1473">
        <f>'Gebäude (02,03)'!B55</f>
        <v>0</v>
      </c>
      <c r="D68" s="1473">
        <f>'Gebäude (02,03)'!C55</f>
        <v>0</v>
      </c>
      <c r="E68" s="1512"/>
      <c r="F68" s="1473"/>
      <c r="G68" s="1513"/>
      <c r="H68" s="1473"/>
      <c r="I68" s="1514">
        <f>IF(AND(C68=0,D68=0),0,Rechnungen!B130)</f>
        <v>0</v>
      </c>
      <c r="J68" s="1515" t="s">
        <v>179</v>
      </c>
      <c r="K68" s="1516">
        <f>IF(AND(C68=0,D68=0),0,Rechnungen!AB130)</f>
        <v>0</v>
      </c>
      <c r="L68" s="1473"/>
      <c r="M68" s="1517" t="s">
        <v>179</v>
      </c>
      <c r="N68" s="1469"/>
    </row>
    <row r="69" spans="1:14" s="803" customFormat="1" ht="12.5" x14ac:dyDescent="0.25">
      <c r="A69" s="1507"/>
      <c r="B69" s="1472">
        <f>Rechnungen!A131</f>
        <v>20</v>
      </c>
      <c r="C69" s="1473">
        <f>'Gebäude (02,03)'!B56</f>
        <v>0</v>
      </c>
      <c r="D69" s="1473">
        <f>'Gebäude (02,03)'!C56</f>
        <v>0</v>
      </c>
      <c r="E69" s="1512"/>
      <c r="F69" s="1473"/>
      <c r="G69" s="1513"/>
      <c r="H69" s="1473"/>
      <c r="I69" s="1514">
        <f>IF(AND(C69=0,D69=0),0,Rechnungen!B131)</f>
        <v>0</v>
      </c>
      <c r="J69" s="1515" t="s">
        <v>179</v>
      </c>
      <c r="K69" s="1516">
        <f>IF(AND(C69=0,D69=0),0,Rechnungen!AB131)</f>
        <v>0</v>
      </c>
      <c r="L69" s="1473"/>
      <c r="M69" s="1517" t="s">
        <v>179</v>
      </c>
      <c r="N69" s="1469"/>
    </row>
    <row r="70" spans="1:14" s="803" customFormat="1" ht="12.5" x14ac:dyDescent="0.25">
      <c r="A70" s="1507"/>
      <c r="B70" s="1472">
        <f>Rechnungen!A132</f>
        <v>21</v>
      </c>
      <c r="C70" s="1473">
        <f>'Gebäude (02,03)'!B57</f>
        <v>0</v>
      </c>
      <c r="D70" s="1473">
        <f>'Gebäude (02,03)'!C57</f>
        <v>0</v>
      </c>
      <c r="E70" s="1512"/>
      <c r="F70" s="1473"/>
      <c r="G70" s="1513"/>
      <c r="H70" s="1473"/>
      <c r="I70" s="1514">
        <f>IF(AND(C70=0,D70=0),0,Rechnungen!B132)</f>
        <v>0</v>
      </c>
      <c r="J70" s="1515" t="s">
        <v>179</v>
      </c>
      <c r="K70" s="1516">
        <f>IF(AND(C70=0,D70=0),0,Rechnungen!AB132)</f>
        <v>0</v>
      </c>
      <c r="L70" s="1473"/>
      <c r="M70" s="1517" t="s">
        <v>179</v>
      </c>
      <c r="N70" s="1469"/>
    </row>
    <row r="71" spans="1:14" s="803" customFormat="1" ht="12.5" x14ac:dyDescent="0.25">
      <c r="A71" s="1507"/>
      <c r="B71" s="1472">
        <f>Rechnungen!A133</f>
        <v>22</v>
      </c>
      <c r="C71" s="1473">
        <f>'Gebäude (02,03)'!B58</f>
        <v>0</v>
      </c>
      <c r="D71" s="1473">
        <f>'Gebäude (02,03)'!C58</f>
        <v>0</v>
      </c>
      <c r="E71" s="1512"/>
      <c r="F71" s="1473"/>
      <c r="G71" s="1513"/>
      <c r="H71" s="1473"/>
      <c r="I71" s="1514">
        <f>IF(AND(C71=0,D71=0),0,Rechnungen!B133)</f>
        <v>0</v>
      </c>
      <c r="J71" s="1515" t="s">
        <v>179</v>
      </c>
      <c r="K71" s="1516">
        <f>IF(AND(C71=0,D71=0),0,Rechnungen!AB133)</f>
        <v>0</v>
      </c>
      <c r="L71" s="1473"/>
      <c r="M71" s="1517" t="s">
        <v>179</v>
      </c>
      <c r="N71" s="1469"/>
    </row>
    <row r="72" spans="1:14" s="803" customFormat="1" ht="12.5" x14ac:dyDescent="0.25">
      <c r="A72" s="1507"/>
      <c r="B72" s="1472">
        <f>Rechnungen!A134</f>
        <v>23</v>
      </c>
      <c r="C72" s="1473">
        <f>'Gebäude (02,03)'!B59</f>
        <v>0</v>
      </c>
      <c r="D72" s="1473">
        <f>'Gebäude (02,03)'!C59</f>
        <v>0</v>
      </c>
      <c r="E72" s="1512"/>
      <c r="F72" s="1473"/>
      <c r="G72" s="1513"/>
      <c r="H72" s="1473"/>
      <c r="I72" s="1514">
        <f>IF(AND(C72=0,D72=0),0,Rechnungen!B134)</f>
        <v>0</v>
      </c>
      <c r="J72" s="1515" t="s">
        <v>179</v>
      </c>
      <c r="K72" s="1516">
        <f>IF(AND(C72=0,D72=0),0,Rechnungen!AB134)</f>
        <v>0</v>
      </c>
      <c r="L72" s="1473"/>
      <c r="M72" s="1517" t="s">
        <v>179</v>
      </c>
      <c r="N72" s="1469"/>
    </row>
    <row r="73" spans="1:14" s="803" customFormat="1" ht="12.5" x14ac:dyDescent="0.25">
      <c r="A73" s="1507"/>
      <c r="B73" s="1472">
        <f>Rechnungen!A135</f>
        <v>24</v>
      </c>
      <c r="C73" s="1473">
        <f>'Gebäude (02,03)'!B60</f>
        <v>0</v>
      </c>
      <c r="D73" s="1473">
        <f>'Gebäude (02,03)'!C60</f>
        <v>0</v>
      </c>
      <c r="E73" s="1512"/>
      <c r="F73" s="1473"/>
      <c r="G73" s="1513"/>
      <c r="H73" s="1473"/>
      <c r="I73" s="1514">
        <f>IF(AND(C73=0,D73=0),0,Rechnungen!B135)</f>
        <v>0</v>
      </c>
      <c r="J73" s="1515" t="s">
        <v>179</v>
      </c>
      <c r="K73" s="1516">
        <f>IF(AND(C73=0,D73=0),0,Rechnungen!AB135)</f>
        <v>0</v>
      </c>
      <c r="L73" s="1473"/>
      <c r="M73" s="1517" t="s">
        <v>179</v>
      </c>
      <c r="N73" s="1469"/>
    </row>
    <row r="74" spans="1:14" s="803" customFormat="1" ht="12.5" x14ac:dyDescent="0.25">
      <c r="A74" s="1507"/>
      <c r="B74" s="1472">
        <f>Rechnungen!A136</f>
        <v>25</v>
      </c>
      <c r="C74" s="1473">
        <f>'Gebäude (02,03)'!B61</f>
        <v>0</v>
      </c>
      <c r="D74" s="1473">
        <f>'Gebäude (02,03)'!C61</f>
        <v>0</v>
      </c>
      <c r="E74" s="1512"/>
      <c r="F74" s="1473"/>
      <c r="G74" s="1513"/>
      <c r="H74" s="1473"/>
      <c r="I74" s="1514">
        <f>IF(AND(C74=0,D74=0),0,Rechnungen!B136)</f>
        <v>0</v>
      </c>
      <c r="J74" s="1515" t="s">
        <v>179</v>
      </c>
      <c r="K74" s="1516">
        <f>IF(AND(C74=0,D74=0),0,Rechnungen!AB136)</f>
        <v>0</v>
      </c>
      <c r="L74" s="1473"/>
      <c r="M74" s="1517" t="s">
        <v>179</v>
      </c>
      <c r="N74" s="1469"/>
    </row>
    <row r="75" spans="1:14" s="803" customFormat="1" ht="12.5" x14ac:dyDescent="0.25">
      <c r="A75" s="1507"/>
      <c r="B75" s="1472">
        <f>Rechnungen!A137</f>
        <v>26</v>
      </c>
      <c r="C75" s="1473">
        <f>'Gebäude (02,03)'!B62</f>
        <v>0</v>
      </c>
      <c r="D75" s="1473">
        <f>'Gebäude (02,03)'!C62</f>
        <v>0</v>
      </c>
      <c r="E75" s="1512"/>
      <c r="F75" s="1473"/>
      <c r="G75" s="1513"/>
      <c r="H75" s="1473"/>
      <c r="I75" s="1514">
        <f>IF(AND(C75=0,D75=0),0,Rechnungen!B137)</f>
        <v>0</v>
      </c>
      <c r="J75" s="1515" t="s">
        <v>179</v>
      </c>
      <c r="K75" s="1516">
        <f>IF(AND(C75=0,D75=0),0,Rechnungen!AB137)</f>
        <v>0</v>
      </c>
      <c r="L75" s="1473"/>
      <c r="M75" s="1517" t="s">
        <v>179</v>
      </c>
      <c r="N75" s="1469"/>
    </row>
    <row r="76" spans="1:14" s="803" customFormat="1" ht="12.5" x14ac:dyDescent="0.25">
      <c r="A76" s="1507"/>
      <c r="B76" s="1472">
        <f>Rechnungen!A138</f>
        <v>27</v>
      </c>
      <c r="C76" s="1473">
        <f>'Gebäude (02,03)'!B63</f>
        <v>0</v>
      </c>
      <c r="D76" s="1473">
        <f>'Gebäude (02,03)'!C63</f>
        <v>0</v>
      </c>
      <c r="E76" s="1512"/>
      <c r="F76" s="1473"/>
      <c r="G76" s="1513"/>
      <c r="H76" s="1473"/>
      <c r="I76" s="1514">
        <f>IF(AND(C76=0,D76=0),0,Rechnungen!B138)</f>
        <v>0</v>
      </c>
      <c r="J76" s="1515" t="s">
        <v>179</v>
      </c>
      <c r="K76" s="1516">
        <f>IF(AND(C76=0,D76=0),0,Rechnungen!AB138)</f>
        <v>0</v>
      </c>
      <c r="L76" s="1473"/>
      <c r="M76" s="1517" t="s">
        <v>179</v>
      </c>
      <c r="N76" s="1469"/>
    </row>
    <row r="77" spans="1:14" s="803" customFormat="1" ht="12.5" x14ac:dyDescent="0.25">
      <c r="A77" s="1507"/>
      <c r="B77" s="1472">
        <f>Rechnungen!A139</f>
        <v>28</v>
      </c>
      <c r="C77" s="1473">
        <f>'Gebäude (02,03)'!B64</f>
        <v>0</v>
      </c>
      <c r="D77" s="1473">
        <f>'Gebäude (02,03)'!C64</f>
        <v>0</v>
      </c>
      <c r="E77" s="1512"/>
      <c r="F77" s="1473"/>
      <c r="G77" s="1513"/>
      <c r="H77" s="1473"/>
      <c r="I77" s="1514">
        <f>IF(AND(C77=0,D77=0),0,Rechnungen!B139)</f>
        <v>0</v>
      </c>
      <c r="J77" s="1515" t="s">
        <v>179</v>
      </c>
      <c r="K77" s="1516">
        <f>IF(AND(C77=0,D77=0),0,Rechnungen!AB139)</f>
        <v>0</v>
      </c>
      <c r="L77" s="1473"/>
      <c r="M77" s="1517" t="s">
        <v>179</v>
      </c>
      <c r="N77" s="1469"/>
    </row>
    <row r="78" spans="1:14" s="803" customFormat="1" ht="12.5" x14ac:dyDescent="0.25">
      <c r="A78" s="1507"/>
      <c r="B78" s="1472">
        <f>Rechnungen!A140</f>
        <v>29</v>
      </c>
      <c r="C78" s="1473">
        <f>'Gebäude (02,03)'!B65</f>
        <v>0</v>
      </c>
      <c r="D78" s="1473">
        <f>'Gebäude (02,03)'!C65</f>
        <v>0</v>
      </c>
      <c r="E78" s="1512"/>
      <c r="F78" s="1473"/>
      <c r="G78" s="1513"/>
      <c r="H78" s="1473"/>
      <c r="I78" s="1514">
        <f>IF(AND(C78=0,D78=0),0,Rechnungen!B140)</f>
        <v>0</v>
      </c>
      <c r="J78" s="1515" t="s">
        <v>179</v>
      </c>
      <c r="K78" s="1516">
        <f>IF(AND(C78=0,D78=0),0,Rechnungen!AB140)</f>
        <v>0</v>
      </c>
      <c r="L78" s="1473"/>
      <c r="M78" s="1517" t="s">
        <v>179</v>
      </c>
      <c r="N78" s="1469"/>
    </row>
    <row r="79" spans="1:14" s="803" customFormat="1" ht="13" thickBot="1" x14ac:dyDescent="0.3">
      <c r="A79" s="1507"/>
      <c r="B79" s="1518">
        <f>Rechnungen!A141</f>
        <v>30</v>
      </c>
      <c r="C79" s="1519">
        <f>'Gebäude (02,03)'!B66</f>
        <v>0</v>
      </c>
      <c r="D79" s="1519">
        <f>'Gebäude (02,03)'!C66</f>
        <v>0</v>
      </c>
      <c r="E79" s="1520"/>
      <c r="F79" s="1519"/>
      <c r="G79" s="1521"/>
      <c r="H79" s="1519"/>
      <c r="I79" s="1522">
        <f>IF(AND(C79=0,D79=0),0,Rechnungen!B141)</f>
        <v>0</v>
      </c>
      <c r="J79" s="1523" t="s">
        <v>179</v>
      </c>
      <c r="K79" s="1524">
        <f>IF(AND(C79=0,D79=0),0,Rechnungen!AB141)</f>
        <v>0</v>
      </c>
      <c r="L79" s="1519"/>
      <c r="M79" s="1525" t="s">
        <v>179</v>
      </c>
      <c r="N79" s="1469"/>
    </row>
    <row r="80" spans="1:14" ht="14.5" thickBot="1" x14ac:dyDescent="0.35">
      <c r="A80" s="1219"/>
      <c r="B80" s="603"/>
      <c r="C80" s="603"/>
      <c r="D80" s="603"/>
      <c r="E80" s="603"/>
      <c r="F80" s="603"/>
      <c r="G80" s="603"/>
      <c r="H80" s="603"/>
      <c r="I80" s="603"/>
      <c r="J80" s="603"/>
      <c r="K80" s="603"/>
      <c r="L80" s="603"/>
      <c r="M80" s="603"/>
      <c r="N80" s="1220"/>
    </row>
    <row r="81" spans="1:14" ht="18.5" thickBot="1" x14ac:dyDescent="0.35">
      <c r="A81" s="572" t="str">
        <f>'Ergebnisse IST (05,06,07)'!A138</f>
        <v>Primärenergieaufwand für Wohngebäude; Programm erstellt von K. Jagnow, 2001-2023</v>
      </c>
      <c r="B81" s="573"/>
      <c r="C81" s="573"/>
      <c r="D81" s="573"/>
      <c r="E81" s="573"/>
      <c r="F81" s="573"/>
      <c r="G81" s="573"/>
      <c r="H81" s="573"/>
      <c r="I81" s="573"/>
      <c r="J81" s="573"/>
      <c r="K81" s="573"/>
      <c r="L81" s="573"/>
      <c r="M81" s="573"/>
      <c r="N81" s="1232"/>
    </row>
    <row r="82" spans="1:14" ht="3" customHeight="1" x14ac:dyDescent="0.3"/>
    <row r="386" x14ac:dyDescent="0.3"/>
    <row r="387" x14ac:dyDescent="0.3"/>
  </sheetData>
  <sheetProtection algorithmName="SHA-512" hashValue="yZN2xoDxpfbdUeBRzM4qr6nWytjZ24OBuKpQHqavoa/axoGBwHNI6sxRWfOg516OlzARSQGEs4OlmaSbWoExVg==" saltValue="tMCJE3tcHVtTccyNCacCqw==" spinCount="100000" sheet="1" objects="1" scenarios="1"/>
  <customSheetViews>
    <customSheetView guid="{586D4F31-1FA3-11D6-B431-009027A4C716}" scale="66" showGridLines="0" fitToPage="1" showRuler="0">
      <pageMargins left="0.78740157499999996" right="0.97" top="0.984251969" bottom="0.92" header="0.4921259845" footer="0.4921259845"/>
      <pageSetup paperSize="9" scale="58" orientation="portrait" horizontalDpi="300" verticalDpi="300" r:id="rId1"/>
      <headerFooter alignWithMargins="0"/>
    </customSheetView>
  </customSheetViews>
  <mergeCells count="50">
    <mergeCell ref="K29:L29"/>
    <mergeCell ref="K30:L30"/>
    <mergeCell ref="G32:H32"/>
    <mergeCell ref="K32:L32"/>
    <mergeCell ref="I30:J30"/>
    <mergeCell ref="I32:J32"/>
    <mergeCell ref="G29:H29"/>
    <mergeCell ref="G30:H30"/>
    <mergeCell ref="I29:J29"/>
    <mergeCell ref="H3:M4"/>
    <mergeCell ref="G26:H26"/>
    <mergeCell ref="G27:H27"/>
    <mergeCell ref="G28:H28"/>
    <mergeCell ref="K26:L26"/>
    <mergeCell ref="K27:L27"/>
    <mergeCell ref="K28:L28"/>
    <mergeCell ref="I26:J26"/>
    <mergeCell ref="I24:J24"/>
    <mergeCell ref="I27:J27"/>
    <mergeCell ref="I28:J28"/>
    <mergeCell ref="J40:K40"/>
    <mergeCell ref="A40:B40"/>
    <mergeCell ref="D39:F39"/>
    <mergeCell ref="F40:G40"/>
    <mergeCell ref="M45:N45"/>
    <mergeCell ref="M43:N43"/>
    <mergeCell ref="M44:N44"/>
    <mergeCell ref="M42:N42"/>
    <mergeCell ref="A44:B44"/>
    <mergeCell ref="A45:B45"/>
    <mergeCell ref="J42:K42"/>
    <mergeCell ref="J45:K45"/>
    <mergeCell ref="J43:K43"/>
    <mergeCell ref="J44:K44"/>
    <mergeCell ref="A43:B43"/>
    <mergeCell ref="F44:G44"/>
    <mergeCell ref="F45:G45"/>
    <mergeCell ref="F42:G42"/>
    <mergeCell ref="A42:B42"/>
    <mergeCell ref="E24:F24"/>
    <mergeCell ref="G24:H24"/>
    <mergeCell ref="F43:G43"/>
    <mergeCell ref="C36:I37"/>
    <mergeCell ref="E32:F32"/>
    <mergeCell ref="E26:F26"/>
    <mergeCell ref="E27:F27"/>
    <mergeCell ref="E28:F28"/>
    <mergeCell ref="E30:F30"/>
    <mergeCell ref="E29:F29"/>
    <mergeCell ref="H39:I39"/>
  </mergeCells>
  <phoneticPr fontId="0" type="noConversion"/>
  <conditionalFormatting sqref="I40 E26:M30 E32:M32 F9:F10 J10 F14:F16 J16">
    <cfRule type="cellIs" dxfId="14" priority="4" stopIfTrue="1" operator="equal">
      <formula>"s.o."</formula>
    </cfRule>
  </conditionalFormatting>
  <conditionalFormatting sqref="M42:N45">
    <cfRule type="cellIs" dxfId="13" priority="5" stopIfTrue="1" operator="equal">
      <formula>"ja"</formula>
    </cfRule>
    <cfRule type="cellIs" dxfId="12" priority="6" stopIfTrue="1" operator="equal">
      <formula>"nein"</formula>
    </cfRule>
  </conditionalFormatting>
  <conditionalFormatting sqref="H3:M4">
    <cfRule type="cellIs" dxfId="11" priority="13" stopIfTrue="1" operator="notEqual">
      <formula>""</formula>
    </cfRule>
  </conditionalFormatting>
  <conditionalFormatting sqref="I50:I79">
    <cfRule type="cellIs" dxfId="10" priority="14" stopIfTrue="1" operator="greaterThan">
      <formula>$K50</formula>
    </cfRule>
    <cfRule type="cellIs" dxfId="9" priority="15" stopIfTrue="1" operator="lessThan">
      <formula>$K50</formula>
    </cfRule>
  </conditionalFormatting>
  <conditionalFormatting sqref="E40">
    <cfRule type="cellIs" dxfId="8" priority="3" stopIfTrue="1" operator="equal">
      <formula>"s.o."</formula>
    </cfRule>
  </conditionalFormatting>
  <conditionalFormatting sqref="E42:E45">
    <cfRule type="cellIs" dxfId="7" priority="16" stopIfTrue="1" operator="equal">
      <formula>"s.o."</formula>
    </cfRule>
    <cfRule type="cellIs" dxfId="6" priority="17" stopIfTrue="1" operator="lessThan">
      <formula>$E$40</formula>
    </cfRule>
    <cfRule type="cellIs" dxfId="5" priority="18" stopIfTrue="1" operator="greaterThanOrEqual">
      <formula>$E$40</formula>
    </cfRule>
  </conditionalFormatting>
  <conditionalFormatting sqref="I42:I45">
    <cfRule type="cellIs" dxfId="4" priority="19" stopIfTrue="1" operator="equal">
      <formula>"s.o."</formula>
    </cfRule>
    <cfRule type="cellIs" dxfId="3" priority="20" stopIfTrue="1" operator="lessThan">
      <formula>$I$40</formula>
    </cfRule>
    <cfRule type="cellIs" dxfId="2" priority="21" stopIfTrue="1" operator="greaterThanOrEqual">
      <formula>$I$40</formula>
    </cfRule>
  </conditionalFormatting>
  <conditionalFormatting sqref="J10">
    <cfRule type="cellIs" dxfId="1" priority="2" operator="greaterThan">
      <formula>1</formula>
    </cfRule>
  </conditionalFormatting>
  <conditionalFormatting sqref="J16">
    <cfRule type="cellIs" dxfId="0" priority="1" operator="greaterThan">
      <formula>1</formula>
    </cfRule>
  </conditionalFormatting>
  <pageMargins left="0.78740157480314965" right="0.98425196850393704" top="0.98425196850393704" bottom="0.9055118110236221" header="0.51181102362204722" footer="0.51181102362204722"/>
  <pageSetup paperSize="9" scale="55" fitToHeight="2"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66576" r:id="rId5" name="Option Button 16">
              <controlPr defaultSize="0" autoFill="0" autoLine="0" autoPict="0">
                <anchor moveWithCells="1">
                  <from>
                    <xdr:col>1</xdr:col>
                    <xdr:colOff>12700</xdr:colOff>
                    <xdr:row>35</xdr:row>
                    <xdr:rowOff>38100</xdr:rowOff>
                  </from>
                  <to>
                    <xdr:col>1</xdr:col>
                    <xdr:colOff>317500</xdr:colOff>
                    <xdr:row>36</xdr:row>
                    <xdr:rowOff>76200</xdr:rowOff>
                  </to>
                </anchor>
              </controlPr>
            </control>
          </mc:Choice>
        </mc:AlternateContent>
        <mc:AlternateContent xmlns:mc="http://schemas.openxmlformats.org/markup-compatibility/2006">
          <mc:Choice Requires="x14">
            <control shapeId="66577" r:id="rId6" name="Group Box 17">
              <controlPr defaultSize="0" autoFill="0" autoPict="0">
                <anchor moveWithCells="1">
                  <from>
                    <xdr:col>0</xdr:col>
                    <xdr:colOff>704850</xdr:colOff>
                    <xdr:row>34</xdr:row>
                    <xdr:rowOff>133350</xdr:rowOff>
                  </from>
                  <to>
                    <xdr:col>12</xdr:col>
                    <xdr:colOff>1327150</xdr:colOff>
                    <xdr:row>37</xdr:row>
                    <xdr:rowOff>69850</xdr:rowOff>
                  </to>
                </anchor>
              </controlPr>
            </control>
          </mc:Choice>
        </mc:AlternateContent>
        <mc:AlternateContent xmlns:mc="http://schemas.openxmlformats.org/markup-compatibility/2006">
          <mc:Choice Requires="x14">
            <control shapeId="66579" r:id="rId7" name="Option Button 19">
              <controlPr defaultSize="0" autoFill="0" autoLine="0" autoPict="0">
                <anchor moveWithCells="1">
                  <from>
                    <xdr:col>9</xdr:col>
                    <xdr:colOff>336550</xdr:colOff>
                    <xdr:row>35</xdr:row>
                    <xdr:rowOff>0</xdr:rowOff>
                  </from>
                  <to>
                    <xdr:col>9</xdr:col>
                    <xdr:colOff>641350</xdr:colOff>
                    <xdr:row>36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52">
    <pageSetUpPr fitToPage="1"/>
  </sheetPr>
  <dimension ref="A1:G45"/>
  <sheetViews>
    <sheetView showGridLines="0" zoomScaleNormal="100" workbookViewId="0"/>
  </sheetViews>
  <sheetFormatPr baseColWidth="10" defaultColWidth="0" defaultRowHeight="12.75" customHeight="1" zeroHeight="1" x14ac:dyDescent="0.25"/>
  <cols>
    <col min="1" max="1" width="4.75" style="526" customWidth="1"/>
    <col min="2" max="2" width="5" style="526" customWidth="1"/>
    <col min="3" max="4" width="11" style="526" customWidth="1"/>
    <col min="5" max="5" width="11.25" style="526" customWidth="1"/>
    <col min="6" max="6" width="11" style="526" customWidth="1"/>
    <col min="7" max="7" width="21.83203125" style="526" customWidth="1"/>
    <col min="8" max="8" width="0.25" style="526" customWidth="1"/>
    <col min="9" max="16384" width="0" style="526" hidden="1"/>
  </cols>
  <sheetData>
    <row r="1" spans="1:7" ht="17.25" customHeight="1" thickBot="1" x14ac:dyDescent="0.3">
      <c r="A1" s="578"/>
      <c r="B1" s="579"/>
      <c r="C1" s="517"/>
      <c r="D1" s="517"/>
      <c r="E1" s="578" t="s">
        <v>75</v>
      </c>
      <c r="F1" s="517"/>
      <c r="G1" s="580"/>
    </row>
    <row r="2" spans="1:7" ht="12.75" customHeight="1" x14ac:dyDescent="0.25">
      <c r="A2" s="599"/>
      <c r="B2" s="521"/>
      <c r="C2" s="521"/>
      <c r="D2" s="521"/>
      <c r="E2" s="521"/>
      <c r="F2" s="521"/>
      <c r="G2" s="600"/>
    </row>
    <row r="3" spans="1:7" ht="12.75" customHeight="1" x14ac:dyDescent="0.25">
      <c r="A3" s="581"/>
      <c r="G3" s="528"/>
    </row>
    <row r="4" spans="1:7" ht="12.75" customHeight="1" x14ac:dyDescent="0.25">
      <c r="A4" s="581"/>
      <c r="G4" s="528"/>
    </row>
    <row r="5" spans="1:7" ht="12.75" customHeight="1" x14ac:dyDescent="0.25">
      <c r="A5" s="581"/>
      <c r="G5" s="528"/>
    </row>
    <row r="6" spans="1:7" ht="12.75" customHeight="1" x14ac:dyDescent="0.25">
      <c r="A6" s="581"/>
      <c r="G6" s="528"/>
    </row>
    <row r="7" spans="1:7" ht="12.75" customHeight="1" x14ac:dyDescent="0.25">
      <c r="A7" s="581"/>
      <c r="G7" s="528"/>
    </row>
    <row r="8" spans="1:7" ht="12.75" customHeight="1" x14ac:dyDescent="0.25">
      <c r="A8" s="581"/>
      <c r="G8" s="528"/>
    </row>
    <row r="9" spans="1:7" ht="12.75" customHeight="1" x14ac:dyDescent="0.25">
      <c r="A9" s="581"/>
      <c r="G9" s="528"/>
    </row>
    <row r="10" spans="1:7" ht="12.75" customHeight="1" x14ac:dyDescent="0.25">
      <c r="A10" s="581"/>
      <c r="G10" s="528"/>
    </row>
    <row r="11" spans="1:7" ht="12.75" customHeight="1" x14ac:dyDescent="0.25">
      <c r="A11" s="581"/>
      <c r="G11" s="528"/>
    </row>
    <row r="12" spans="1:7" ht="12.75" customHeight="1" x14ac:dyDescent="0.25">
      <c r="A12" s="581"/>
      <c r="G12" s="528"/>
    </row>
    <row r="13" spans="1:7" ht="12.75" customHeight="1" x14ac:dyDescent="0.25">
      <c r="A13" s="581"/>
      <c r="G13" s="528"/>
    </row>
    <row r="14" spans="1:7" ht="12.75" customHeight="1" x14ac:dyDescent="0.25">
      <c r="A14" s="581"/>
      <c r="G14" s="528"/>
    </row>
    <row r="15" spans="1:7" ht="12.75" customHeight="1" thickBot="1" x14ac:dyDescent="0.3">
      <c r="A15" s="581"/>
      <c r="G15" s="528"/>
    </row>
    <row r="16" spans="1:7" ht="18" customHeight="1" thickBot="1" x14ac:dyDescent="0.3">
      <c r="A16" s="578"/>
      <c r="B16" s="579"/>
      <c r="C16" s="517"/>
      <c r="D16" s="517"/>
      <c r="E16" s="578" t="s">
        <v>77</v>
      </c>
      <c r="F16" s="517"/>
      <c r="G16" s="580"/>
    </row>
    <row r="17" spans="1:7" ht="12.75" customHeight="1" x14ac:dyDescent="0.25">
      <c r="A17" s="581"/>
      <c r="G17" s="528"/>
    </row>
    <row r="18" spans="1:7" ht="12.75" customHeight="1" x14ac:dyDescent="0.25">
      <c r="A18" s="581"/>
      <c r="G18" s="528"/>
    </row>
    <row r="19" spans="1:7" ht="12.75" customHeight="1" x14ac:dyDescent="0.25">
      <c r="A19" s="581"/>
      <c r="G19" s="528"/>
    </row>
    <row r="20" spans="1:7" ht="12.75" customHeight="1" x14ac:dyDescent="0.25">
      <c r="A20" s="581"/>
      <c r="G20" s="528"/>
    </row>
    <row r="21" spans="1:7" ht="12.75" customHeight="1" x14ac:dyDescent="0.25">
      <c r="A21" s="581"/>
      <c r="G21" s="528"/>
    </row>
    <row r="22" spans="1:7" ht="12.75" customHeight="1" x14ac:dyDescent="0.25">
      <c r="A22" s="581"/>
      <c r="G22" s="528"/>
    </row>
    <row r="23" spans="1:7" ht="12.75" customHeight="1" x14ac:dyDescent="0.25">
      <c r="A23" s="581"/>
      <c r="G23" s="528"/>
    </row>
    <row r="24" spans="1:7" ht="12.75" customHeight="1" x14ac:dyDescent="0.25">
      <c r="A24" s="581"/>
      <c r="G24" s="528"/>
    </row>
    <row r="25" spans="1:7" ht="12.75" customHeight="1" x14ac:dyDescent="0.25">
      <c r="A25" s="581"/>
      <c r="G25" s="528"/>
    </row>
    <row r="26" spans="1:7" ht="12.75" customHeight="1" x14ac:dyDescent="0.25">
      <c r="A26" s="581"/>
      <c r="G26" s="528"/>
    </row>
    <row r="27" spans="1:7" ht="12.75" customHeight="1" x14ac:dyDescent="0.25">
      <c r="A27" s="581"/>
      <c r="G27" s="528"/>
    </row>
    <row r="28" spans="1:7" ht="12.75" customHeight="1" x14ac:dyDescent="0.25">
      <c r="A28" s="581"/>
      <c r="G28" s="528"/>
    </row>
    <row r="29" spans="1:7" ht="12.75" customHeight="1" x14ac:dyDescent="0.25">
      <c r="A29" s="581"/>
      <c r="G29" s="528"/>
    </row>
    <row r="30" spans="1:7" ht="12.75" customHeight="1" x14ac:dyDescent="0.25">
      <c r="A30" s="581"/>
      <c r="G30" s="528"/>
    </row>
    <row r="31" spans="1:7" ht="12.75" customHeight="1" x14ac:dyDescent="0.25">
      <c r="A31" s="581"/>
      <c r="G31" s="528"/>
    </row>
    <row r="32" spans="1:7" ht="12.75" customHeight="1" x14ac:dyDescent="0.25">
      <c r="A32" s="581"/>
      <c r="G32" s="528"/>
    </row>
    <row r="33" spans="1:7" ht="12.75" customHeight="1" x14ac:dyDescent="0.25">
      <c r="A33" s="581"/>
      <c r="G33" s="528"/>
    </row>
    <row r="34" spans="1:7" ht="12.75" customHeight="1" x14ac:dyDescent="0.25">
      <c r="A34" s="581"/>
      <c r="G34" s="528"/>
    </row>
    <row r="35" spans="1:7" ht="12.75" customHeight="1" x14ac:dyDescent="0.25">
      <c r="A35" s="581"/>
      <c r="G35" s="528"/>
    </row>
    <row r="36" spans="1:7" ht="12.75" customHeight="1" x14ac:dyDescent="0.25">
      <c r="A36" s="581"/>
      <c r="G36" s="528"/>
    </row>
    <row r="37" spans="1:7" ht="12.75" customHeight="1" x14ac:dyDescent="0.25">
      <c r="A37" s="581"/>
      <c r="G37" s="528"/>
    </row>
    <row r="38" spans="1:7" ht="12.75" customHeight="1" x14ac:dyDescent="0.25">
      <c r="A38" s="581"/>
      <c r="G38" s="528"/>
    </row>
    <row r="39" spans="1:7" ht="12.75" customHeight="1" x14ac:dyDescent="0.25">
      <c r="A39" s="581"/>
      <c r="G39" s="528"/>
    </row>
    <row r="40" spans="1:7" ht="12.75" customHeight="1" x14ac:dyDescent="0.25">
      <c r="A40" s="581"/>
      <c r="G40" s="528"/>
    </row>
    <row r="41" spans="1:7" ht="12.75" customHeight="1" x14ac:dyDescent="0.25">
      <c r="A41" s="581"/>
      <c r="G41" s="528"/>
    </row>
    <row r="42" spans="1:7" ht="12.75" customHeight="1" x14ac:dyDescent="0.25">
      <c r="A42" s="581"/>
      <c r="G42" s="528"/>
    </row>
    <row r="43" spans="1:7" ht="12.75" customHeight="1" x14ac:dyDescent="0.25">
      <c r="A43" s="581"/>
      <c r="G43" s="528"/>
    </row>
    <row r="44" spans="1:7" ht="12.75" customHeight="1" thickBot="1" x14ac:dyDescent="0.3">
      <c r="A44" s="601"/>
      <c r="B44" s="529"/>
      <c r="C44" s="529"/>
      <c r="D44" s="529"/>
      <c r="E44" s="529"/>
      <c r="F44" s="529"/>
      <c r="G44" s="602"/>
    </row>
    <row r="45" spans="1:7" ht="1.5" customHeight="1" x14ac:dyDescent="0.25"/>
  </sheetData>
  <sheetProtection algorithmName="SHA-512" hashValue="rJF1iBCySdyBknq2hzeaSbaj58SW36GiWMFd2i8PGpKdkxF1O8wVjrOaiT3VsZbzSOkwGbX/cskS9dJfqerKxA==" saltValue="0FkQU706H7YbrVeVfNDglg==" spinCount="100000" sheet="1" objects="1" scenarios="1"/>
  <phoneticPr fontId="0"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10</vt:i4>
      </vt:variant>
    </vt:vector>
  </HeadingPairs>
  <TitlesOfParts>
    <vt:vector size="38" baseType="lpstr">
      <vt:lpstr>LIZENZ</vt:lpstr>
      <vt:lpstr>Hinweis</vt:lpstr>
      <vt:lpstr>Allgemeines (01)</vt:lpstr>
      <vt:lpstr>Gebäude (02,03)</vt:lpstr>
      <vt:lpstr>Anlage (04)</vt:lpstr>
      <vt:lpstr>Ergebnisse IST (05,06,07)</vt:lpstr>
      <vt:lpstr>Ergebnisse REF (08,09,10)</vt:lpstr>
      <vt:lpstr>Übersicht (11)</vt:lpstr>
      <vt:lpstr>Probleme</vt:lpstr>
      <vt:lpstr>Nutzung</vt:lpstr>
      <vt:lpstr>Formelzeichen</vt:lpstr>
      <vt:lpstr>Rechnungen</vt:lpstr>
      <vt:lpstr>TW-01</vt:lpstr>
      <vt:lpstr>TW-02</vt:lpstr>
      <vt:lpstr>TW-03</vt:lpstr>
      <vt:lpstr>TW-04</vt:lpstr>
      <vt:lpstr>TW-05</vt:lpstr>
      <vt:lpstr>L-01</vt:lpstr>
      <vt:lpstr>L-02</vt:lpstr>
      <vt:lpstr>L-03</vt:lpstr>
      <vt:lpstr>L-04</vt:lpstr>
      <vt:lpstr>L-05</vt:lpstr>
      <vt:lpstr>H-01</vt:lpstr>
      <vt:lpstr>H-02</vt:lpstr>
      <vt:lpstr>H-03</vt:lpstr>
      <vt:lpstr>H-04</vt:lpstr>
      <vt:lpstr>H-05</vt:lpstr>
      <vt:lpstr>FP</vt:lpstr>
      <vt:lpstr>'Allgemeines (01)'!Druckbereich</vt:lpstr>
      <vt:lpstr>'Anlage (04)'!Druckbereich</vt:lpstr>
      <vt:lpstr>'Ergebnisse IST (05,06,07)'!Druckbereich</vt:lpstr>
      <vt:lpstr>'Ergebnisse REF (08,09,10)'!Druckbereich</vt:lpstr>
      <vt:lpstr>Formelzeichen!Druckbereich</vt:lpstr>
      <vt:lpstr>'Gebäude (02,03)'!Druckbereich</vt:lpstr>
      <vt:lpstr>Hinweis!Druckbereich</vt:lpstr>
      <vt:lpstr>Nutzung!Druckbereich</vt:lpstr>
      <vt:lpstr>Probleme!Druckbereich</vt:lpstr>
      <vt:lpstr>'Übersicht (11)'!Druckbereich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EnEV Anlagentechnik</dc:title>
  <dc:subject>Neubaunachweis EnEV</dc:subject>
  <dc:creator>Jagnow</dc:creator>
  <cp:lastModifiedBy>Kati Jagnow</cp:lastModifiedBy>
  <cp:revision>1</cp:revision>
  <cp:lastPrinted>2021-05-10T05:38:15Z</cp:lastPrinted>
  <dcterms:created xsi:type="dcterms:W3CDTF">2001-03-08T10:36:38Z</dcterms:created>
  <dcterms:modified xsi:type="dcterms:W3CDTF">2023-02-10T09:50:01Z</dcterms:modified>
</cp:coreProperties>
</file>